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haynet\.syncclient\1695217496109\shaynethompson@hydroottawa.com\1jWJTRPteDQEak6gdNEk1gcFxxK4shhL5\"/>
    </mc:Choice>
  </mc:AlternateContent>
  <xr:revisionPtr revIDLastSave="0" documentId="13_ncr:1_{966A0E54-F075-44D9-9994-9F28638F9095}" xr6:coauthVersionLast="47" xr6:coauthVersionMax="47" xr10:uidLastSave="{00000000-0000-0000-0000-000000000000}"/>
  <bookViews>
    <workbookView xWindow="28680" yWindow="-120" windowWidth="29040" windowHeight="15720" activeTab="7" xr2:uid="{00000000-000D-0000-FFFF-FFFF00000000}"/>
  </bookViews>
  <sheets>
    <sheet name="Summary" sheetId="1" r:id="rId1"/>
    <sheet name="2026" sheetId="2" r:id="rId2"/>
    <sheet name="Summary for future Impacts" sheetId="3" state="hidden" r:id="rId3"/>
    <sheet name="2027" sheetId="4" r:id="rId4"/>
    <sheet name="2028" sheetId="5" r:id="rId5"/>
    <sheet name="2029" sheetId="6" r:id="rId6"/>
    <sheet name="2030" sheetId="7" r:id="rId7"/>
    <sheet name="Proposed Rates" sheetId="8" r:id="rId8"/>
    <sheet name="Res (100)" sheetId="9" r:id="rId9"/>
    <sheet name="Res (232)" sheetId="10" r:id="rId10"/>
    <sheet name="Res (250)" sheetId="11" r:id="rId11"/>
    <sheet name="Res (500)" sheetId="12" r:id="rId12"/>
    <sheet name="Res (620)" sheetId="13" r:id="rId13"/>
    <sheet name="Res (640)" sheetId="14" r:id="rId14"/>
    <sheet name="Res (750)" sheetId="15" r:id="rId15"/>
    <sheet name="Res (1000)" sheetId="16" r:id="rId16"/>
    <sheet name="Res (1500)" sheetId="17" r:id="rId17"/>
    <sheet name="Res (2000)" sheetId="18" r:id="rId18"/>
    <sheet name="SC (1000)" sheetId="19" r:id="rId19"/>
    <sheet name="SC (2000)" sheetId="20" r:id="rId20"/>
    <sheet name="SC (2400)" sheetId="21" r:id="rId21"/>
    <sheet name="SC (5000)" sheetId="22" r:id="rId22"/>
    <sheet name="SC (10000)" sheetId="23" r:id="rId23"/>
    <sheet name="SC (15000)" sheetId="24" r:id="rId24"/>
    <sheet name="&gt;50 (100)" sheetId="25" r:id="rId25"/>
    <sheet name="&gt;50 (185)" sheetId="26" r:id="rId26"/>
    <sheet name="&gt;50 (250)" sheetId="27" r:id="rId27"/>
    <sheet name="&gt;50 (250) 51,000" sheetId="28" r:id="rId28"/>
    <sheet name="&gt;50 (500)" sheetId="29" r:id="rId29"/>
    <sheet name="&gt;50 (1000)" sheetId="30" r:id="rId30"/>
    <sheet name="&gt;1500(1925)" sheetId="31" r:id="rId31"/>
    <sheet name="&gt;1500(2500)" sheetId="32" r:id="rId32"/>
    <sheet name="&gt;1500(4000)" sheetId="33" r:id="rId33"/>
    <sheet name="LU(7500)" sheetId="34" r:id="rId34"/>
    <sheet name="LU(7900)" sheetId="35" r:id="rId35"/>
    <sheet name="LU(10000)" sheetId="36" r:id="rId36"/>
    <sheet name="SN (.4)" sheetId="37" r:id="rId37"/>
    <sheet name="StLght(1)" sheetId="38" r:id="rId38"/>
    <sheet name="StLght(50)" sheetId="39" r:id="rId39"/>
    <sheet name="StLght (4910)" sheetId="40" r:id="rId40"/>
    <sheet name="USL (470)" sheetId="41" r:id="rId41"/>
  </sheets>
  <externalReferences>
    <externalReference r:id="rId42"/>
  </externalReferences>
  <definedNames>
    <definedName name="BI_LDCLIST" localSheetId="1">#REF!</definedName>
    <definedName name="BI_LDCLIST" localSheetId="4">#REF!</definedName>
    <definedName name="BI_LDCLIST" localSheetId="5">#REF!</definedName>
    <definedName name="BI_LDCLIST" localSheetId="6">#REF!</definedName>
    <definedName name="BI_LDCLIST">#REF!</definedName>
    <definedName name="contactf" localSheetId="1">#REF!</definedName>
    <definedName name="contactf" localSheetId="4">#REF!</definedName>
    <definedName name="contactf" localSheetId="5">#REF!</definedName>
    <definedName name="contactf" localSheetId="6">#REF!</definedName>
    <definedName name="contactf">#REF!</definedName>
    <definedName name="COS_RES_CUSTOMERS" localSheetId="1">#REF!</definedName>
    <definedName name="COS_RES_CUSTOMERS" localSheetId="4">#REF!</definedName>
    <definedName name="COS_RES_CUSTOMERS" localSheetId="5">#REF!</definedName>
    <definedName name="COS_RES_CUSTOMERS" localSheetId="6">#REF!</definedName>
    <definedName name="COS_RES_CUSTOMERS">#REF!</definedName>
    <definedName name="COS_RES_KWH" localSheetId="1">#REF!</definedName>
    <definedName name="COS_RES_KWH" localSheetId="4">#REF!</definedName>
    <definedName name="COS_RES_KWH" localSheetId="5">#REF!</definedName>
    <definedName name="COS_RES_KWH" localSheetId="6">#REF!</definedName>
    <definedName name="COS_RES_KWH">#REF!</definedName>
    <definedName name="Cust3a" localSheetId="1">#REF!</definedName>
    <definedName name="Cust3a" localSheetId="4">#REF!</definedName>
    <definedName name="Cust3a" localSheetId="5">#REF!</definedName>
    <definedName name="Cust3a" localSheetId="6">#REF!</definedName>
    <definedName name="Cust3a">#REF!</definedName>
    <definedName name="Cust3b" localSheetId="1">#REF!</definedName>
    <definedName name="Cust3b" localSheetId="4">#REF!</definedName>
    <definedName name="Cust3b" localSheetId="5">#REF!</definedName>
    <definedName name="Cust3b" localSheetId="6">#REF!</definedName>
    <definedName name="Cust3b">#REF!</definedName>
    <definedName name="CustomerAdministration" localSheetId="4">#REF!</definedName>
    <definedName name="CustomerAdministration" localSheetId="5">#REF!</definedName>
    <definedName name="CustomerAdministration" localSheetId="6">#REF!</definedName>
    <definedName name="CustomerAdministration1" localSheetId="1">#REF!</definedName>
    <definedName name="CustomerAdministration1">#REF!</definedName>
    <definedName name="DRC" localSheetId="1">#REF!</definedName>
    <definedName name="DRC" localSheetId="4">#REF!</definedName>
    <definedName name="DRC" localSheetId="5">#REF!</definedName>
    <definedName name="DRC" localSheetId="6">#REF!</definedName>
    <definedName name="DRC">#REF!</definedName>
    <definedName name="fed_sb" localSheetId="1">#REF!</definedName>
    <definedName name="fed_sb" localSheetId="4">#REF!</definedName>
    <definedName name="fed_sb" localSheetId="5">#REF!</definedName>
    <definedName name="fed_sb" localSheetId="6">#REF!</definedName>
    <definedName name="fed_sb">#REF!</definedName>
    <definedName name="fedtax" localSheetId="1">#REF!</definedName>
    <definedName name="fedtax" localSheetId="4">#REF!</definedName>
    <definedName name="fedtax" localSheetId="5">#REF!</definedName>
    <definedName name="fedtax" localSheetId="6">#REF!</definedName>
    <definedName name="fedtax">#REF!</definedName>
    <definedName name="forecast_wholesale_lineplus" localSheetId="1">#REF!</definedName>
    <definedName name="forecast_wholesale_lineplus" localSheetId="4">#REF!</definedName>
    <definedName name="forecast_wholesale_lineplus" localSheetId="5">#REF!</definedName>
    <definedName name="forecast_wholesale_lineplus" localSheetId="6">#REF!</definedName>
    <definedName name="forecast_wholesale_lineplus">#REF!</definedName>
    <definedName name="forecast_wholesale_network" localSheetId="1">#REF!</definedName>
    <definedName name="forecast_wholesale_network" localSheetId="4">#REF!</definedName>
    <definedName name="forecast_wholesale_network" localSheetId="5">#REF!</definedName>
    <definedName name="forecast_wholesale_network" localSheetId="6">#REF!</definedName>
    <definedName name="forecast_wholesale_network">#REF!</definedName>
    <definedName name="G1LD" localSheetId="1">#REF!</definedName>
    <definedName name="G1LD" localSheetId="4">#REF!</definedName>
    <definedName name="G1LD" localSheetId="5">#REF!</definedName>
    <definedName name="G1LD" localSheetId="6">#REF!</definedName>
    <definedName name="G1LD">#REF!</definedName>
    <definedName name="G1LDCBR" localSheetId="1">#REF!</definedName>
    <definedName name="G1LDCBR" localSheetId="4">#REF!</definedName>
    <definedName name="G1LDCBR" localSheetId="5">#REF!</definedName>
    <definedName name="G1LDCBR" localSheetId="6">#REF!</definedName>
    <definedName name="G1LDCBR">#REF!</definedName>
    <definedName name="Group1Desposing" localSheetId="1">#REF!</definedName>
    <definedName name="Group1Desposing" localSheetId="4">#REF!</definedName>
    <definedName name="Group1Desposing" localSheetId="5">#REF!</definedName>
    <definedName name="Group1Desposing" localSheetId="6">#REF!</definedName>
    <definedName name="Group1Desposing">#REF!</definedName>
    <definedName name="Incr2000" localSheetId="1">#REF!</definedName>
    <definedName name="Incr2000" localSheetId="4">#REF!</definedName>
    <definedName name="Incr2000" localSheetId="5">#REF!</definedName>
    <definedName name="Incr2000" localSheetId="6">#REF!</definedName>
    <definedName name="Incr2000">#REF!</definedName>
    <definedName name="LIMIT" localSheetId="1">#REF!</definedName>
    <definedName name="LIMIT" localSheetId="4">#REF!</definedName>
    <definedName name="LIMIT" localSheetId="5">#REF!</definedName>
    <definedName name="LIMIT" localSheetId="6">#REF!</definedName>
    <definedName name="LIMIT">#REF!</definedName>
    <definedName name="listdata" localSheetId="1">#REF!</definedName>
    <definedName name="listdata" localSheetId="4">#REF!</definedName>
    <definedName name="listdata" localSheetId="5">#REF!</definedName>
    <definedName name="listdata" localSheetId="6">#REF!</definedName>
    <definedName name="listdata">#REF!</definedName>
    <definedName name="man_beg_bud" localSheetId="1">#REF!</definedName>
    <definedName name="man_beg_bud" localSheetId="4">#REF!</definedName>
    <definedName name="man_beg_bud" localSheetId="5">#REF!</definedName>
    <definedName name="man_beg_bud" localSheetId="6">#REF!</definedName>
    <definedName name="man_beg_bud">#REF!</definedName>
    <definedName name="man_end_bud" localSheetId="1">#REF!</definedName>
    <definedName name="man_end_bud" localSheetId="4">#REF!</definedName>
    <definedName name="man_end_bud" localSheetId="5">#REF!</definedName>
    <definedName name="man_end_bud" localSheetId="6">#REF!</definedName>
    <definedName name="man_end_bud">#REF!</definedName>
    <definedName name="man12ACT" localSheetId="1">#REF!</definedName>
    <definedName name="man12ACT" localSheetId="4">#REF!</definedName>
    <definedName name="man12ACT" localSheetId="5">#REF!</definedName>
    <definedName name="man12ACT" localSheetId="6">#REF!</definedName>
    <definedName name="man12ACT">#REF!</definedName>
    <definedName name="MANBUD" localSheetId="1">#REF!</definedName>
    <definedName name="MANBUD" localSheetId="4">#REF!</definedName>
    <definedName name="MANBUD" localSheetId="5">#REF!</definedName>
    <definedName name="MANBUD" localSheetId="6">#REF!</definedName>
    <definedName name="MANBUD">#REF!</definedName>
    <definedName name="manCYACT" localSheetId="1">#REF!</definedName>
    <definedName name="manCYACT" localSheetId="4">#REF!</definedName>
    <definedName name="manCYACT" localSheetId="5">#REF!</definedName>
    <definedName name="manCYACT" localSheetId="6">#REF!</definedName>
    <definedName name="manCYACT">#REF!</definedName>
    <definedName name="manCYBUD" localSheetId="1">#REF!</definedName>
    <definedName name="manCYBUD" localSheetId="4">#REF!</definedName>
    <definedName name="manCYBUD" localSheetId="5">#REF!</definedName>
    <definedName name="manCYBUD" localSheetId="6">#REF!</definedName>
    <definedName name="manCYBUD">#REF!</definedName>
    <definedName name="manCYF" localSheetId="1">#REF!</definedName>
    <definedName name="manCYF" localSheetId="4">#REF!</definedName>
    <definedName name="manCYF" localSheetId="5">#REF!</definedName>
    <definedName name="manCYF" localSheetId="6">#REF!</definedName>
    <definedName name="manCYF">#REF!</definedName>
    <definedName name="MANEND" localSheetId="1">#REF!</definedName>
    <definedName name="MANEND" localSheetId="4">#REF!</definedName>
    <definedName name="MANEND" localSheetId="5">#REF!</definedName>
    <definedName name="MANEND" localSheetId="6">#REF!</definedName>
    <definedName name="MANEND">#REF!</definedName>
    <definedName name="manNYbud" localSheetId="1">#REF!</definedName>
    <definedName name="manNYbud" localSheetId="4">#REF!</definedName>
    <definedName name="manNYbud" localSheetId="5">#REF!</definedName>
    <definedName name="manNYbud" localSheetId="6">#REF!</definedName>
    <definedName name="manNYbud">#REF!</definedName>
    <definedName name="manpower_costs" localSheetId="1">#REF!</definedName>
    <definedName name="manpower_costs" localSheetId="4">#REF!</definedName>
    <definedName name="manpower_costs" localSheetId="5">#REF!</definedName>
    <definedName name="manpower_costs" localSheetId="6">#REF!</definedName>
    <definedName name="manpower_costs">#REF!</definedName>
    <definedName name="manPYACT" localSheetId="1">#REF!</definedName>
    <definedName name="manPYACT" localSheetId="4">#REF!</definedName>
    <definedName name="manPYACT" localSheetId="5">#REF!</definedName>
    <definedName name="manPYACT" localSheetId="6">#REF!</definedName>
    <definedName name="manPYACT">#REF!</definedName>
    <definedName name="MANSTART" localSheetId="1">#REF!</definedName>
    <definedName name="MANSTART" localSheetId="4">#REF!</definedName>
    <definedName name="MANSTART" localSheetId="5">#REF!</definedName>
    <definedName name="MANSTART" localSheetId="6">#REF!</definedName>
    <definedName name="MANSTART">#REF!</definedName>
    <definedName name="mat_beg_bud" localSheetId="1">#REF!</definedName>
    <definedName name="mat_beg_bud" localSheetId="4">#REF!</definedName>
    <definedName name="mat_beg_bud" localSheetId="5">#REF!</definedName>
    <definedName name="mat_beg_bud" localSheetId="6">#REF!</definedName>
    <definedName name="mat_beg_bud">#REF!</definedName>
    <definedName name="mat_end_bud" localSheetId="1">#REF!</definedName>
    <definedName name="mat_end_bud" localSheetId="4">#REF!</definedName>
    <definedName name="mat_end_bud" localSheetId="5">#REF!</definedName>
    <definedName name="mat_end_bud" localSheetId="6">#REF!</definedName>
    <definedName name="mat_end_bud">#REF!</definedName>
    <definedName name="mat12ACT" localSheetId="1">#REF!</definedName>
    <definedName name="mat12ACT" localSheetId="4">#REF!</definedName>
    <definedName name="mat12ACT" localSheetId="5">#REF!</definedName>
    <definedName name="mat12ACT" localSheetId="6">#REF!</definedName>
    <definedName name="mat12ACT">#REF!</definedName>
    <definedName name="MATBUD" localSheetId="1">#REF!</definedName>
    <definedName name="MATBUD" localSheetId="4">#REF!</definedName>
    <definedName name="MATBUD" localSheetId="5">#REF!</definedName>
    <definedName name="MATBUD" localSheetId="6">#REF!</definedName>
    <definedName name="MATBUD">#REF!</definedName>
    <definedName name="matCYACT" localSheetId="1">#REF!</definedName>
    <definedName name="matCYACT" localSheetId="4">#REF!</definedName>
    <definedName name="matCYACT" localSheetId="5">#REF!</definedName>
    <definedName name="matCYACT" localSheetId="6">#REF!</definedName>
    <definedName name="matCYACT">#REF!</definedName>
    <definedName name="matCYBUD" localSheetId="1">#REF!</definedName>
    <definedName name="matCYBUD" localSheetId="4">#REF!</definedName>
    <definedName name="matCYBUD" localSheetId="5">#REF!</definedName>
    <definedName name="matCYBUD" localSheetId="6">#REF!</definedName>
    <definedName name="matCYBUD">#REF!</definedName>
    <definedName name="matCYF" localSheetId="1">#REF!</definedName>
    <definedName name="matCYF" localSheetId="4">#REF!</definedName>
    <definedName name="matCYF" localSheetId="5">#REF!</definedName>
    <definedName name="matCYF" localSheetId="6">#REF!</definedName>
    <definedName name="matCYF">#REF!</definedName>
    <definedName name="MATEND" localSheetId="1">#REF!</definedName>
    <definedName name="MATEND" localSheetId="4">#REF!</definedName>
    <definedName name="MATEND" localSheetId="5">#REF!</definedName>
    <definedName name="MATEND" localSheetId="6">#REF!</definedName>
    <definedName name="MATEND">#REF!</definedName>
    <definedName name="material_costs" localSheetId="1">#REF!</definedName>
    <definedName name="material_costs" localSheetId="4">#REF!</definedName>
    <definedName name="material_costs" localSheetId="5">#REF!</definedName>
    <definedName name="material_costs" localSheetId="6">#REF!</definedName>
    <definedName name="material_costs">#REF!</definedName>
    <definedName name="matNYbud" localSheetId="1">#REF!</definedName>
    <definedName name="matNYbud" localSheetId="4">#REF!</definedName>
    <definedName name="matNYbud" localSheetId="5">#REF!</definedName>
    <definedName name="matNYbud" localSheetId="6">#REF!</definedName>
    <definedName name="matNYbud">#REF!</definedName>
    <definedName name="matPYACT" localSheetId="1">#REF!</definedName>
    <definedName name="matPYACT" localSheetId="4">#REF!</definedName>
    <definedName name="matPYACT" localSheetId="5">#REF!</definedName>
    <definedName name="matPYACT" localSheetId="6">#REF!</definedName>
    <definedName name="matPYACT">#REF!</definedName>
    <definedName name="MATSTART" localSheetId="1">#REF!</definedName>
    <definedName name="MATSTART" localSheetId="4">#REF!</definedName>
    <definedName name="MATSTART" localSheetId="5">#REF!</definedName>
    <definedName name="MATSTART" localSheetId="6">#REF!</definedName>
    <definedName name="MATSTART">#REF!</definedName>
    <definedName name="maxtax" localSheetId="1">#REF!</definedName>
    <definedName name="maxtax" localSheetId="4">#REF!</definedName>
    <definedName name="maxtax" localSheetId="5">#REF!</definedName>
    <definedName name="maxtax" localSheetId="6">#REF!</definedName>
    <definedName name="maxtax">#REF!</definedName>
    <definedName name="ontario_sb" localSheetId="1">#REF!</definedName>
    <definedName name="ontario_sb" localSheetId="4">#REF!</definedName>
    <definedName name="ontario_sb" localSheetId="5">#REF!</definedName>
    <definedName name="ontario_sb" localSheetId="6">#REF!</definedName>
    <definedName name="ontario_sb">#REF!</definedName>
    <definedName name="ontariotax" localSheetId="1">#REF!</definedName>
    <definedName name="ontariotax" localSheetId="4">#REF!</definedName>
    <definedName name="ontariotax" localSheetId="5">#REF!</definedName>
    <definedName name="ontariotax" localSheetId="6">#REF!</definedName>
    <definedName name="ontariotax">#REF!</definedName>
    <definedName name="oth_beg_bud" localSheetId="1">#REF!</definedName>
    <definedName name="oth_beg_bud" localSheetId="4">#REF!</definedName>
    <definedName name="oth_beg_bud" localSheetId="5">#REF!</definedName>
    <definedName name="oth_beg_bud" localSheetId="6">#REF!</definedName>
    <definedName name="oth_beg_bud">#REF!</definedName>
    <definedName name="oth_end_bud" localSheetId="1">#REF!</definedName>
    <definedName name="oth_end_bud" localSheetId="4">#REF!</definedName>
    <definedName name="oth_end_bud" localSheetId="5">#REF!</definedName>
    <definedName name="oth_end_bud" localSheetId="6">#REF!</definedName>
    <definedName name="oth_end_bud">#REF!</definedName>
    <definedName name="oth12ACT" localSheetId="1">#REF!</definedName>
    <definedName name="oth12ACT" localSheetId="4">#REF!</definedName>
    <definedName name="oth12ACT" localSheetId="5">#REF!</definedName>
    <definedName name="oth12ACT" localSheetId="6">#REF!</definedName>
    <definedName name="oth12ACT">#REF!</definedName>
    <definedName name="othCYACT" localSheetId="1">#REF!</definedName>
    <definedName name="othCYACT" localSheetId="4">#REF!</definedName>
    <definedName name="othCYACT" localSheetId="5">#REF!</definedName>
    <definedName name="othCYACT" localSheetId="6">#REF!</definedName>
    <definedName name="othCYACT">#REF!</definedName>
    <definedName name="othCYBUD" localSheetId="1">#REF!</definedName>
    <definedName name="othCYBUD" localSheetId="4">#REF!</definedName>
    <definedName name="othCYBUD" localSheetId="5">#REF!</definedName>
    <definedName name="othCYBUD" localSheetId="6">#REF!</definedName>
    <definedName name="othCYBUD">#REF!</definedName>
    <definedName name="othCYF" localSheetId="1">#REF!</definedName>
    <definedName name="othCYF" localSheetId="4">#REF!</definedName>
    <definedName name="othCYF" localSheetId="5">#REF!</definedName>
    <definedName name="othCYF" localSheetId="6">#REF!</definedName>
    <definedName name="othCYF">#REF!</definedName>
    <definedName name="OTHEND" localSheetId="1">#REF!</definedName>
    <definedName name="OTHEND" localSheetId="4">#REF!</definedName>
    <definedName name="OTHEND" localSheetId="5">#REF!</definedName>
    <definedName name="OTHEND" localSheetId="6">#REF!</definedName>
    <definedName name="OTHEND">#REF!</definedName>
    <definedName name="other_costs" localSheetId="1">#REF!</definedName>
    <definedName name="other_costs" localSheetId="4">#REF!</definedName>
    <definedName name="other_costs" localSheetId="5">#REF!</definedName>
    <definedName name="other_costs" localSheetId="6">#REF!</definedName>
    <definedName name="other_costs">#REF!</definedName>
    <definedName name="OTHERBUD" localSheetId="1">#REF!</definedName>
    <definedName name="OTHERBUD" localSheetId="4">#REF!</definedName>
    <definedName name="OTHERBUD" localSheetId="5">#REF!</definedName>
    <definedName name="OTHERBUD" localSheetId="6">#REF!</definedName>
    <definedName name="OTHERBUD">#REF!</definedName>
    <definedName name="othNYbud" localSheetId="1">#REF!</definedName>
    <definedName name="othNYbud" localSheetId="4">#REF!</definedName>
    <definedName name="othNYbud" localSheetId="5">#REF!</definedName>
    <definedName name="othNYbud" localSheetId="6">#REF!</definedName>
    <definedName name="othNYbud">#REF!</definedName>
    <definedName name="othPYACT" localSheetId="1">#REF!</definedName>
    <definedName name="othPYACT" localSheetId="4">#REF!</definedName>
    <definedName name="othPYACT" localSheetId="5">#REF!</definedName>
    <definedName name="othPYACT" localSheetId="6">#REF!</definedName>
    <definedName name="othPYACT">#REF!</definedName>
    <definedName name="OTHSTART" localSheetId="1">#REF!</definedName>
    <definedName name="OTHSTART" localSheetId="4">#REF!</definedName>
    <definedName name="OTHSTART" localSheetId="5">#REF!</definedName>
    <definedName name="OTHSTART" localSheetId="6">#REF!</definedName>
    <definedName name="OTHSTART">#REF!</definedName>
    <definedName name="passwordlist" localSheetId="1">#REF!</definedName>
    <definedName name="passwordlist" localSheetId="4">#REF!</definedName>
    <definedName name="passwordlist" localSheetId="5">#REF!</definedName>
    <definedName name="passwordlist" localSheetId="6">#REF!</definedName>
    <definedName name="passwordlist">#REF!</definedName>
    <definedName name="print_end" localSheetId="1">#REF!</definedName>
    <definedName name="print_end" localSheetId="4">#REF!</definedName>
    <definedName name="print_end" localSheetId="5">#REF!</definedName>
    <definedName name="print_end" localSheetId="6">#REF!</definedName>
    <definedName name="print_end">#REF!</definedName>
    <definedName name="ratebase" localSheetId="1">#REF!</definedName>
    <definedName name="ratebase" localSheetId="4">#REF!</definedName>
    <definedName name="ratebase" localSheetId="5">#REF!</definedName>
    <definedName name="ratebase" localSheetId="6">#REF!</definedName>
    <definedName name="ratebase">#REF!</definedName>
    <definedName name="RateRiderName">OFFSET('[1]Rate Rider Database'!$C$1,1,0,COUNTA('[1]Rate Rider Database'!$C:$C)-1,1)</definedName>
    <definedName name="SALBENF" localSheetId="1">#REF!</definedName>
    <definedName name="SALBENF" localSheetId="4">#REF!</definedName>
    <definedName name="SALBENF" localSheetId="5">#REF!</definedName>
    <definedName name="SALBENF" localSheetId="6">#REF!</definedName>
    <definedName name="SALBENF">#REF!</definedName>
    <definedName name="salreg" localSheetId="1">#REF!</definedName>
    <definedName name="salreg" localSheetId="4">#REF!</definedName>
    <definedName name="salreg" localSheetId="5">#REF!</definedName>
    <definedName name="salreg" localSheetId="6">#REF!</definedName>
    <definedName name="salreg">#REF!</definedName>
    <definedName name="SALREGF" localSheetId="1">#REF!</definedName>
    <definedName name="SALREGF" localSheetId="4">#REF!</definedName>
    <definedName name="SALREGF" localSheetId="5">#REF!</definedName>
    <definedName name="SALREGF" localSheetId="6">#REF!</definedName>
    <definedName name="SALREGF">#REF!</definedName>
    <definedName name="ss" localSheetId="1">#REF!</definedName>
    <definedName name="ss" localSheetId="4">#REF!</definedName>
    <definedName name="ss" localSheetId="5">#REF!</definedName>
    <definedName name="ss" localSheetId="6">#REF!</definedName>
    <definedName name="ss">#REF!</definedName>
    <definedName name="StartEnd" localSheetId="1">#REF!</definedName>
    <definedName name="StartEnd" localSheetId="4">#REF!</definedName>
    <definedName name="StartEnd" localSheetId="5">#REF!</definedName>
    <definedName name="StartEnd" localSheetId="6">#REF!</definedName>
    <definedName name="StartEnd">#REF!</definedName>
    <definedName name="taxableincome" localSheetId="1">#REF!</definedName>
    <definedName name="taxableincome" localSheetId="4">#REF!</definedName>
    <definedName name="taxableincome" localSheetId="5">#REF!</definedName>
    <definedName name="taxableincome" localSheetId="6">#REF!</definedName>
    <definedName name="taxableincome">#REF!</definedName>
    <definedName name="TEMPA" localSheetId="1">#REF!</definedName>
    <definedName name="TEMPA" localSheetId="4">#REF!</definedName>
    <definedName name="TEMPA" localSheetId="5">#REF!</definedName>
    <definedName name="TEMPA" localSheetId="6">#REF!</definedName>
    <definedName name="TEMPA">#REF!</definedName>
    <definedName name="Total_Current_Wholesale_Line" localSheetId="1">#REF!</definedName>
    <definedName name="Total_Current_Wholesale_Line" localSheetId="4">#REF!</definedName>
    <definedName name="Total_Current_Wholesale_Line" localSheetId="5">#REF!</definedName>
    <definedName name="Total_Current_Wholesale_Line" localSheetId="6">#REF!</definedName>
    <definedName name="Total_Current_Wholesale_Line">#REF!</definedName>
    <definedName name="Total_Current_Wholesale_Lineplus" localSheetId="1">#REF!</definedName>
    <definedName name="Total_Current_Wholesale_Lineplus" localSheetId="4">#REF!</definedName>
    <definedName name="Total_Current_Wholesale_Lineplus" localSheetId="5">#REF!</definedName>
    <definedName name="Total_Current_Wholesale_Lineplus" localSheetId="6">#REF!</definedName>
    <definedName name="Total_Current_Wholesale_Lineplus">#REF!</definedName>
    <definedName name="total_current_wholesale_network" localSheetId="1">#REF!</definedName>
    <definedName name="total_current_wholesale_network" localSheetId="4">#REF!</definedName>
    <definedName name="total_current_wholesale_network" localSheetId="5">#REF!</definedName>
    <definedName name="total_current_wholesale_network" localSheetId="6">#REF!</definedName>
    <definedName name="total_current_wholesale_network">#REF!</definedName>
    <definedName name="total_dept" localSheetId="1">#REF!</definedName>
    <definedName name="total_dept" localSheetId="4">#REF!</definedName>
    <definedName name="total_dept" localSheetId="5">#REF!</definedName>
    <definedName name="total_dept" localSheetId="6">#REF!</definedName>
    <definedName name="total_dept">#REF!</definedName>
    <definedName name="total_manpower" localSheetId="1">#REF!</definedName>
    <definedName name="total_manpower" localSheetId="4">#REF!</definedName>
    <definedName name="total_manpower" localSheetId="5">#REF!</definedName>
    <definedName name="total_manpower" localSheetId="6">#REF!</definedName>
    <definedName name="total_manpower">#REF!</definedName>
    <definedName name="total_material" localSheetId="1">#REF!</definedName>
    <definedName name="total_material" localSheetId="4">#REF!</definedName>
    <definedName name="total_material" localSheetId="5">#REF!</definedName>
    <definedName name="total_material" localSheetId="6">#REF!</definedName>
    <definedName name="total_material">#REF!</definedName>
    <definedName name="total_other" localSheetId="1">#REF!</definedName>
    <definedName name="total_other" localSheetId="4">#REF!</definedName>
    <definedName name="total_other" localSheetId="5">#REF!</definedName>
    <definedName name="total_other" localSheetId="6">#REF!</definedName>
    <definedName name="total_other">#REF!</definedName>
    <definedName name="total_transportation" localSheetId="1">#REF!</definedName>
    <definedName name="total_transportation" localSheetId="4">#REF!</definedName>
    <definedName name="total_transportation" localSheetId="5">#REF!</definedName>
    <definedName name="total_transportation" localSheetId="6">#REF!</definedName>
    <definedName name="total_transportation">#REF!</definedName>
    <definedName name="TRANBUD" localSheetId="1">#REF!</definedName>
    <definedName name="TRANBUD" localSheetId="4">#REF!</definedName>
    <definedName name="TRANBUD" localSheetId="5">#REF!</definedName>
    <definedName name="TRANBUD" localSheetId="6">#REF!</definedName>
    <definedName name="TRANBUD">#REF!</definedName>
    <definedName name="TranCust" localSheetId="1">#REF!</definedName>
    <definedName name="TranCust" localSheetId="4">#REF!</definedName>
    <definedName name="TranCust" localSheetId="5">#REF!</definedName>
    <definedName name="TranCust" localSheetId="6">#REF!</definedName>
    <definedName name="TranCust">#REF!</definedName>
    <definedName name="TranCustb" localSheetId="1">#REF!</definedName>
    <definedName name="TranCustb" localSheetId="4">#REF!</definedName>
    <definedName name="TranCustb" localSheetId="5">#REF!</definedName>
    <definedName name="TranCustb" localSheetId="6">#REF!</definedName>
    <definedName name="TranCustb">#REF!</definedName>
    <definedName name="TRANEND" localSheetId="1">#REF!</definedName>
    <definedName name="TRANEND" localSheetId="4">#REF!</definedName>
    <definedName name="TRANEND" localSheetId="5">#REF!</definedName>
    <definedName name="TRANEND" localSheetId="6">#REF!</definedName>
    <definedName name="TRANEND">#REF!</definedName>
    <definedName name="TransCust" localSheetId="1">#REF!</definedName>
    <definedName name="TransCust" localSheetId="4">#REF!</definedName>
    <definedName name="TransCust" localSheetId="5">#REF!</definedName>
    <definedName name="TransCust" localSheetId="6">#REF!</definedName>
    <definedName name="TransCust">#REF!</definedName>
    <definedName name="transportation_costs" localSheetId="1">#REF!</definedName>
    <definedName name="transportation_costs" localSheetId="4">#REF!</definedName>
    <definedName name="transportation_costs" localSheetId="5">#REF!</definedName>
    <definedName name="transportation_costs" localSheetId="6">#REF!</definedName>
    <definedName name="transportation_costs">#REF!</definedName>
    <definedName name="TRANSTART" localSheetId="1">#REF!</definedName>
    <definedName name="TRANSTART" localSheetId="4">#REF!</definedName>
    <definedName name="TRANSTART" localSheetId="5">#REF!</definedName>
    <definedName name="TRANSTART" localSheetId="6">#REF!</definedName>
    <definedName name="TRANSTART">#REF!</definedName>
    <definedName name="trn_beg_bud" localSheetId="1">#REF!</definedName>
    <definedName name="trn_beg_bud" localSheetId="4">#REF!</definedName>
    <definedName name="trn_beg_bud" localSheetId="5">#REF!</definedName>
    <definedName name="trn_beg_bud" localSheetId="6">#REF!</definedName>
    <definedName name="trn_beg_bud">#REF!</definedName>
    <definedName name="trn_end_bud" localSheetId="1">#REF!</definedName>
    <definedName name="trn_end_bud" localSheetId="4">#REF!</definedName>
    <definedName name="trn_end_bud" localSheetId="5">#REF!</definedName>
    <definedName name="trn_end_bud" localSheetId="6">#REF!</definedName>
    <definedName name="trn_end_bud">#REF!</definedName>
    <definedName name="trn12ACT" localSheetId="1">#REF!</definedName>
    <definedName name="trn12ACT" localSheetId="4">#REF!</definedName>
    <definedName name="trn12ACT" localSheetId="5">#REF!</definedName>
    <definedName name="trn12ACT" localSheetId="6">#REF!</definedName>
    <definedName name="trn12ACT">#REF!</definedName>
    <definedName name="trnCYACT" localSheetId="1">#REF!</definedName>
    <definedName name="trnCYACT" localSheetId="4">#REF!</definedName>
    <definedName name="trnCYACT" localSheetId="5">#REF!</definedName>
    <definedName name="trnCYACT" localSheetId="6">#REF!</definedName>
    <definedName name="trnCYACT">#REF!</definedName>
    <definedName name="trnCYBUD" localSheetId="1">#REF!</definedName>
    <definedName name="trnCYBUD" localSheetId="4">#REF!</definedName>
    <definedName name="trnCYBUD" localSheetId="5">#REF!</definedName>
    <definedName name="trnCYBUD" localSheetId="6">#REF!</definedName>
    <definedName name="trnCYBUD">#REF!</definedName>
    <definedName name="trnCYF" localSheetId="1">#REF!</definedName>
    <definedName name="trnCYF" localSheetId="4">#REF!</definedName>
    <definedName name="trnCYF" localSheetId="5">#REF!</definedName>
    <definedName name="trnCYF" localSheetId="6">#REF!</definedName>
    <definedName name="trnCYF">#REF!</definedName>
    <definedName name="trnNYbud" localSheetId="1">#REF!</definedName>
    <definedName name="trnNYbud" localSheetId="4">#REF!</definedName>
    <definedName name="trnNYbud" localSheetId="5">#REF!</definedName>
    <definedName name="trnNYbud" localSheetId="6">#REF!</definedName>
    <definedName name="trnNYbud">#REF!</definedName>
    <definedName name="trnPYACT" localSheetId="1">#REF!</definedName>
    <definedName name="trnPYACT" localSheetId="4">#REF!</definedName>
    <definedName name="trnPYACT" localSheetId="5">#REF!</definedName>
    <definedName name="trnPYACT" localSheetId="6">#REF!</definedName>
    <definedName name="trnPYACT">#REF!</definedName>
    <definedName name="Units1" localSheetId="1">#REF!</definedName>
    <definedName name="Units1" localSheetId="4">#REF!</definedName>
    <definedName name="Units1" localSheetId="5">#REF!</definedName>
    <definedName name="Units1" localSheetId="6">#REF!</definedName>
    <definedName name="Units1">#REF!</definedName>
    <definedName name="Units2" localSheetId="1">#REF!</definedName>
    <definedName name="Units2" localSheetId="4">#REF!</definedName>
    <definedName name="Units2" localSheetId="5">#REF!</definedName>
    <definedName name="Units2" localSheetId="6">#REF!</definedName>
    <definedName name="Units2">#REF!</definedName>
    <definedName name="WAGBENF" localSheetId="1">#REF!</definedName>
    <definedName name="WAGBENF" localSheetId="4">#REF!</definedName>
    <definedName name="WAGBENF" localSheetId="5">#REF!</definedName>
    <definedName name="WAGBENF" localSheetId="6">#REF!</definedName>
    <definedName name="WAGBENF">#REF!</definedName>
    <definedName name="wagdob" localSheetId="1">#REF!</definedName>
    <definedName name="wagdob" localSheetId="4">#REF!</definedName>
    <definedName name="wagdob" localSheetId="5">#REF!</definedName>
    <definedName name="wagdob" localSheetId="6">#REF!</definedName>
    <definedName name="wagdob">#REF!</definedName>
    <definedName name="wagdobf" localSheetId="1">#REF!</definedName>
    <definedName name="wagdobf" localSheetId="4">#REF!</definedName>
    <definedName name="wagdobf" localSheetId="5">#REF!</definedName>
    <definedName name="wagdobf" localSheetId="6">#REF!</definedName>
    <definedName name="wagdobf">#REF!</definedName>
    <definedName name="wagreg" localSheetId="1">#REF!</definedName>
    <definedName name="wagreg" localSheetId="4">#REF!</definedName>
    <definedName name="wagreg" localSheetId="5">#REF!</definedName>
    <definedName name="wagreg" localSheetId="6">#REF!</definedName>
    <definedName name="wagreg">#REF!</definedName>
    <definedName name="wagregf" localSheetId="1">#REF!</definedName>
    <definedName name="wagregf" localSheetId="4">#REF!</definedName>
    <definedName name="wagregf" localSheetId="5">#REF!</definedName>
    <definedName name="wagregf" localSheetId="6">#REF!</definedName>
    <definedName name="wagregf">#REF!</definedName>
    <definedName name="YRS_LEFT" localSheetId="1">#REF!</definedName>
    <definedName name="YRS_LEFT" localSheetId="4">#REF!</definedName>
    <definedName name="YRS_LEFT" localSheetId="5">#REF!</definedName>
    <definedName name="YRS_LEFT" localSheetId="6">#REF!</definedName>
    <definedName name="YRS_LEF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46" roundtripDataChecksum="2QrqJ7tz+gzQAibscQJlZ7TPSvPIT8Z3fKPbPgzDfQk="/>
    </ext>
  </extLst>
</workbook>
</file>

<file path=xl/calcChain.xml><?xml version="1.0" encoding="utf-8"?>
<calcChain xmlns="http://schemas.openxmlformats.org/spreadsheetml/2006/main">
  <c r="AL65" i="41" l="1"/>
  <c r="AE65" i="41"/>
  <c r="X65" i="41"/>
  <c r="Q65" i="41"/>
  <c r="J65" i="41"/>
  <c r="K37" i="41" s="1"/>
  <c r="K43" i="41" s="1"/>
  <c r="F65" i="41"/>
  <c r="AL50" i="41"/>
  <c r="AE50" i="41"/>
  <c r="X50" i="41"/>
  <c r="Q50" i="41"/>
  <c r="J50" i="41"/>
  <c r="F50" i="41"/>
  <c r="C50" i="41"/>
  <c r="AL49" i="41"/>
  <c r="AE49" i="41"/>
  <c r="X49" i="41"/>
  <c r="Q49" i="41"/>
  <c r="J49" i="41"/>
  <c r="F49" i="41"/>
  <c r="C49" i="41"/>
  <c r="AM48" i="41"/>
  <c r="AN48" i="41" s="1"/>
  <c r="AL48" i="41"/>
  <c r="AF48" i="41"/>
  <c r="AG48" i="41" s="1"/>
  <c r="AI48" i="41" s="1"/>
  <c r="AE48" i="41"/>
  <c r="AE37" i="41" s="1"/>
  <c r="AG37" i="41" s="1"/>
  <c r="Z48" i="41"/>
  <c r="Y48" i="41"/>
  <c r="X48" i="41"/>
  <c r="R48" i="41"/>
  <c r="S48" i="41" s="1"/>
  <c r="Q48" i="41"/>
  <c r="K48" i="41"/>
  <c r="L48" i="41" s="1"/>
  <c r="J48" i="41"/>
  <c r="J37" i="41" s="1"/>
  <c r="G48" i="41"/>
  <c r="F48" i="41"/>
  <c r="H48" i="41" s="1"/>
  <c r="C48" i="41"/>
  <c r="AM47" i="41"/>
  <c r="AL47" i="41"/>
  <c r="AF47" i="41"/>
  <c r="AG47" i="41" s="1"/>
  <c r="AE47" i="41"/>
  <c r="Y47" i="41"/>
  <c r="Z47" i="41" s="1"/>
  <c r="X47" i="41"/>
  <c r="R47" i="41"/>
  <c r="S47" i="41" s="1"/>
  <c r="Q47" i="41"/>
  <c r="Q37" i="41" s="1"/>
  <c r="S37" i="41" s="1"/>
  <c r="L47" i="41"/>
  <c r="K47" i="41"/>
  <c r="J47" i="41"/>
  <c r="G47" i="41"/>
  <c r="F47" i="41"/>
  <c r="H47" i="41" s="1"/>
  <c r="C47" i="41"/>
  <c r="AM46" i="41"/>
  <c r="AN46" i="41" s="1"/>
  <c r="AP46" i="41" s="1"/>
  <c r="AL46" i="41"/>
  <c r="AF46" i="41"/>
  <c r="AG46" i="41" s="1"/>
  <c r="AE46" i="41"/>
  <c r="Y46" i="41"/>
  <c r="X46" i="41"/>
  <c r="X37" i="41" s="1"/>
  <c r="S46" i="41"/>
  <c r="R46" i="41"/>
  <c r="Q46" i="41"/>
  <c r="K46" i="41"/>
  <c r="L46" i="41" s="1"/>
  <c r="J46" i="41"/>
  <c r="G46" i="41"/>
  <c r="F46" i="41"/>
  <c r="C46" i="41"/>
  <c r="C45" i="41"/>
  <c r="Y44" i="41"/>
  <c r="R44" i="41"/>
  <c r="K44" i="41"/>
  <c r="C44" i="41"/>
  <c r="AF43" i="41"/>
  <c r="Y43" i="41"/>
  <c r="R43" i="41"/>
  <c r="C43" i="41"/>
  <c r="AF41" i="41"/>
  <c r="K41" i="41"/>
  <c r="C41" i="41"/>
  <c r="AM40" i="41"/>
  <c r="R40" i="41"/>
  <c r="K40" i="41"/>
  <c r="C40" i="41"/>
  <c r="AM38" i="41"/>
  <c r="AF38" i="41"/>
  <c r="Y38" i="41"/>
  <c r="R38" i="41"/>
  <c r="K38" i="41"/>
  <c r="G38" i="41"/>
  <c r="C38" i="41"/>
  <c r="AN37" i="41"/>
  <c r="AP37" i="41" s="1"/>
  <c r="AM37" i="41"/>
  <c r="AM44" i="41" s="1"/>
  <c r="AL37" i="41"/>
  <c r="AF37" i="41"/>
  <c r="AF40" i="41" s="1"/>
  <c r="Y37" i="41"/>
  <c r="U37" i="41"/>
  <c r="R37" i="41"/>
  <c r="R41" i="41" s="1"/>
  <c r="L37" i="41"/>
  <c r="G37" i="41"/>
  <c r="C37" i="41"/>
  <c r="AF36" i="41"/>
  <c r="R36" i="41"/>
  <c r="K36" i="41"/>
  <c r="C36" i="41"/>
  <c r="AM35" i="41"/>
  <c r="AF35" i="41"/>
  <c r="Y35" i="41"/>
  <c r="R35" i="41"/>
  <c r="K35" i="41"/>
  <c r="G35" i="41"/>
  <c r="C35" i="41"/>
  <c r="AM34" i="41"/>
  <c r="AF34" i="41"/>
  <c r="Y34" i="41"/>
  <c r="R34" i="41"/>
  <c r="K34" i="41"/>
  <c r="G34" i="41"/>
  <c r="C34" i="41"/>
  <c r="AM33" i="41"/>
  <c r="AF33" i="41"/>
  <c r="Y33" i="41"/>
  <c r="R33" i="41"/>
  <c r="K33" i="41"/>
  <c r="G33" i="41"/>
  <c r="C33" i="41"/>
  <c r="AM32" i="41"/>
  <c r="AF32" i="41"/>
  <c r="Y32" i="41"/>
  <c r="R32" i="41"/>
  <c r="K32" i="41"/>
  <c r="G32" i="41"/>
  <c r="C32" i="41"/>
  <c r="AM31" i="41"/>
  <c r="AF31" i="41"/>
  <c r="Y31" i="41"/>
  <c r="R31" i="41"/>
  <c r="K31" i="41"/>
  <c r="G31" i="41"/>
  <c r="C31" i="41"/>
  <c r="AM30" i="41"/>
  <c r="AF30" i="41"/>
  <c r="Y30" i="41"/>
  <c r="R30" i="41"/>
  <c r="K30" i="41"/>
  <c r="G30" i="41"/>
  <c r="C30" i="41"/>
  <c r="AM28" i="41"/>
  <c r="AF28" i="41"/>
  <c r="Y28" i="41"/>
  <c r="R28" i="41"/>
  <c r="K28" i="41"/>
  <c r="G28" i="41"/>
  <c r="C28" i="41"/>
  <c r="AM27" i="41"/>
  <c r="AF27" i="41"/>
  <c r="Y27" i="41"/>
  <c r="R27" i="41"/>
  <c r="K27" i="41"/>
  <c r="G27" i="41"/>
  <c r="C27" i="41"/>
  <c r="AM26" i="41"/>
  <c r="AF26" i="41"/>
  <c r="Y26" i="41"/>
  <c r="R26" i="41"/>
  <c r="K26" i="41"/>
  <c r="G26" i="41"/>
  <c r="C26" i="41"/>
  <c r="AM25" i="41"/>
  <c r="AF25" i="41"/>
  <c r="Y25" i="41"/>
  <c r="R25" i="41"/>
  <c r="K25" i="41"/>
  <c r="G25" i="41"/>
  <c r="C25" i="41"/>
  <c r="AM24" i="41"/>
  <c r="AF24" i="41"/>
  <c r="Y24" i="41"/>
  <c r="R24" i="41"/>
  <c r="K24" i="41"/>
  <c r="G24" i="41"/>
  <c r="C24" i="41"/>
  <c r="AM23" i="41"/>
  <c r="AF23" i="41"/>
  <c r="Y23" i="41"/>
  <c r="R23" i="41"/>
  <c r="K23" i="41"/>
  <c r="G23" i="41"/>
  <c r="C23" i="41"/>
  <c r="AM22" i="41"/>
  <c r="AF22" i="41"/>
  <c r="Y22" i="41"/>
  <c r="R22" i="41"/>
  <c r="K22" i="41"/>
  <c r="G22" i="41"/>
  <c r="C22" i="41"/>
  <c r="AM21" i="41"/>
  <c r="AF21" i="41"/>
  <c r="Y21" i="41"/>
  <c r="S21" i="41"/>
  <c r="AC21" i="41" s="1"/>
  <c r="R21" i="41"/>
  <c r="Q21" i="41"/>
  <c r="K21" i="41"/>
  <c r="L21" i="41" s="1"/>
  <c r="J21" i="41"/>
  <c r="G21" i="41"/>
  <c r="H21" i="41" s="1"/>
  <c r="O21" i="41" s="1"/>
  <c r="F21" i="41"/>
  <c r="C21" i="41"/>
  <c r="AM20" i="41"/>
  <c r="AF20" i="41"/>
  <c r="Y20" i="41"/>
  <c r="R20" i="41"/>
  <c r="K20" i="41"/>
  <c r="G20" i="41"/>
  <c r="C20" i="41"/>
  <c r="AM19" i="41"/>
  <c r="AF19" i="41"/>
  <c r="Y19" i="41"/>
  <c r="R19" i="41"/>
  <c r="K19" i="41"/>
  <c r="G19" i="41"/>
  <c r="C19" i="41"/>
  <c r="AM18" i="41"/>
  <c r="AF18" i="41"/>
  <c r="Y18" i="41"/>
  <c r="R18" i="41"/>
  <c r="K18" i="41"/>
  <c r="G18" i="41"/>
  <c r="B18" i="41"/>
  <c r="C18" i="41" s="1"/>
  <c r="AM17" i="41"/>
  <c r="AF17" i="41"/>
  <c r="Y17" i="41"/>
  <c r="R17" i="41"/>
  <c r="K17" i="41"/>
  <c r="G17" i="41"/>
  <c r="B17" i="41"/>
  <c r="C17" i="41" s="1"/>
  <c r="AM16" i="41"/>
  <c r="AF16" i="41"/>
  <c r="Y16" i="41"/>
  <c r="R16" i="41"/>
  <c r="K16" i="41"/>
  <c r="G16" i="41"/>
  <c r="C16" i="41"/>
  <c r="AM15" i="41"/>
  <c r="AF15" i="41"/>
  <c r="Y15" i="41"/>
  <c r="R15" i="41"/>
  <c r="K15" i="41"/>
  <c r="G15" i="41"/>
  <c r="C15" i="41"/>
  <c r="AP12" i="41"/>
  <c r="AI12" i="41"/>
  <c r="AB12" i="41"/>
  <c r="U12" i="41"/>
  <c r="N12" i="41"/>
  <c r="AQ11" i="41"/>
  <c r="AN11" i="41"/>
  <c r="AG11" i="41"/>
  <c r="AJ11" i="41" s="1"/>
  <c r="AC11" i="41"/>
  <c r="Z11" i="41"/>
  <c r="V11" i="41"/>
  <c r="S11" i="41"/>
  <c r="O11" i="41"/>
  <c r="L11" i="41"/>
  <c r="H11" i="41"/>
  <c r="S2" i="41"/>
  <c r="R49" i="41" s="1"/>
  <c r="S49" i="41" s="1"/>
  <c r="AL65" i="40"/>
  <c r="AM37" i="40" s="1"/>
  <c r="AM43" i="40" s="1"/>
  <c r="AE65" i="40"/>
  <c r="X65" i="40"/>
  <c r="Q65" i="40"/>
  <c r="J65" i="40"/>
  <c r="K37" i="40" s="1"/>
  <c r="F65" i="40"/>
  <c r="G37" i="40" s="1"/>
  <c r="AL50" i="40"/>
  <c r="AE50" i="40"/>
  <c r="Y50" i="40"/>
  <c r="Z50" i="40" s="1"/>
  <c r="X50" i="40"/>
  <c r="Q50" i="40"/>
  <c r="J50" i="40"/>
  <c r="F50" i="40"/>
  <c r="C50" i="40"/>
  <c r="AL49" i="40"/>
  <c r="AE49" i="40"/>
  <c r="X49" i="40"/>
  <c r="R49" i="40"/>
  <c r="S49" i="40" s="1"/>
  <c r="Q49" i="40"/>
  <c r="J49" i="40"/>
  <c r="F49" i="40"/>
  <c r="C49" i="40"/>
  <c r="AM48" i="40"/>
  <c r="AN48" i="40" s="1"/>
  <c r="AP48" i="40" s="1"/>
  <c r="AL48" i="40"/>
  <c r="AF48" i="40"/>
  <c r="AE48" i="40"/>
  <c r="AG48" i="40" s="1"/>
  <c r="Y48" i="40"/>
  <c r="Z48" i="40" s="1"/>
  <c r="X48" i="40"/>
  <c r="R48" i="40"/>
  <c r="S48" i="40" s="1"/>
  <c r="Q48" i="40"/>
  <c r="K48" i="40"/>
  <c r="L48" i="40" s="1"/>
  <c r="J48" i="40"/>
  <c r="G48" i="40"/>
  <c r="F48" i="40"/>
  <c r="H48" i="40" s="1"/>
  <c r="C48" i="40"/>
  <c r="AM47" i="40"/>
  <c r="AL47" i="40"/>
  <c r="AN47" i="40" s="1"/>
  <c r="AF47" i="40"/>
  <c r="AE47" i="40"/>
  <c r="Y47" i="40"/>
  <c r="Z47" i="40" s="1"/>
  <c r="X47" i="40"/>
  <c r="U47" i="40"/>
  <c r="R47" i="40"/>
  <c r="S47" i="40" s="1"/>
  <c r="Q47" i="40"/>
  <c r="O47" i="40"/>
  <c r="N47" i="40"/>
  <c r="L47" i="40"/>
  <c r="K47" i="40"/>
  <c r="J47" i="40"/>
  <c r="H47" i="40"/>
  <c r="G47" i="40"/>
  <c r="F47" i="40"/>
  <c r="C47" i="40"/>
  <c r="AP46" i="40"/>
  <c r="AQ46" i="40" s="1"/>
  <c r="AM46" i="40"/>
  <c r="AN46" i="40" s="1"/>
  <c r="AL46" i="40"/>
  <c r="AF46" i="40"/>
  <c r="AG46" i="40" s="1"/>
  <c r="AE46" i="40"/>
  <c r="Y46" i="40"/>
  <c r="Z46" i="40" s="1"/>
  <c r="X46" i="40"/>
  <c r="S46" i="40"/>
  <c r="R46" i="40"/>
  <c r="Q46" i="40"/>
  <c r="K46" i="40"/>
  <c r="L46" i="40" s="1"/>
  <c r="J46" i="40"/>
  <c r="G46" i="40"/>
  <c r="F46" i="40"/>
  <c r="C46" i="40"/>
  <c r="AM45" i="40"/>
  <c r="AF45" i="40"/>
  <c r="Y45" i="40"/>
  <c r="R45" i="40"/>
  <c r="K45" i="40"/>
  <c r="G45" i="40"/>
  <c r="C45" i="40"/>
  <c r="AM44" i="40"/>
  <c r="Y44" i="40"/>
  <c r="C44" i="40"/>
  <c r="AF43" i="40"/>
  <c r="C43" i="40"/>
  <c r="AM41" i="40"/>
  <c r="AF41" i="40"/>
  <c r="Y41" i="40"/>
  <c r="R41" i="40"/>
  <c r="K41" i="40"/>
  <c r="G41" i="40"/>
  <c r="C41" i="40"/>
  <c r="AM40" i="40"/>
  <c r="AF40" i="40"/>
  <c r="Y40" i="40"/>
  <c r="R40" i="40"/>
  <c r="K40" i="40"/>
  <c r="G40" i="40"/>
  <c r="C40" i="40"/>
  <c r="AM38" i="40"/>
  <c r="AF38" i="40"/>
  <c r="Y38" i="40"/>
  <c r="R38" i="40"/>
  <c r="K38" i="40"/>
  <c r="G38" i="40"/>
  <c r="AL37" i="40"/>
  <c r="AN37" i="40" s="1"/>
  <c r="AF37" i="40"/>
  <c r="AF44" i="40" s="1"/>
  <c r="AB37" i="40"/>
  <c r="Z37" i="40"/>
  <c r="Y37" i="40"/>
  <c r="Y43" i="40" s="1"/>
  <c r="X37" i="40"/>
  <c r="S37" i="40"/>
  <c r="R37" i="40"/>
  <c r="Q37" i="40"/>
  <c r="J37" i="40"/>
  <c r="AM36" i="40"/>
  <c r="AF36" i="40"/>
  <c r="Y36" i="40"/>
  <c r="R36" i="40"/>
  <c r="K36" i="40"/>
  <c r="G36" i="40"/>
  <c r="C36" i="40"/>
  <c r="AM35" i="40"/>
  <c r="AF35" i="40"/>
  <c r="Y35" i="40"/>
  <c r="R35" i="40"/>
  <c r="K35" i="40"/>
  <c r="G35" i="40"/>
  <c r="C35" i="40"/>
  <c r="AM34" i="40"/>
  <c r="AF34" i="40"/>
  <c r="Y34" i="40"/>
  <c r="R34" i="40"/>
  <c r="K34" i="40"/>
  <c r="G34" i="40"/>
  <c r="C34" i="40"/>
  <c r="AM33" i="40"/>
  <c r="AF33" i="40"/>
  <c r="Y33" i="40"/>
  <c r="R33" i="40"/>
  <c r="K33" i="40"/>
  <c r="G33" i="40"/>
  <c r="C33" i="40"/>
  <c r="AM32" i="40"/>
  <c r="AF32" i="40"/>
  <c r="Y32" i="40"/>
  <c r="R32" i="40"/>
  <c r="K32" i="40"/>
  <c r="G32" i="40"/>
  <c r="C32" i="40"/>
  <c r="AM31" i="40"/>
  <c r="AF31" i="40"/>
  <c r="Y31" i="40"/>
  <c r="R31" i="40"/>
  <c r="K31" i="40"/>
  <c r="G31" i="40"/>
  <c r="C31" i="40"/>
  <c r="AM30" i="40"/>
  <c r="AF30" i="40"/>
  <c r="Y30" i="40"/>
  <c r="R30" i="40"/>
  <c r="K30" i="40"/>
  <c r="G30" i="40"/>
  <c r="C30" i="40"/>
  <c r="AM28" i="40"/>
  <c r="AF28" i="40"/>
  <c r="Y28" i="40"/>
  <c r="R28" i="40"/>
  <c r="K28" i="40"/>
  <c r="G28" i="40"/>
  <c r="AM27" i="40"/>
  <c r="AF27" i="40"/>
  <c r="Y27" i="40"/>
  <c r="R27" i="40"/>
  <c r="K27" i="40"/>
  <c r="G27" i="40"/>
  <c r="AM26" i="40"/>
  <c r="AF26" i="40"/>
  <c r="Y26" i="40"/>
  <c r="R26" i="40"/>
  <c r="K26" i="40"/>
  <c r="G26" i="40"/>
  <c r="C26" i="40"/>
  <c r="AM25" i="40"/>
  <c r="AF25" i="40"/>
  <c r="Y25" i="40"/>
  <c r="R25" i="40"/>
  <c r="K25" i="40"/>
  <c r="G25" i="40"/>
  <c r="C25" i="40"/>
  <c r="AM24" i="40"/>
  <c r="AF24" i="40"/>
  <c r="Y24" i="40"/>
  <c r="R24" i="40"/>
  <c r="K24" i="40"/>
  <c r="G24" i="40"/>
  <c r="C24" i="40"/>
  <c r="AM23" i="40"/>
  <c r="AF23" i="40"/>
  <c r="Y23" i="40"/>
  <c r="R23" i="40"/>
  <c r="K23" i="40"/>
  <c r="G23" i="40"/>
  <c r="C23" i="40"/>
  <c r="AM22" i="40"/>
  <c r="AF22" i="40"/>
  <c r="Y22" i="40"/>
  <c r="R22" i="40"/>
  <c r="K22" i="40"/>
  <c r="G22" i="40"/>
  <c r="C22" i="40"/>
  <c r="AM21" i="40"/>
  <c r="AF21" i="40"/>
  <c r="Y21" i="40"/>
  <c r="S21" i="40"/>
  <c r="R21" i="40"/>
  <c r="Q21" i="40"/>
  <c r="L21" i="40"/>
  <c r="K21" i="40"/>
  <c r="J21" i="40"/>
  <c r="H21" i="40"/>
  <c r="G21" i="40"/>
  <c r="F21" i="40"/>
  <c r="C21" i="40"/>
  <c r="AM20" i="40"/>
  <c r="AF20" i="40"/>
  <c r="Y20" i="40"/>
  <c r="R20" i="40"/>
  <c r="K20" i="40"/>
  <c r="G20" i="40"/>
  <c r="C20" i="40"/>
  <c r="AM19" i="40"/>
  <c r="AF19" i="40"/>
  <c r="Y19" i="40"/>
  <c r="R19" i="40"/>
  <c r="K19" i="40"/>
  <c r="G19" i="40"/>
  <c r="C19" i="40"/>
  <c r="AM18" i="40"/>
  <c r="AF18" i="40"/>
  <c r="Y18" i="40"/>
  <c r="R18" i="40"/>
  <c r="K18" i="40"/>
  <c r="G18" i="40"/>
  <c r="C18" i="40"/>
  <c r="B18" i="40"/>
  <c r="AM17" i="40"/>
  <c r="AF17" i="40"/>
  <c r="Y17" i="40"/>
  <c r="R17" i="40"/>
  <c r="K17" i="40"/>
  <c r="G17" i="40"/>
  <c r="C17" i="40"/>
  <c r="B17" i="40"/>
  <c r="AM16" i="40"/>
  <c r="AF16" i="40"/>
  <c r="Y16" i="40"/>
  <c r="R16" i="40"/>
  <c r="K16" i="40"/>
  <c r="G16" i="40"/>
  <c r="C16" i="40"/>
  <c r="AM15" i="40"/>
  <c r="AF15" i="40"/>
  <c r="Y15" i="40"/>
  <c r="R15" i="40"/>
  <c r="K15" i="40"/>
  <c r="G15" i="40"/>
  <c r="C15" i="40"/>
  <c r="AP12" i="40"/>
  <c r="AI12" i="40"/>
  <c r="AB12" i="40"/>
  <c r="U12" i="40"/>
  <c r="N12" i="40"/>
  <c r="AN11" i="40"/>
  <c r="AQ11" i="40" s="1"/>
  <c r="AG11" i="40"/>
  <c r="AJ11" i="40" s="1"/>
  <c r="AC11" i="40"/>
  <c r="Z11" i="40"/>
  <c r="V11" i="40"/>
  <c r="S11" i="40"/>
  <c r="O11" i="40"/>
  <c r="L11" i="40"/>
  <c r="H11" i="40"/>
  <c r="S2" i="40"/>
  <c r="K50" i="40" s="1"/>
  <c r="L50" i="40" s="1"/>
  <c r="AL65" i="39"/>
  <c r="AE65" i="39"/>
  <c r="X65" i="39"/>
  <c r="Q65" i="39"/>
  <c r="R37" i="39" s="1"/>
  <c r="J65" i="39"/>
  <c r="K37" i="39" s="1"/>
  <c r="F65" i="39"/>
  <c r="G37" i="39" s="1"/>
  <c r="C50" i="39"/>
  <c r="C49" i="39"/>
  <c r="C48" i="39"/>
  <c r="C47" i="39"/>
  <c r="AM46" i="39"/>
  <c r="AF46" i="39"/>
  <c r="Y46" i="39"/>
  <c r="R46" i="39"/>
  <c r="K46" i="39"/>
  <c r="G46" i="39"/>
  <c r="C46" i="39"/>
  <c r="C45" i="39"/>
  <c r="AF44" i="39"/>
  <c r="R44" i="39"/>
  <c r="C44" i="39"/>
  <c r="AM43" i="39"/>
  <c r="Y43" i="39"/>
  <c r="G43" i="39"/>
  <c r="C43" i="39"/>
  <c r="AM41" i="39"/>
  <c r="AF41" i="39"/>
  <c r="Y41" i="39"/>
  <c r="R41" i="39"/>
  <c r="K41" i="39"/>
  <c r="G41" i="39"/>
  <c r="C41" i="39"/>
  <c r="AM40" i="39"/>
  <c r="AF40" i="39"/>
  <c r="Y40" i="39"/>
  <c r="R40" i="39"/>
  <c r="K40" i="39"/>
  <c r="G40" i="39"/>
  <c r="C40" i="39"/>
  <c r="AM38" i="39"/>
  <c r="AF38" i="39"/>
  <c r="Y38" i="39"/>
  <c r="R38" i="39"/>
  <c r="K38" i="39"/>
  <c r="G38" i="39"/>
  <c r="C38" i="39"/>
  <c r="AM37" i="39"/>
  <c r="AM44" i="39" s="1"/>
  <c r="AF37" i="39"/>
  <c r="AF43" i="39" s="1"/>
  <c r="Y37" i="39"/>
  <c r="C37" i="39"/>
  <c r="AM36" i="39"/>
  <c r="AF36" i="39"/>
  <c r="Y36" i="39"/>
  <c r="R36" i="39"/>
  <c r="K36" i="39"/>
  <c r="G36" i="39"/>
  <c r="C36" i="39"/>
  <c r="AM35" i="39"/>
  <c r="AF35" i="39"/>
  <c r="Y35" i="39"/>
  <c r="R35" i="39"/>
  <c r="K35" i="39"/>
  <c r="G35" i="39"/>
  <c r="C35" i="39"/>
  <c r="AM34" i="39"/>
  <c r="AF34" i="39"/>
  <c r="Y34" i="39"/>
  <c r="R34" i="39"/>
  <c r="K34" i="39"/>
  <c r="G34" i="39"/>
  <c r="C34" i="39"/>
  <c r="AM33" i="39"/>
  <c r="AF33" i="39"/>
  <c r="Y33" i="39"/>
  <c r="R33" i="39"/>
  <c r="K33" i="39"/>
  <c r="G33" i="39"/>
  <c r="C33" i="39"/>
  <c r="AM32" i="39"/>
  <c r="AF32" i="39"/>
  <c r="Y32" i="39"/>
  <c r="R32" i="39"/>
  <c r="K32" i="39"/>
  <c r="G32" i="39"/>
  <c r="C32" i="39"/>
  <c r="AM31" i="39"/>
  <c r="AF31" i="39"/>
  <c r="Y31" i="39"/>
  <c r="R31" i="39"/>
  <c r="K31" i="39"/>
  <c r="G31" i="39"/>
  <c r="C31" i="39"/>
  <c r="AM30" i="39"/>
  <c r="AF30" i="39"/>
  <c r="Y30" i="39"/>
  <c r="R30" i="39"/>
  <c r="K30" i="39"/>
  <c r="G30" i="39"/>
  <c r="C30" i="39"/>
  <c r="AM28" i="39"/>
  <c r="AF28" i="39"/>
  <c r="Y28" i="39"/>
  <c r="R28" i="39"/>
  <c r="K28" i="39"/>
  <c r="G28" i="39"/>
  <c r="C28" i="39"/>
  <c r="AM27" i="39"/>
  <c r="AF27" i="39"/>
  <c r="Y27" i="39"/>
  <c r="R27" i="39"/>
  <c r="K27" i="39"/>
  <c r="G27" i="39"/>
  <c r="C27" i="39"/>
  <c r="AM26" i="39"/>
  <c r="AF26" i="39"/>
  <c r="Y26" i="39"/>
  <c r="R26" i="39"/>
  <c r="K26" i="39"/>
  <c r="G26" i="39"/>
  <c r="C26" i="39"/>
  <c r="AM25" i="39"/>
  <c r="AF25" i="39"/>
  <c r="Y25" i="39"/>
  <c r="R25" i="39"/>
  <c r="K25" i="39"/>
  <c r="G25" i="39"/>
  <c r="C25" i="39"/>
  <c r="AM24" i="39"/>
  <c r="AF24" i="39"/>
  <c r="Y24" i="39"/>
  <c r="R24" i="39"/>
  <c r="K24" i="39"/>
  <c r="G24" i="39"/>
  <c r="C24" i="39"/>
  <c r="AM23" i="39"/>
  <c r="AF23" i="39"/>
  <c r="Y23" i="39"/>
  <c r="R23" i="39"/>
  <c r="K23" i="39"/>
  <c r="G23" i="39"/>
  <c r="C23" i="39"/>
  <c r="AM22" i="39"/>
  <c r="AF22" i="39"/>
  <c r="Y22" i="39"/>
  <c r="R22" i="39"/>
  <c r="K22" i="39"/>
  <c r="G22" i="39"/>
  <c r="C22" i="39"/>
  <c r="AM21" i="39"/>
  <c r="AF21" i="39"/>
  <c r="Y21" i="39"/>
  <c r="R21" i="39"/>
  <c r="S21" i="39" s="1"/>
  <c r="Q21" i="39"/>
  <c r="K21" i="39"/>
  <c r="L21" i="39" s="1"/>
  <c r="J21" i="39"/>
  <c r="G21" i="39"/>
  <c r="F21" i="39"/>
  <c r="H21" i="39" s="1"/>
  <c r="C21" i="39"/>
  <c r="AM20" i="39"/>
  <c r="AF20" i="39"/>
  <c r="Y20" i="39"/>
  <c r="R20" i="39"/>
  <c r="K20" i="39"/>
  <c r="G20" i="39"/>
  <c r="C20" i="39"/>
  <c r="AM19" i="39"/>
  <c r="AF19" i="39"/>
  <c r="Y19" i="39"/>
  <c r="R19" i="39"/>
  <c r="K19" i="39"/>
  <c r="G19" i="39"/>
  <c r="C19" i="39"/>
  <c r="AM18" i="39"/>
  <c r="AF18" i="39"/>
  <c r="Y18" i="39"/>
  <c r="R18" i="39"/>
  <c r="K18" i="39"/>
  <c r="G18" i="39"/>
  <c r="C18" i="39"/>
  <c r="B18" i="39"/>
  <c r="AM17" i="39"/>
  <c r="AF17" i="39"/>
  <c r="Y17" i="39"/>
  <c r="R17" i="39"/>
  <c r="K17" i="39"/>
  <c r="G17" i="39"/>
  <c r="C17" i="39"/>
  <c r="B17" i="39"/>
  <c r="AM16" i="39"/>
  <c r="AF16" i="39"/>
  <c r="Y16" i="39"/>
  <c r="R16" i="39"/>
  <c r="K16" i="39"/>
  <c r="G16" i="39"/>
  <c r="C16" i="39"/>
  <c r="AM15" i="39"/>
  <c r="AF15" i="39"/>
  <c r="Y15" i="39"/>
  <c r="R15" i="39"/>
  <c r="K15" i="39"/>
  <c r="G15" i="39"/>
  <c r="C15" i="39"/>
  <c r="AP12" i="39"/>
  <c r="AI12" i="39"/>
  <c r="AB12" i="39"/>
  <c r="U12" i="39"/>
  <c r="N12" i="39"/>
  <c r="AN11" i="39"/>
  <c r="AQ11" i="39" s="1"/>
  <c r="AG11" i="39"/>
  <c r="AJ11" i="39" s="1"/>
  <c r="Z11" i="39"/>
  <c r="AC11" i="39" s="1"/>
  <c r="S11" i="39"/>
  <c r="V11" i="39" s="1"/>
  <c r="O11" i="39"/>
  <c r="L11" i="39"/>
  <c r="H11" i="39"/>
  <c r="AL65" i="38"/>
  <c r="AE65" i="38"/>
  <c r="X65" i="38"/>
  <c r="Y37" i="38" s="1"/>
  <c r="Q65" i="38"/>
  <c r="J65" i="38"/>
  <c r="F65" i="38"/>
  <c r="C50" i="38"/>
  <c r="C49" i="38"/>
  <c r="C48" i="38"/>
  <c r="C47" i="38"/>
  <c r="AM46" i="38"/>
  <c r="AF46" i="38"/>
  <c r="Y46" i="38"/>
  <c r="R46" i="38"/>
  <c r="K46" i="38"/>
  <c r="G46" i="38"/>
  <c r="C46" i="38"/>
  <c r="C45" i="38"/>
  <c r="C44" i="38"/>
  <c r="R43" i="38"/>
  <c r="C43" i="38"/>
  <c r="AM41" i="38"/>
  <c r="AF41" i="38"/>
  <c r="Y41" i="38"/>
  <c r="R41" i="38"/>
  <c r="K41" i="38"/>
  <c r="G41" i="38"/>
  <c r="C41" i="38"/>
  <c r="AM40" i="38"/>
  <c r="AF40" i="38"/>
  <c r="Y40" i="38"/>
  <c r="R40" i="38"/>
  <c r="K40" i="38"/>
  <c r="G40" i="38"/>
  <c r="C40" i="38"/>
  <c r="AM38" i="38"/>
  <c r="AF38" i="38"/>
  <c r="Y38" i="38"/>
  <c r="R38" i="38"/>
  <c r="K38" i="38"/>
  <c r="G38" i="38"/>
  <c r="C38" i="38"/>
  <c r="AM37" i="38"/>
  <c r="AM43" i="38" s="1"/>
  <c r="AF37" i="38"/>
  <c r="R37" i="38"/>
  <c r="K37" i="38"/>
  <c r="G37" i="38"/>
  <c r="C37" i="38"/>
  <c r="AM36" i="38"/>
  <c r="AF36" i="38"/>
  <c r="Y36" i="38"/>
  <c r="R36" i="38"/>
  <c r="K36" i="38"/>
  <c r="G36" i="38"/>
  <c r="C36" i="38"/>
  <c r="AM35" i="38"/>
  <c r="AF35" i="38"/>
  <c r="Y35" i="38"/>
  <c r="R35" i="38"/>
  <c r="K35" i="38"/>
  <c r="G35" i="38"/>
  <c r="C35" i="38"/>
  <c r="AM34" i="38"/>
  <c r="AF34" i="38"/>
  <c r="Y34" i="38"/>
  <c r="R34" i="38"/>
  <c r="K34" i="38"/>
  <c r="G34" i="38"/>
  <c r="C34" i="38"/>
  <c r="AM33" i="38"/>
  <c r="AF33" i="38"/>
  <c r="Y33" i="38"/>
  <c r="R33" i="38"/>
  <c r="K33" i="38"/>
  <c r="G33" i="38"/>
  <c r="C33" i="38"/>
  <c r="AM32" i="38"/>
  <c r="AF32" i="38"/>
  <c r="Y32" i="38"/>
  <c r="R32" i="38"/>
  <c r="K32" i="38"/>
  <c r="G32" i="38"/>
  <c r="C32" i="38"/>
  <c r="AM31" i="38"/>
  <c r="AF31" i="38"/>
  <c r="Y31" i="38"/>
  <c r="R31" i="38"/>
  <c r="K31" i="38"/>
  <c r="G31" i="38"/>
  <c r="C31" i="38"/>
  <c r="AM30" i="38"/>
  <c r="AF30" i="38"/>
  <c r="Y30" i="38"/>
  <c r="R30" i="38"/>
  <c r="K30" i="38"/>
  <c r="G30" i="38"/>
  <c r="C30" i="38"/>
  <c r="AM28" i="38"/>
  <c r="AF28" i="38"/>
  <c r="Y28" i="38"/>
  <c r="R28" i="38"/>
  <c r="K28" i="38"/>
  <c r="G28" i="38"/>
  <c r="C28" i="38"/>
  <c r="AM27" i="38"/>
  <c r="AF27" i="38"/>
  <c r="Y27" i="38"/>
  <c r="R27" i="38"/>
  <c r="K27" i="38"/>
  <c r="G27" i="38"/>
  <c r="C27" i="38"/>
  <c r="AM26" i="38"/>
  <c r="AF26" i="38"/>
  <c r="Y26" i="38"/>
  <c r="R26" i="38"/>
  <c r="K26" i="38"/>
  <c r="G26" i="38"/>
  <c r="C26" i="38"/>
  <c r="AM25" i="38"/>
  <c r="AF25" i="38"/>
  <c r="Y25" i="38"/>
  <c r="R25" i="38"/>
  <c r="K25" i="38"/>
  <c r="G25" i="38"/>
  <c r="C25" i="38"/>
  <c r="AM24" i="38"/>
  <c r="AF24" i="38"/>
  <c r="Y24" i="38"/>
  <c r="R24" i="38"/>
  <c r="K24" i="38"/>
  <c r="G24" i="38"/>
  <c r="C24" i="38"/>
  <c r="AM23" i="38"/>
  <c r="AF23" i="38"/>
  <c r="Y23" i="38"/>
  <c r="R23" i="38"/>
  <c r="K23" i="38"/>
  <c r="G23" i="38"/>
  <c r="C23" i="38"/>
  <c r="AM22" i="38"/>
  <c r="AF22" i="38"/>
  <c r="Y22" i="38"/>
  <c r="R22" i="38"/>
  <c r="K22" i="38"/>
  <c r="G22" i="38"/>
  <c r="C22" i="38"/>
  <c r="AM21" i="38"/>
  <c r="AF21" i="38"/>
  <c r="Y21" i="38"/>
  <c r="R21" i="38"/>
  <c r="S21" i="38" s="1"/>
  <c r="Q21" i="38"/>
  <c r="L21" i="38"/>
  <c r="K21" i="38"/>
  <c r="J21" i="38"/>
  <c r="G21" i="38"/>
  <c r="H21" i="38" s="1"/>
  <c r="F21" i="38"/>
  <c r="C21" i="38"/>
  <c r="AM20" i="38"/>
  <c r="AF20" i="38"/>
  <c r="Y20" i="38"/>
  <c r="R20" i="38"/>
  <c r="K20" i="38"/>
  <c r="G20" i="38"/>
  <c r="C20" i="38"/>
  <c r="AM19" i="38"/>
  <c r="AF19" i="38"/>
  <c r="Y19" i="38"/>
  <c r="R19" i="38"/>
  <c r="K19" i="38"/>
  <c r="G19" i="38"/>
  <c r="C19" i="38"/>
  <c r="AM18" i="38"/>
  <c r="AF18" i="38"/>
  <c r="Y18" i="38"/>
  <c r="R18" i="38"/>
  <c r="K18" i="38"/>
  <c r="G18" i="38"/>
  <c r="B18" i="38"/>
  <c r="C18" i="38" s="1"/>
  <c r="AM17" i="38"/>
  <c r="AF17" i="38"/>
  <c r="Y17" i="38"/>
  <c r="R17" i="38"/>
  <c r="K17" i="38"/>
  <c r="G17" i="38"/>
  <c r="B17" i="38"/>
  <c r="C17" i="38" s="1"/>
  <c r="AM16" i="38"/>
  <c r="AF16" i="38"/>
  <c r="Y16" i="38"/>
  <c r="R16" i="38"/>
  <c r="K16" i="38"/>
  <c r="G16" i="38"/>
  <c r="C16" i="38"/>
  <c r="AM15" i="38"/>
  <c r="AF15" i="38"/>
  <c r="Y15" i="38"/>
  <c r="R15" i="38"/>
  <c r="K15" i="38"/>
  <c r="G15" i="38"/>
  <c r="C15" i="38"/>
  <c r="AP12" i="38"/>
  <c r="AI12" i="38"/>
  <c r="AB12" i="38"/>
  <c r="U12" i="38"/>
  <c r="N12" i="38"/>
  <c r="AQ11" i="38"/>
  <c r="AN11" i="38"/>
  <c r="AG11" i="38"/>
  <c r="AJ11" i="38" s="1"/>
  <c r="AC11" i="38"/>
  <c r="Z11" i="38"/>
  <c r="V11" i="38"/>
  <c r="S11" i="38"/>
  <c r="O11" i="38"/>
  <c r="L11" i="38"/>
  <c r="H11" i="38"/>
  <c r="AL65" i="37"/>
  <c r="AE65" i="37"/>
  <c r="X65" i="37"/>
  <c r="Q65" i="37"/>
  <c r="J65" i="37"/>
  <c r="F65" i="37"/>
  <c r="F53" i="37"/>
  <c r="AL50" i="37"/>
  <c r="AE50" i="37"/>
  <c r="X50" i="37"/>
  <c r="Q50" i="37"/>
  <c r="J50" i="37"/>
  <c r="F50" i="37"/>
  <c r="C50" i="37"/>
  <c r="AL49" i="37"/>
  <c r="AE49" i="37"/>
  <c r="X49" i="37"/>
  <c r="Q49" i="37"/>
  <c r="J49" i="37"/>
  <c r="F49" i="37"/>
  <c r="C49" i="37"/>
  <c r="AM48" i="37"/>
  <c r="AN48" i="37" s="1"/>
  <c r="AP48" i="37" s="1"/>
  <c r="AL48" i="37"/>
  <c r="AG48" i="37"/>
  <c r="AF48" i="37"/>
  <c r="AE48" i="37"/>
  <c r="Y48" i="37"/>
  <c r="X48" i="37"/>
  <c r="Z48" i="37" s="1"/>
  <c r="R48" i="37"/>
  <c r="S48" i="37" s="1"/>
  <c r="Q48" i="37"/>
  <c r="K48" i="37"/>
  <c r="L48" i="37" s="1"/>
  <c r="N48" i="37" s="1"/>
  <c r="O48" i="37" s="1"/>
  <c r="J48" i="37"/>
  <c r="G48" i="37"/>
  <c r="H48" i="37" s="1"/>
  <c r="F48" i="37"/>
  <c r="C48" i="37"/>
  <c r="AQ47" i="37"/>
  <c r="AM47" i="37"/>
  <c r="AN47" i="37" s="1"/>
  <c r="AP47" i="37" s="1"/>
  <c r="AL47" i="37"/>
  <c r="AG47" i="37"/>
  <c r="AI47" i="37" s="1"/>
  <c r="AF47" i="37"/>
  <c r="AE47" i="37"/>
  <c r="Z47" i="37"/>
  <c r="Y47" i="37"/>
  <c r="X47" i="37"/>
  <c r="S47" i="37"/>
  <c r="R47" i="37"/>
  <c r="Q47" i="37"/>
  <c r="L47" i="37"/>
  <c r="K47" i="37"/>
  <c r="J47" i="37"/>
  <c r="H47" i="37"/>
  <c r="G47" i="37"/>
  <c r="F47" i="37"/>
  <c r="C47" i="37"/>
  <c r="AM46" i="37"/>
  <c r="AL46" i="37"/>
  <c r="AN46" i="37" s="1"/>
  <c r="AF46" i="37"/>
  <c r="AE46" i="37"/>
  <c r="Y46" i="37"/>
  <c r="Z46" i="37" s="1"/>
  <c r="X46" i="37"/>
  <c r="S46" i="37"/>
  <c r="U46" i="37" s="1"/>
  <c r="R46" i="37"/>
  <c r="Q46" i="37"/>
  <c r="L46" i="37"/>
  <c r="K46" i="37"/>
  <c r="J46" i="37"/>
  <c r="G46" i="37"/>
  <c r="H46" i="37" s="1"/>
  <c r="F46" i="37"/>
  <c r="C46" i="37"/>
  <c r="AM45" i="37"/>
  <c r="AF45" i="37"/>
  <c r="Y45" i="37"/>
  <c r="R45" i="37"/>
  <c r="K45" i="37"/>
  <c r="G45" i="37"/>
  <c r="C45" i="37"/>
  <c r="R44" i="37"/>
  <c r="C44" i="37"/>
  <c r="AM43" i="37"/>
  <c r="Y43" i="37"/>
  <c r="R43" i="37"/>
  <c r="K43" i="37"/>
  <c r="G43" i="37"/>
  <c r="C43" i="37"/>
  <c r="AM41" i="37"/>
  <c r="AF41" i="37"/>
  <c r="Y41" i="37"/>
  <c r="R41" i="37"/>
  <c r="K41" i="37"/>
  <c r="G41" i="37"/>
  <c r="C41" i="37"/>
  <c r="AM40" i="37"/>
  <c r="AF40" i="37"/>
  <c r="Y40" i="37"/>
  <c r="R40" i="37"/>
  <c r="K40" i="37"/>
  <c r="G40" i="37"/>
  <c r="C40" i="37"/>
  <c r="AM38" i="37"/>
  <c r="AF38" i="37"/>
  <c r="Y38" i="37"/>
  <c r="R38" i="37"/>
  <c r="K38" i="37"/>
  <c r="G38" i="37"/>
  <c r="C38" i="37"/>
  <c r="AM37" i="37"/>
  <c r="AF37" i="37"/>
  <c r="Y37" i="37"/>
  <c r="Y44" i="37" s="1"/>
  <c r="R37" i="37"/>
  <c r="K37" i="37"/>
  <c r="K44" i="37" s="1"/>
  <c r="G37" i="37"/>
  <c r="C37" i="37"/>
  <c r="AM36" i="37"/>
  <c r="AF36" i="37"/>
  <c r="Y36" i="37"/>
  <c r="R36" i="37"/>
  <c r="K36" i="37"/>
  <c r="G36" i="37"/>
  <c r="C36" i="37"/>
  <c r="AM35" i="37"/>
  <c r="AF35" i="37"/>
  <c r="Y35" i="37"/>
  <c r="R35" i="37"/>
  <c r="K35" i="37"/>
  <c r="G35" i="37"/>
  <c r="C35" i="37"/>
  <c r="AM34" i="37"/>
  <c r="AF34" i="37"/>
  <c r="Y34" i="37"/>
  <c r="R34" i="37"/>
  <c r="K34" i="37"/>
  <c r="G34" i="37"/>
  <c r="C34" i="37"/>
  <c r="AM33" i="37"/>
  <c r="AF33" i="37"/>
  <c r="Y33" i="37"/>
  <c r="R33" i="37"/>
  <c r="K33" i="37"/>
  <c r="G33" i="37"/>
  <c r="C33" i="37"/>
  <c r="AM32" i="37"/>
  <c r="AF32" i="37"/>
  <c r="Y32" i="37"/>
  <c r="R32" i="37"/>
  <c r="K32" i="37"/>
  <c r="G32" i="37"/>
  <c r="C32" i="37"/>
  <c r="AM31" i="37"/>
  <c r="AF31" i="37"/>
  <c r="Y31" i="37"/>
  <c r="R31" i="37"/>
  <c r="K31" i="37"/>
  <c r="G31" i="37"/>
  <c r="C31" i="37"/>
  <c r="AM30" i="37"/>
  <c r="AF30" i="37"/>
  <c r="Y30" i="37"/>
  <c r="R30" i="37"/>
  <c r="K30" i="37"/>
  <c r="G30" i="37"/>
  <c r="C30" i="37"/>
  <c r="AM28" i="37"/>
  <c r="AF28" i="37"/>
  <c r="Y28" i="37"/>
  <c r="R28" i="37"/>
  <c r="K28" i="37"/>
  <c r="G28" i="37"/>
  <c r="C28" i="37"/>
  <c r="AM27" i="37"/>
  <c r="AF27" i="37"/>
  <c r="Y27" i="37"/>
  <c r="R27" i="37"/>
  <c r="K27" i="37"/>
  <c r="G27" i="37"/>
  <c r="C27" i="37"/>
  <c r="AM26" i="37"/>
  <c r="AF26" i="37"/>
  <c r="Y26" i="37"/>
  <c r="R26" i="37"/>
  <c r="K26" i="37"/>
  <c r="G26" i="37"/>
  <c r="C26" i="37"/>
  <c r="AM25" i="37"/>
  <c r="AF25" i="37"/>
  <c r="Y25" i="37"/>
  <c r="R25" i="37"/>
  <c r="K25" i="37"/>
  <c r="G25" i="37"/>
  <c r="C25" i="37"/>
  <c r="AM24" i="37"/>
  <c r="AF24" i="37"/>
  <c r="Y24" i="37"/>
  <c r="R24" i="37"/>
  <c r="K24" i="37"/>
  <c r="G24" i="37"/>
  <c r="C24" i="37"/>
  <c r="AM23" i="37"/>
  <c r="AF23" i="37"/>
  <c r="Y23" i="37"/>
  <c r="R23" i="37"/>
  <c r="K23" i="37"/>
  <c r="G23" i="37"/>
  <c r="C23" i="37"/>
  <c r="AM22" i="37"/>
  <c r="AF22" i="37"/>
  <c r="Y22" i="37"/>
  <c r="R22" i="37"/>
  <c r="K22" i="37"/>
  <c r="G22" i="37"/>
  <c r="C22" i="37"/>
  <c r="AM21" i="37"/>
  <c r="AF21" i="37"/>
  <c r="Y21" i="37"/>
  <c r="S21" i="37"/>
  <c r="AC21" i="37" s="1"/>
  <c r="R21" i="37"/>
  <c r="Q21" i="37"/>
  <c r="K21" i="37"/>
  <c r="J21" i="37"/>
  <c r="G21" i="37"/>
  <c r="F21" i="37"/>
  <c r="H21" i="37" s="1"/>
  <c r="O21" i="37" s="1"/>
  <c r="C21" i="37"/>
  <c r="AM20" i="37"/>
  <c r="AF20" i="37"/>
  <c r="Y20" i="37"/>
  <c r="R20" i="37"/>
  <c r="K20" i="37"/>
  <c r="G20" i="37"/>
  <c r="C20" i="37"/>
  <c r="AM19" i="37"/>
  <c r="AF19" i="37"/>
  <c r="Y19" i="37"/>
  <c r="R19" i="37"/>
  <c r="K19" i="37"/>
  <c r="G19" i="37"/>
  <c r="C19" i="37"/>
  <c r="AM18" i="37"/>
  <c r="AF18" i="37"/>
  <c r="Y18" i="37"/>
  <c r="R18" i="37"/>
  <c r="K18" i="37"/>
  <c r="G18" i="37"/>
  <c r="B18" i="37"/>
  <c r="C18" i="37" s="1"/>
  <c r="AM17" i="37"/>
  <c r="AF17" i="37"/>
  <c r="Y17" i="37"/>
  <c r="R17" i="37"/>
  <c r="K17" i="37"/>
  <c r="G17" i="37"/>
  <c r="B17" i="37"/>
  <c r="C17" i="37" s="1"/>
  <c r="AM16" i="37"/>
  <c r="AF16" i="37"/>
  <c r="Y16" i="37"/>
  <c r="R16" i="37"/>
  <c r="K16" i="37"/>
  <c r="G16" i="37"/>
  <c r="C16" i="37"/>
  <c r="AM15" i="37"/>
  <c r="AF15" i="37"/>
  <c r="Y15" i="37"/>
  <c r="R15" i="37"/>
  <c r="K15" i="37"/>
  <c r="G15" i="37"/>
  <c r="C15" i="37"/>
  <c r="AP12" i="37"/>
  <c r="AI12" i="37"/>
  <c r="AB12" i="37"/>
  <c r="U12" i="37"/>
  <c r="N12" i="37"/>
  <c r="AN11" i="37"/>
  <c r="AQ11" i="37" s="1"/>
  <c r="AJ11" i="37"/>
  <c r="AG11" i="37"/>
  <c r="Z11" i="37"/>
  <c r="AC11" i="37" s="1"/>
  <c r="S11" i="37"/>
  <c r="V11" i="37" s="1"/>
  <c r="O11" i="37"/>
  <c r="L11" i="37"/>
  <c r="H11" i="37"/>
  <c r="S2" i="37"/>
  <c r="AM50" i="37" s="1"/>
  <c r="AN50" i="37" s="1"/>
  <c r="AL65" i="36"/>
  <c r="AE65" i="36"/>
  <c r="AF37" i="36" s="1"/>
  <c r="AF43" i="36" s="1"/>
  <c r="X65" i="36"/>
  <c r="Y37" i="36" s="1"/>
  <c r="Q65" i="36"/>
  <c r="R37" i="36" s="1"/>
  <c r="J65" i="36"/>
  <c r="F65" i="36"/>
  <c r="C50" i="36"/>
  <c r="C49" i="36"/>
  <c r="C48" i="36"/>
  <c r="C47" i="36"/>
  <c r="C46" i="36"/>
  <c r="AM45" i="36"/>
  <c r="AF45" i="36"/>
  <c r="Y45" i="36"/>
  <c r="R45" i="36"/>
  <c r="K45" i="36"/>
  <c r="G45" i="36"/>
  <c r="C45" i="36"/>
  <c r="AM44" i="36"/>
  <c r="C44" i="36"/>
  <c r="AM43" i="36"/>
  <c r="AM46" i="36" s="1"/>
  <c r="C43" i="36"/>
  <c r="AM41" i="36"/>
  <c r="AF41" i="36"/>
  <c r="Y41" i="36"/>
  <c r="R41" i="36"/>
  <c r="K41" i="36"/>
  <c r="G41" i="36"/>
  <c r="C41" i="36"/>
  <c r="AM40" i="36"/>
  <c r="AF40" i="36"/>
  <c r="Y40" i="36"/>
  <c r="R40" i="36"/>
  <c r="K40" i="36"/>
  <c r="G40" i="36"/>
  <c r="C40" i="36"/>
  <c r="AM38" i="36"/>
  <c r="AF38" i="36"/>
  <c r="Y38" i="36"/>
  <c r="R38" i="36"/>
  <c r="K38" i="36"/>
  <c r="G38" i="36"/>
  <c r="C38" i="36"/>
  <c r="AN37" i="36"/>
  <c r="AM37" i="36"/>
  <c r="V37" i="36"/>
  <c r="L37" i="36"/>
  <c r="K37" i="36"/>
  <c r="K43" i="36" s="1"/>
  <c r="G37" i="36"/>
  <c r="C37" i="36"/>
  <c r="AM36" i="36"/>
  <c r="AF36" i="36"/>
  <c r="Y36" i="36"/>
  <c r="R36" i="36"/>
  <c r="K36" i="36"/>
  <c r="G36" i="36"/>
  <c r="C36" i="36"/>
  <c r="AM35" i="36"/>
  <c r="AF35" i="36"/>
  <c r="Y35" i="36"/>
  <c r="R35" i="36"/>
  <c r="K35" i="36"/>
  <c r="G35" i="36"/>
  <c r="C35" i="36"/>
  <c r="AM34" i="36"/>
  <c r="AF34" i="36"/>
  <c r="Y34" i="36"/>
  <c r="R34" i="36"/>
  <c r="K34" i="36"/>
  <c r="G34" i="36"/>
  <c r="C34" i="36"/>
  <c r="AM33" i="36"/>
  <c r="AF33" i="36"/>
  <c r="Y33" i="36"/>
  <c r="R33" i="36"/>
  <c r="K33" i="36"/>
  <c r="G33" i="36"/>
  <c r="C33" i="36"/>
  <c r="AM32" i="36"/>
  <c r="AF32" i="36"/>
  <c r="Y32" i="36"/>
  <c r="R32" i="36"/>
  <c r="K32" i="36"/>
  <c r="G32" i="36"/>
  <c r="C32" i="36"/>
  <c r="AM31" i="36"/>
  <c r="AF31" i="36"/>
  <c r="Y31" i="36"/>
  <c r="R31" i="36"/>
  <c r="K31" i="36"/>
  <c r="G31" i="36"/>
  <c r="C31" i="36"/>
  <c r="AM30" i="36"/>
  <c r="AF30" i="36"/>
  <c r="Y30" i="36"/>
  <c r="R30" i="36"/>
  <c r="K30" i="36"/>
  <c r="G30" i="36"/>
  <c r="C30" i="36"/>
  <c r="AM28" i="36"/>
  <c r="AF28" i="36"/>
  <c r="Y28" i="36"/>
  <c r="R28" i="36"/>
  <c r="K28" i="36"/>
  <c r="G28" i="36"/>
  <c r="C28" i="36"/>
  <c r="AM27" i="36"/>
  <c r="AF27" i="36"/>
  <c r="Y27" i="36"/>
  <c r="R27" i="36"/>
  <c r="K27" i="36"/>
  <c r="G27" i="36"/>
  <c r="C27" i="36"/>
  <c r="AM26" i="36"/>
  <c r="AF26" i="36"/>
  <c r="Y26" i="36"/>
  <c r="R26" i="36"/>
  <c r="K26" i="36"/>
  <c r="G26" i="36"/>
  <c r="C26" i="36"/>
  <c r="AM25" i="36"/>
  <c r="AF25" i="36"/>
  <c r="Y25" i="36"/>
  <c r="R25" i="36"/>
  <c r="K25" i="36"/>
  <c r="G25" i="36"/>
  <c r="C25" i="36"/>
  <c r="AM24" i="36"/>
  <c r="AF24" i="36"/>
  <c r="Y24" i="36"/>
  <c r="R24" i="36"/>
  <c r="K24" i="36"/>
  <c r="G24" i="36"/>
  <c r="C24" i="36"/>
  <c r="AM23" i="36"/>
  <c r="AF23" i="36"/>
  <c r="Y23" i="36"/>
  <c r="R23" i="36"/>
  <c r="K23" i="36"/>
  <c r="G23" i="36"/>
  <c r="C23" i="36"/>
  <c r="AM22" i="36"/>
  <c r="AF22" i="36"/>
  <c r="Y22" i="36"/>
  <c r="R22" i="36"/>
  <c r="K22" i="36"/>
  <c r="G22" i="36"/>
  <c r="C22" i="36"/>
  <c r="AM21" i="36"/>
  <c r="AF21" i="36"/>
  <c r="AC21" i="36"/>
  <c r="Y21" i="36"/>
  <c r="S21" i="36"/>
  <c r="R21" i="36"/>
  <c r="Q21" i="36"/>
  <c r="K21" i="36"/>
  <c r="L21" i="36" s="1"/>
  <c r="J21" i="36"/>
  <c r="G21" i="36"/>
  <c r="H21" i="36" s="1"/>
  <c r="F21" i="36"/>
  <c r="C21" i="36"/>
  <c r="AM20" i="36"/>
  <c r="AF20" i="36"/>
  <c r="Y20" i="36"/>
  <c r="R20" i="36"/>
  <c r="K20" i="36"/>
  <c r="G20" i="36"/>
  <c r="C20" i="36"/>
  <c r="AM19" i="36"/>
  <c r="AF19" i="36"/>
  <c r="Y19" i="36"/>
  <c r="R19" i="36"/>
  <c r="K19" i="36"/>
  <c r="G19" i="36"/>
  <c r="C19" i="36"/>
  <c r="AM18" i="36"/>
  <c r="AF18" i="36"/>
  <c r="Y18" i="36"/>
  <c r="R18" i="36"/>
  <c r="K18" i="36"/>
  <c r="G18" i="36"/>
  <c r="B18" i="36"/>
  <c r="C18" i="36" s="1"/>
  <c r="AM17" i="36"/>
  <c r="AF17" i="36"/>
  <c r="Y17" i="36"/>
  <c r="R17" i="36"/>
  <c r="K17" i="36"/>
  <c r="G17" i="36"/>
  <c r="B17" i="36"/>
  <c r="C17" i="36" s="1"/>
  <c r="AM16" i="36"/>
  <c r="AF16" i="36"/>
  <c r="Y16" i="36"/>
  <c r="R16" i="36"/>
  <c r="K16" i="36"/>
  <c r="G16" i="36"/>
  <c r="C16" i="36"/>
  <c r="AM15" i="36"/>
  <c r="AF15" i="36"/>
  <c r="Y15" i="36"/>
  <c r="R15" i="36"/>
  <c r="K15" i="36"/>
  <c r="G15" i="36"/>
  <c r="C15" i="36"/>
  <c r="AP12" i="36"/>
  <c r="AI12" i="36"/>
  <c r="AB12" i="36"/>
  <c r="U12" i="36"/>
  <c r="N12" i="36"/>
  <c r="AN11" i="36"/>
  <c r="AQ11" i="36" s="1"/>
  <c r="AJ11" i="36"/>
  <c r="AG11" i="36"/>
  <c r="Z11" i="36"/>
  <c r="AC11" i="36" s="1"/>
  <c r="S11" i="36"/>
  <c r="V11" i="36" s="1"/>
  <c r="O11" i="36"/>
  <c r="L11" i="36"/>
  <c r="H11" i="36"/>
  <c r="AL65" i="35"/>
  <c r="AE65" i="35"/>
  <c r="AF37" i="35" s="1"/>
  <c r="X65" i="35"/>
  <c r="Y37" i="35" s="1"/>
  <c r="Q65" i="35"/>
  <c r="J65" i="35"/>
  <c r="F65" i="35"/>
  <c r="C50" i="35"/>
  <c r="C49" i="35"/>
  <c r="C48" i="35"/>
  <c r="C47" i="35"/>
  <c r="C46" i="35"/>
  <c r="AM45" i="35"/>
  <c r="AF45" i="35"/>
  <c r="Y45" i="35"/>
  <c r="R45" i="35"/>
  <c r="K45" i="35"/>
  <c r="G45" i="35"/>
  <c r="C45" i="35"/>
  <c r="R44" i="35"/>
  <c r="C44" i="35"/>
  <c r="R43" i="35"/>
  <c r="K43" i="35"/>
  <c r="G43" i="35"/>
  <c r="C43" i="35"/>
  <c r="AM41" i="35"/>
  <c r="AF41" i="35"/>
  <c r="Y41" i="35"/>
  <c r="R41" i="35"/>
  <c r="K41" i="35"/>
  <c r="G41" i="35"/>
  <c r="C41" i="35"/>
  <c r="AM40" i="35"/>
  <c r="AF40" i="35"/>
  <c r="Y40" i="35"/>
  <c r="R40" i="35"/>
  <c r="K40" i="35"/>
  <c r="G40" i="35"/>
  <c r="C40" i="35"/>
  <c r="AM38" i="35"/>
  <c r="AF38" i="35"/>
  <c r="Y38" i="35"/>
  <c r="R38" i="35"/>
  <c r="K38" i="35"/>
  <c r="G38" i="35"/>
  <c r="C38" i="35"/>
  <c r="AN37" i="35"/>
  <c r="AM37" i="35"/>
  <c r="AM43" i="35" s="1"/>
  <c r="S37" i="35"/>
  <c r="R37" i="35"/>
  <c r="L37" i="35"/>
  <c r="V37" i="35" s="1"/>
  <c r="K37" i="35"/>
  <c r="H37" i="35"/>
  <c r="O37" i="35" s="1"/>
  <c r="G37" i="35"/>
  <c r="C37" i="35"/>
  <c r="AM36" i="35"/>
  <c r="AF36" i="35"/>
  <c r="Y36" i="35"/>
  <c r="R36" i="35"/>
  <c r="K36" i="35"/>
  <c r="G36" i="35"/>
  <c r="C36" i="35"/>
  <c r="AM35" i="35"/>
  <c r="AF35" i="35"/>
  <c r="Y35" i="35"/>
  <c r="R35" i="35"/>
  <c r="K35" i="35"/>
  <c r="G35" i="35"/>
  <c r="C35" i="35"/>
  <c r="AM34" i="35"/>
  <c r="AF34" i="35"/>
  <c r="Y34" i="35"/>
  <c r="R34" i="35"/>
  <c r="K34" i="35"/>
  <c r="G34" i="35"/>
  <c r="C34" i="35"/>
  <c r="AM33" i="35"/>
  <c r="AF33" i="35"/>
  <c r="Y33" i="35"/>
  <c r="R33" i="35"/>
  <c r="K33" i="35"/>
  <c r="G33" i="35"/>
  <c r="C33" i="35"/>
  <c r="AM32" i="35"/>
  <c r="AF32" i="35"/>
  <c r="Y32" i="35"/>
  <c r="R32" i="35"/>
  <c r="K32" i="35"/>
  <c r="G32" i="35"/>
  <c r="C32" i="35"/>
  <c r="AM31" i="35"/>
  <c r="AF31" i="35"/>
  <c r="Y31" i="35"/>
  <c r="R31" i="35"/>
  <c r="K31" i="35"/>
  <c r="G31" i="35"/>
  <c r="C31" i="35"/>
  <c r="AM30" i="35"/>
  <c r="AF30" i="35"/>
  <c r="Y30" i="35"/>
  <c r="R30" i="35"/>
  <c r="K30" i="35"/>
  <c r="G30" i="35"/>
  <c r="C30" i="35"/>
  <c r="AM28" i="35"/>
  <c r="AF28" i="35"/>
  <c r="Y28" i="35"/>
  <c r="R28" i="35"/>
  <c r="K28" i="35"/>
  <c r="G28" i="35"/>
  <c r="C28" i="35"/>
  <c r="AM27" i="35"/>
  <c r="AF27" i="35"/>
  <c r="Y27" i="35"/>
  <c r="R27" i="35"/>
  <c r="K27" i="35"/>
  <c r="G27" i="35"/>
  <c r="C27" i="35"/>
  <c r="AM26" i="35"/>
  <c r="AF26" i="35"/>
  <c r="Y26" i="35"/>
  <c r="R26" i="35"/>
  <c r="K26" i="35"/>
  <c r="G26" i="35"/>
  <c r="C26" i="35"/>
  <c r="AM25" i="35"/>
  <c r="AF25" i="35"/>
  <c r="Y25" i="35"/>
  <c r="R25" i="35"/>
  <c r="K25" i="35"/>
  <c r="G25" i="35"/>
  <c r="C25" i="35"/>
  <c r="AM24" i="35"/>
  <c r="AF24" i="35"/>
  <c r="Y24" i="35"/>
  <c r="R24" i="35"/>
  <c r="K24" i="35"/>
  <c r="G24" i="35"/>
  <c r="C24" i="35"/>
  <c r="AM23" i="35"/>
  <c r="AF23" i="35"/>
  <c r="Y23" i="35"/>
  <c r="R23" i="35"/>
  <c r="K23" i="35"/>
  <c r="G23" i="35"/>
  <c r="C23" i="35"/>
  <c r="AM22" i="35"/>
  <c r="AF22" i="35"/>
  <c r="Y22" i="35"/>
  <c r="R22" i="35"/>
  <c r="K22" i="35"/>
  <c r="G22" i="35"/>
  <c r="C22" i="35"/>
  <c r="AM21" i="35"/>
  <c r="AF21" i="35"/>
  <c r="AC21" i="35"/>
  <c r="Y21" i="35"/>
  <c r="R21" i="35"/>
  <c r="S21" i="35" s="1"/>
  <c r="Q21" i="35"/>
  <c r="K21" i="35"/>
  <c r="L21" i="35" s="1"/>
  <c r="J21" i="35"/>
  <c r="G21" i="35"/>
  <c r="F21" i="35"/>
  <c r="C21" i="35"/>
  <c r="AM20" i="35"/>
  <c r="AF20" i="35"/>
  <c r="Y20" i="35"/>
  <c r="R20" i="35"/>
  <c r="K20" i="35"/>
  <c r="G20" i="35"/>
  <c r="C20" i="35"/>
  <c r="AM19" i="35"/>
  <c r="AF19" i="35"/>
  <c r="Y19" i="35"/>
  <c r="R19" i="35"/>
  <c r="K19" i="35"/>
  <c r="G19" i="35"/>
  <c r="C19" i="35"/>
  <c r="AM18" i="35"/>
  <c r="AF18" i="35"/>
  <c r="Y18" i="35"/>
  <c r="R18" i="35"/>
  <c r="K18" i="35"/>
  <c r="G18" i="35"/>
  <c r="B18" i="35"/>
  <c r="C18" i="35" s="1"/>
  <c r="AM17" i="35"/>
  <c r="AF17" i="35"/>
  <c r="Y17" i="35"/>
  <c r="R17" i="35"/>
  <c r="K17" i="35"/>
  <c r="G17" i="35"/>
  <c r="B17" i="35"/>
  <c r="C17" i="35" s="1"/>
  <c r="AM16" i="35"/>
  <c r="AF16" i="35"/>
  <c r="Y16" i="35"/>
  <c r="R16" i="35"/>
  <c r="K16" i="35"/>
  <c r="G16" i="35"/>
  <c r="C16" i="35"/>
  <c r="AM15" i="35"/>
  <c r="AF15" i="35"/>
  <c r="Y15" i="35"/>
  <c r="R15" i="35"/>
  <c r="K15" i="35"/>
  <c r="G15" i="35"/>
  <c r="C15" i="35"/>
  <c r="AP12" i="35"/>
  <c r="AI12" i="35"/>
  <c r="AB12" i="35"/>
  <c r="U12" i="35"/>
  <c r="N12" i="35"/>
  <c r="AN11" i="35"/>
  <c r="AQ11" i="35" s="1"/>
  <c r="AJ11" i="35"/>
  <c r="AG11" i="35"/>
  <c r="Z11" i="35"/>
  <c r="AC11" i="35" s="1"/>
  <c r="V11" i="35"/>
  <c r="S11" i="35"/>
  <c r="L11" i="35"/>
  <c r="O11" i="35" s="1"/>
  <c r="H11" i="35"/>
  <c r="AL65" i="34"/>
  <c r="AE65" i="34"/>
  <c r="AF37" i="34" s="1"/>
  <c r="X65" i="34"/>
  <c r="Y37" i="34" s="1"/>
  <c r="Q65" i="34"/>
  <c r="R37" i="34" s="1"/>
  <c r="J65" i="34"/>
  <c r="F65" i="34"/>
  <c r="C50" i="34"/>
  <c r="C49" i="34"/>
  <c r="C48" i="34"/>
  <c r="C47" i="34"/>
  <c r="Y46" i="34"/>
  <c r="C46" i="34"/>
  <c r="AM45" i="34"/>
  <c r="AF45" i="34"/>
  <c r="Y45" i="34"/>
  <c r="R45" i="34"/>
  <c r="K45" i="34"/>
  <c r="G45" i="34"/>
  <c r="C45" i="34"/>
  <c r="AM44" i="34"/>
  <c r="G44" i="34"/>
  <c r="C44" i="34"/>
  <c r="AF43" i="34"/>
  <c r="Y43" i="34"/>
  <c r="G43" i="34"/>
  <c r="G46" i="34" s="1"/>
  <c r="C43" i="34"/>
  <c r="AM41" i="34"/>
  <c r="AF41" i="34"/>
  <c r="Y41" i="34"/>
  <c r="R41" i="34"/>
  <c r="K41" i="34"/>
  <c r="G41" i="34"/>
  <c r="C41" i="34"/>
  <c r="AM40" i="34"/>
  <c r="AF40" i="34"/>
  <c r="Y40" i="34"/>
  <c r="R40" i="34"/>
  <c r="K40" i="34"/>
  <c r="G40" i="34"/>
  <c r="C40" i="34"/>
  <c r="AM38" i="34"/>
  <c r="AF38" i="34"/>
  <c r="Y38" i="34"/>
  <c r="R38" i="34"/>
  <c r="K38" i="34"/>
  <c r="G38" i="34"/>
  <c r="C38" i="34"/>
  <c r="AN37" i="34"/>
  <c r="AM37" i="34"/>
  <c r="AM43" i="34" s="1"/>
  <c r="AM46" i="34" s="1"/>
  <c r="AG37" i="34"/>
  <c r="Z37" i="34"/>
  <c r="AJ37" i="34" s="1"/>
  <c r="O37" i="34"/>
  <c r="N37" i="34"/>
  <c r="L37" i="34"/>
  <c r="V37" i="34" s="1"/>
  <c r="K37" i="34"/>
  <c r="K43" i="34" s="1"/>
  <c r="K44" i="34" s="1"/>
  <c r="G37" i="34"/>
  <c r="H37" i="34" s="1"/>
  <c r="C37" i="34"/>
  <c r="AM36" i="34"/>
  <c r="AF36" i="34"/>
  <c r="Y36" i="34"/>
  <c r="R36" i="34"/>
  <c r="K36" i="34"/>
  <c r="G36" i="34"/>
  <c r="C36" i="34"/>
  <c r="AM35" i="34"/>
  <c r="AF35" i="34"/>
  <c r="Y35" i="34"/>
  <c r="R35" i="34"/>
  <c r="K35" i="34"/>
  <c r="G35" i="34"/>
  <c r="C35" i="34"/>
  <c r="AM34" i="34"/>
  <c r="AF34" i="34"/>
  <c r="Y34" i="34"/>
  <c r="R34" i="34"/>
  <c r="K34" i="34"/>
  <c r="G34" i="34"/>
  <c r="C34" i="34"/>
  <c r="AM33" i="34"/>
  <c r="AF33" i="34"/>
  <c r="Y33" i="34"/>
  <c r="R33" i="34"/>
  <c r="K33" i="34"/>
  <c r="G33" i="34"/>
  <c r="C33" i="34"/>
  <c r="AM32" i="34"/>
  <c r="AF32" i="34"/>
  <c r="Y32" i="34"/>
  <c r="R32" i="34"/>
  <c r="K32" i="34"/>
  <c r="G32" i="34"/>
  <c r="C32" i="34"/>
  <c r="AM31" i="34"/>
  <c r="AF31" i="34"/>
  <c r="Y31" i="34"/>
  <c r="R31" i="34"/>
  <c r="K31" i="34"/>
  <c r="G31" i="34"/>
  <c r="C31" i="34"/>
  <c r="AM30" i="34"/>
  <c r="AF30" i="34"/>
  <c r="Y30" i="34"/>
  <c r="R30" i="34"/>
  <c r="K30" i="34"/>
  <c r="G30" i="34"/>
  <c r="C30" i="34"/>
  <c r="AM28" i="34"/>
  <c r="AF28" i="34"/>
  <c r="Y28" i="34"/>
  <c r="R28" i="34"/>
  <c r="K28" i="34"/>
  <c r="G28" i="34"/>
  <c r="C28" i="34"/>
  <c r="AM27" i="34"/>
  <c r="AF27" i="34"/>
  <c r="Y27" i="34"/>
  <c r="R27" i="34"/>
  <c r="K27" i="34"/>
  <c r="G27" i="34"/>
  <c r="C27" i="34"/>
  <c r="AM26" i="34"/>
  <c r="AF26" i="34"/>
  <c r="Y26" i="34"/>
  <c r="R26" i="34"/>
  <c r="K26" i="34"/>
  <c r="G26" i="34"/>
  <c r="C26" i="34"/>
  <c r="AM25" i="34"/>
  <c r="AF25" i="34"/>
  <c r="Y25" i="34"/>
  <c r="R25" i="34"/>
  <c r="K25" i="34"/>
  <c r="G25" i="34"/>
  <c r="C25" i="34"/>
  <c r="AM24" i="34"/>
  <c r="AF24" i="34"/>
  <c r="Y24" i="34"/>
  <c r="R24" i="34"/>
  <c r="K24" i="34"/>
  <c r="G24" i="34"/>
  <c r="C24" i="34"/>
  <c r="AM23" i="34"/>
  <c r="AF23" i="34"/>
  <c r="Y23" i="34"/>
  <c r="R23" i="34"/>
  <c r="K23" i="34"/>
  <c r="G23" i="34"/>
  <c r="C23" i="34"/>
  <c r="AM22" i="34"/>
  <c r="AF22" i="34"/>
  <c r="Y22" i="34"/>
  <c r="R22" i="34"/>
  <c r="K22" i="34"/>
  <c r="G22" i="34"/>
  <c r="C22" i="34"/>
  <c r="AM21" i="34"/>
  <c r="AF21" i="34"/>
  <c r="Y21" i="34"/>
  <c r="S21" i="34"/>
  <c r="AC21" i="34" s="1"/>
  <c r="R21" i="34"/>
  <c r="Q21" i="34"/>
  <c r="K21" i="34"/>
  <c r="J21" i="34"/>
  <c r="L21" i="34" s="1"/>
  <c r="H21" i="34"/>
  <c r="G21" i="34"/>
  <c r="F21" i="34"/>
  <c r="C21" i="34"/>
  <c r="AM20" i="34"/>
  <c r="AF20" i="34"/>
  <c r="Y20" i="34"/>
  <c r="R20" i="34"/>
  <c r="K20" i="34"/>
  <c r="G20" i="34"/>
  <c r="C20" i="34"/>
  <c r="AM19" i="34"/>
  <c r="AF19" i="34"/>
  <c r="Y19" i="34"/>
  <c r="R19" i="34"/>
  <c r="K19" i="34"/>
  <c r="G19" i="34"/>
  <c r="C19" i="34"/>
  <c r="AM18" i="34"/>
  <c r="AF18" i="34"/>
  <c r="Y18" i="34"/>
  <c r="R18" i="34"/>
  <c r="K18" i="34"/>
  <c r="G18" i="34"/>
  <c r="B18" i="34"/>
  <c r="C18" i="34" s="1"/>
  <c r="AM17" i="34"/>
  <c r="AF17" i="34"/>
  <c r="Y17" i="34"/>
  <c r="R17" i="34"/>
  <c r="K17" i="34"/>
  <c r="G17" i="34"/>
  <c r="C17" i="34"/>
  <c r="B17" i="34"/>
  <c r="AM16" i="34"/>
  <c r="AF16" i="34"/>
  <c r="Y16" i="34"/>
  <c r="R16" i="34"/>
  <c r="K16" i="34"/>
  <c r="G16" i="34"/>
  <c r="C16" i="34"/>
  <c r="AM15" i="34"/>
  <c r="AF15" i="34"/>
  <c r="Y15" i="34"/>
  <c r="R15" i="34"/>
  <c r="K15" i="34"/>
  <c r="G15" i="34"/>
  <c r="C15" i="34"/>
  <c r="AP12" i="34"/>
  <c r="AI12" i="34"/>
  <c r="AB12" i="34"/>
  <c r="U12" i="34"/>
  <c r="N12" i="34"/>
  <c r="AN11" i="34"/>
  <c r="AQ11" i="34" s="1"/>
  <c r="AJ11" i="34"/>
  <c r="AG11" i="34"/>
  <c r="AC11" i="34"/>
  <c r="Z11" i="34"/>
  <c r="V11" i="34"/>
  <c r="S11" i="34"/>
  <c r="L11" i="34"/>
  <c r="O11" i="34" s="1"/>
  <c r="H11" i="34"/>
  <c r="AL65" i="33"/>
  <c r="AM37" i="33" s="1"/>
  <c r="AE65" i="33"/>
  <c r="X65" i="33"/>
  <c r="Q65" i="33"/>
  <c r="R37" i="33" s="1"/>
  <c r="J65" i="33"/>
  <c r="K37" i="33" s="1"/>
  <c r="F65" i="33"/>
  <c r="C50" i="33"/>
  <c r="C49" i="33"/>
  <c r="C48" i="33"/>
  <c r="C47" i="33"/>
  <c r="C46" i="33"/>
  <c r="AM45" i="33"/>
  <c r="AF45" i="33"/>
  <c r="Y45" i="33"/>
  <c r="R45" i="33"/>
  <c r="K45" i="33"/>
  <c r="G45" i="33"/>
  <c r="Y44" i="33"/>
  <c r="K44" i="33"/>
  <c r="C44" i="33"/>
  <c r="C43" i="33"/>
  <c r="AM41" i="33"/>
  <c r="AF41" i="33"/>
  <c r="Y41" i="33"/>
  <c r="R41" i="33"/>
  <c r="K41" i="33"/>
  <c r="G41" i="33"/>
  <c r="C41" i="33"/>
  <c r="AM40" i="33"/>
  <c r="AF40" i="33"/>
  <c r="Y40" i="33"/>
  <c r="R40" i="33"/>
  <c r="K40" i="33"/>
  <c r="G40" i="33"/>
  <c r="C40" i="33"/>
  <c r="AM38" i="33"/>
  <c r="AF38" i="33"/>
  <c r="Y38" i="33"/>
  <c r="R38" i="33"/>
  <c r="K38" i="33"/>
  <c r="G38" i="33"/>
  <c r="C38" i="33"/>
  <c r="AF37" i="33"/>
  <c r="Y37" i="33"/>
  <c r="G37" i="33"/>
  <c r="C37" i="33"/>
  <c r="AM36" i="33"/>
  <c r="AF36" i="33"/>
  <c r="Y36" i="33"/>
  <c r="R36" i="33"/>
  <c r="K36" i="33"/>
  <c r="G36" i="33"/>
  <c r="C36" i="33"/>
  <c r="AM35" i="33"/>
  <c r="AF35" i="33"/>
  <c r="Y35" i="33"/>
  <c r="R35" i="33"/>
  <c r="K35" i="33"/>
  <c r="G35" i="33"/>
  <c r="C35" i="33"/>
  <c r="AM34" i="33"/>
  <c r="AF34" i="33"/>
  <c r="Y34" i="33"/>
  <c r="R34" i="33"/>
  <c r="K34" i="33"/>
  <c r="G34" i="33"/>
  <c r="C34" i="33"/>
  <c r="AM33" i="33"/>
  <c r="AF33" i="33"/>
  <c r="Y33" i="33"/>
  <c r="R33" i="33"/>
  <c r="K33" i="33"/>
  <c r="G33" i="33"/>
  <c r="C33" i="33"/>
  <c r="AM32" i="33"/>
  <c r="AF32" i="33"/>
  <c r="Y32" i="33"/>
  <c r="R32" i="33"/>
  <c r="K32" i="33"/>
  <c r="G32" i="33"/>
  <c r="C32" i="33"/>
  <c r="AM31" i="33"/>
  <c r="AF31" i="33"/>
  <c r="Y31" i="33"/>
  <c r="R31" i="33"/>
  <c r="K31" i="33"/>
  <c r="G31" i="33"/>
  <c r="C31" i="33"/>
  <c r="AM30" i="33"/>
  <c r="AF30" i="33"/>
  <c r="Y30" i="33"/>
  <c r="R30" i="33"/>
  <c r="K30" i="33"/>
  <c r="G30" i="33"/>
  <c r="C30" i="33"/>
  <c r="AM28" i="33"/>
  <c r="AF28" i="33"/>
  <c r="Y28" i="33"/>
  <c r="R28" i="33"/>
  <c r="K28" i="33"/>
  <c r="G28" i="33"/>
  <c r="C28" i="33"/>
  <c r="AM27" i="33"/>
  <c r="AF27" i="33"/>
  <c r="Y27" i="33"/>
  <c r="R27" i="33"/>
  <c r="K27" i="33"/>
  <c r="G27" i="33"/>
  <c r="C27" i="33"/>
  <c r="AM26" i="33"/>
  <c r="AF26" i="33"/>
  <c r="Y26" i="33"/>
  <c r="R26" i="33"/>
  <c r="K26" i="33"/>
  <c r="G26" i="33"/>
  <c r="C26" i="33"/>
  <c r="AM25" i="33"/>
  <c r="AF25" i="33"/>
  <c r="Y25" i="33"/>
  <c r="R25" i="33"/>
  <c r="K25" i="33"/>
  <c r="G25" i="33"/>
  <c r="C25" i="33"/>
  <c r="AM24" i="33"/>
  <c r="AF24" i="33"/>
  <c r="Y24" i="33"/>
  <c r="R24" i="33"/>
  <c r="K24" i="33"/>
  <c r="G24" i="33"/>
  <c r="C24" i="33"/>
  <c r="AM23" i="33"/>
  <c r="AF23" i="33"/>
  <c r="Y23" i="33"/>
  <c r="R23" i="33"/>
  <c r="K23" i="33"/>
  <c r="G23" i="33"/>
  <c r="C23" i="33"/>
  <c r="AM22" i="33"/>
  <c r="AF22" i="33"/>
  <c r="Y22" i="33"/>
  <c r="R22" i="33"/>
  <c r="K22" i="33"/>
  <c r="G22" i="33"/>
  <c r="C22" i="33"/>
  <c r="AM21" i="33"/>
  <c r="AF21" i="33"/>
  <c r="Y21" i="33"/>
  <c r="U21" i="33"/>
  <c r="V21" i="33" s="1"/>
  <c r="R21" i="33"/>
  <c r="Q21" i="33"/>
  <c r="S21" i="33" s="1"/>
  <c r="AC21" i="33" s="1"/>
  <c r="L21" i="33"/>
  <c r="K21" i="33"/>
  <c r="J21" i="33"/>
  <c r="G21" i="33"/>
  <c r="F21" i="33"/>
  <c r="C21" i="33"/>
  <c r="AM20" i="33"/>
  <c r="AF20" i="33"/>
  <c r="Y20" i="33"/>
  <c r="R20" i="33"/>
  <c r="K20" i="33"/>
  <c r="G20" i="33"/>
  <c r="C20" i="33"/>
  <c r="AM19" i="33"/>
  <c r="AF19" i="33"/>
  <c r="Y19" i="33"/>
  <c r="R19" i="33"/>
  <c r="K19" i="33"/>
  <c r="G19" i="33"/>
  <c r="C19" i="33"/>
  <c r="AM18" i="33"/>
  <c r="AF18" i="33"/>
  <c r="Y18" i="33"/>
  <c r="R18" i="33"/>
  <c r="K18" i="33"/>
  <c r="G18" i="33"/>
  <c r="C18" i="33"/>
  <c r="B18" i="33"/>
  <c r="AM17" i="33"/>
  <c r="AF17" i="33"/>
  <c r="Y17" i="33"/>
  <c r="R17" i="33"/>
  <c r="K17" i="33"/>
  <c r="G17" i="33"/>
  <c r="B17" i="33"/>
  <c r="C17" i="33" s="1"/>
  <c r="AM16" i="33"/>
  <c r="AF16" i="33"/>
  <c r="Y16" i="33"/>
  <c r="R16" i="33"/>
  <c r="K16" i="33"/>
  <c r="G16" i="33"/>
  <c r="C16" i="33"/>
  <c r="AM15" i="33"/>
  <c r="AF15" i="33"/>
  <c r="Y15" i="33"/>
  <c r="R15" i="33"/>
  <c r="K15" i="33"/>
  <c r="G15" i="33"/>
  <c r="C15" i="33"/>
  <c r="AP12" i="33"/>
  <c r="AI12" i="33"/>
  <c r="AB12" i="33"/>
  <c r="U12" i="33"/>
  <c r="N12" i="33"/>
  <c r="AN11" i="33"/>
  <c r="AQ11" i="33" s="1"/>
  <c r="AG11" i="33"/>
  <c r="AJ11" i="33" s="1"/>
  <c r="Z11" i="33"/>
  <c r="AC11" i="33" s="1"/>
  <c r="V11" i="33"/>
  <c r="S11" i="33"/>
  <c r="O11" i="33"/>
  <c r="L11" i="33"/>
  <c r="H11" i="33"/>
  <c r="AL65" i="32"/>
  <c r="AE65" i="32"/>
  <c r="X65" i="32"/>
  <c r="Y37" i="32" s="1"/>
  <c r="Y43" i="32" s="1"/>
  <c r="Q65" i="32"/>
  <c r="J65" i="32"/>
  <c r="F65" i="32"/>
  <c r="C50" i="32"/>
  <c r="C49" i="32"/>
  <c r="C48" i="32"/>
  <c r="C47" i="32"/>
  <c r="AF46" i="32"/>
  <c r="C46" i="32"/>
  <c r="AM45" i="32"/>
  <c r="AF45" i="32"/>
  <c r="Y45" i="32"/>
  <c r="R45" i="32"/>
  <c r="K45" i="32"/>
  <c r="G45" i="32"/>
  <c r="C45" i="32"/>
  <c r="R44" i="32"/>
  <c r="C44" i="32"/>
  <c r="R43" i="32"/>
  <c r="C43" i="32"/>
  <c r="AM41" i="32"/>
  <c r="AF41" i="32"/>
  <c r="Y41" i="32"/>
  <c r="R41" i="32"/>
  <c r="K41" i="32"/>
  <c r="G41" i="32"/>
  <c r="C41" i="32"/>
  <c r="AM40" i="32"/>
  <c r="AF40" i="32"/>
  <c r="Y40" i="32"/>
  <c r="R40" i="32"/>
  <c r="K40" i="32"/>
  <c r="G40" i="32"/>
  <c r="C40" i="32"/>
  <c r="AM38" i="32"/>
  <c r="AF38" i="32"/>
  <c r="Y38" i="32"/>
  <c r="R38" i="32"/>
  <c r="K38" i="32"/>
  <c r="G38" i="32"/>
  <c r="C38" i="32"/>
  <c r="AM37" i="32"/>
  <c r="AF37" i="32"/>
  <c r="AC37" i="32"/>
  <c r="S37" i="32"/>
  <c r="R37" i="32"/>
  <c r="R46" i="32" s="1"/>
  <c r="K37" i="32"/>
  <c r="G37" i="32"/>
  <c r="C37" i="32"/>
  <c r="AM36" i="32"/>
  <c r="AF36" i="32"/>
  <c r="Y36" i="32"/>
  <c r="R36" i="32"/>
  <c r="K36" i="32"/>
  <c r="G36" i="32"/>
  <c r="C36" i="32"/>
  <c r="AM35" i="32"/>
  <c r="AF35" i="32"/>
  <c r="Y35" i="32"/>
  <c r="R35" i="32"/>
  <c r="K35" i="32"/>
  <c r="G35" i="32"/>
  <c r="C35" i="32"/>
  <c r="AM34" i="32"/>
  <c r="AF34" i="32"/>
  <c r="Y34" i="32"/>
  <c r="R34" i="32"/>
  <c r="K34" i="32"/>
  <c r="G34" i="32"/>
  <c r="C34" i="32"/>
  <c r="AM33" i="32"/>
  <c r="AF33" i="32"/>
  <c r="Y33" i="32"/>
  <c r="R33" i="32"/>
  <c r="K33" i="32"/>
  <c r="G33" i="32"/>
  <c r="C33" i="32"/>
  <c r="AM32" i="32"/>
  <c r="AF32" i="32"/>
  <c r="Y32" i="32"/>
  <c r="R32" i="32"/>
  <c r="K32" i="32"/>
  <c r="G32" i="32"/>
  <c r="C32" i="32"/>
  <c r="AM31" i="32"/>
  <c r="AF31" i="32"/>
  <c r="Y31" i="32"/>
  <c r="R31" i="32"/>
  <c r="K31" i="32"/>
  <c r="G31" i="32"/>
  <c r="C31" i="32"/>
  <c r="AM30" i="32"/>
  <c r="AF30" i="32"/>
  <c r="Y30" i="32"/>
  <c r="R30" i="32"/>
  <c r="K30" i="32"/>
  <c r="G30" i="32"/>
  <c r="C30" i="32"/>
  <c r="AM28" i="32"/>
  <c r="AF28" i="32"/>
  <c r="Y28" i="32"/>
  <c r="R28" i="32"/>
  <c r="K28" i="32"/>
  <c r="G28" i="32"/>
  <c r="C28" i="32"/>
  <c r="AM27" i="32"/>
  <c r="AF27" i="32"/>
  <c r="Y27" i="32"/>
  <c r="R27" i="32"/>
  <c r="K27" i="32"/>
  <c r="G27" i="32"/>
  <c r="C27" i="32"/>
  <c r="AM26" i="32"/>
  <c r="AF26" i="32"/>
  <c r="Y26" i="32"/>
  <c r="R26" i="32"/>
  <c r="K26" i="32"/>
  <c r="G26" i="32"/>
  <c r="C26" i="32"/>
  <c r="AM25" i="32"/>
  <c r="AF25" i="32"/>
  <c r="Y25" i="32"/>
  <c r="R25" i="32"/>
  <c r="K25" i="32"/>
  <c r="G25" i="32"/>
  <c r="C25" i="32"/>
  <c r="AM24" i="32"/>
  <c r="AF24" i="32"/>
  <c r="Y24" i="32"/>
  <c r="R24" i="32"/>
  <c r="K24" i="32"/>
  <c r="G24" i="32"/>
  <c r="C24" i="32"/>
  <c r="AM23" i="32"/>
  <c r="AF23" i="32"/>
  <c r="Y23" i="32"/>
  <c r="R23" i="32"/>
  <c r="K23" i="32"/>
  <c r="G23" i="32"/>
  <c r="C23" i="32"/>
  <c r="AM22" i="32"/>
  <c r="AF22" i="32"/>
  <c r="Y22" i="32"/>
  <c r="R22" i="32"/>
  <c r="K22" i="32"/>
  <c r="G22" i="32"/>
  <c r="C22" i="32"/>
  <c r="AM21" i="32"/>
  <c r="AF21" i="32"/>
  <c r="Y21" i="32"/>
  <c r="R21" i="32"/>
  <c r="Q21" i="32"/>
  <c r="S21" i="32" s="1"/>
  <c r="AC21" i="32" s="1"/>
  <c r="K21" i="32"/>
  <c r="J21" i="32"/>
  <c r="L21" i="32" s="1"/>
  <c r="G21" i="32"/>
  <c r="F21" i="32"/>
  <c r="H21" i="32" s="1"/>
  <c r="C21" i="32"/>
  <c r="AM20" i="32"/>
  <c r="AF20" i="32"/>
  <c r="Y20" i="32"/>
  <c r="R20" i="32"/>
  <c r="K20" i="32"/>
  <c r="G20" i="32"/>
  <c r="C20" i="32"/>
  <c r="AM19" i="32"/>
  <c r="AF19" i="32"/>
  <c r="Y19" i="32"/>
  <c r="R19" i="32"/>
  <c r="K19" i="32"/>
  <c r="G19" i="32"/>
  <c r="C19" i="32"/>
  <c r="AM18" i="32"/>
  <c r="AF18" i="32"/>
  <c r="Y18" i="32"/>
  <c r="R18" i="32"/>
  <c r="K18" i="32"/>
  <c r="G18" i="32"/>
  <c r="C18" i="32"/>
  <c r="B18" i="32"/>
  <c r="AM17" i="32"/>
  <c r="AF17" i="32"/>
  <c r="Y17" i="32"/>
  <c r="R17" i="32"/>
  <c r="K17" i="32"/>
  <c r="G17" i="32"/>
  <c r="C17" i="32"/>
  <c r="B17" i="32"/>
  <c r="AM16" i="32"/>
  <c r="AF16" i="32"/>
  <c r="Y16" i="32"/>
  <c r="R16" i="32"/>
  <c r="K16" i="32"/>
  <c r="G16" i="32"/>
  <c r="C16" i="32"/>
  <c r="AM15" i="32"/>
  <c r="AF15" i="32"/>
  <c r="Y15" i="32"/>
  <c r="R15" i="32"/>
  <c r="K15" i="32"/>
  <c r="G15" i="32"/>
  <c r="C15" i="32"/>
  <c r="AP12" i="32"/>
  <c r="AI12" i="32"/>
  <c r="AB12" i="32"/>
  <c r="U12" i="32"/>
  <c r="N12" i="32"/>
  <c r="AN11" i="32"/>
  <c r="AQ11" i="32" s="1"/>
  <c r="AG11" i="32"/>
  <c r="AJ11" i="32" s="1"/>
  <c r="Z11" i="32"/>
  <c r="AC11" i="32" s="1"/>
  <c r="S11" i="32"/>
  <c r="V11" i="32" s="1"/>
  <c r="L11" i="32"/>
  <c r="O11" i="32" s="1"/>
  <c r="H11" i="32"/>
  <c r="AL65" i="31"/>
  <c r="AE65" i="31"/>
  <c r="X65" i="31"/>
  <c r="Q65" i="31"/>
  <c r="J65" i="31"/>
  <c r="F65" i="31"/>
  <c r="G37" i="31" s="1"/>
  <c r="C50" i="31"/>
  <c r="C49" i="31"/>
  <c r="C48" i="31"/>
  <c r="C47" i="31"/>
  <c r="AM46" i="31"/>
  <c r="C46" i="31"/>
  <c r="AM45" i="31"/>
  <c r="AF45" i="31"/>
  <c r="Y45" i="31"/>
  <c r="R45" i="31"/>
  <c r="K45" i="31"/>
  <c r="G45" i="31"/>
  <c r="C45" i="31"/>
  <c r="AF44" i="31"/>
  <c r="G44" i="31"/>
  <c r="C44" i="31"/>
  <c r="AM43" i="31"/>
  <c r="G43" i="31"/>
  <c r="C43" i="31"/>
  <c r="AM41" i="31"/>
  <c r="AF41" i="31"/>
  <c r="Y41" i="31"/>
  <c r="R41" i="31"/>
  <c r="K41" i="31"/>
  <c r="G41" i="31"/>
  <c r="C41" i="31"/>
  <c r="AM40" i="31"/>
  <c r="AF40" i="31"/>
  <c r="Y40" i="31"/>
  <c r="R40" i="31"/>
  <c r="K40" i="31"/>
  <c r="G40" i="31"/>
  <c r="C40" i="31"/>
  <c r="AM38" i="31"/>
  <c r="AF38" i="31"/>
  <c r="Y38" i="31"/>
  <c r="R38" i="31"/>
  <c r="K38" i="31"/>
  <c r="G38" i="31"/>
  <c r="C38" i="31"/>
  <c r="AM37" i="31"/>
  <c r="AF37" i="31"/>
  <c r="Y37" i="31"/>
  <c r="R37" i="31"/>
  <c r="S37" i="31" s="1"/>
  <c r="AC37" i="31" s="1"/>
  <c r="K37" i="31"/>
  <c r="C37" i="31"/>
  <c r="AM36" i="31"/>
  <c r="AF36" i="31"/>
  <c r="Y36" i="31"/>
  <c r="R36" i="31"/>
  <c r="K36" i="31"/>
  <c r="G36" i="31"/>
  <c r="C36" i="31"/>
  <c r="AM35" i="31"/>
  <c r="AF35" i="31"/>
  <c r="Y35" i="31"/>
  <c r="R35" i="31"/>
  <c r="K35" i="31"/>
  <c r="G35" i="31"/>
  <c r="C35" i="31"/>
  <c r="AM34" i="31"/>
  <c r="AF34" i="31"/>
  <c r="Y34" i="31"/>
  <c r="R34" i="31"/>
  <c r="K34" i="31"/>
  <c r="G34" i="31"/>
  <c r="C34" i="31"/>
  <c r="AM33" i="31"/>
  <c r="AF33" i="31"/>
  <c r="Y33" i="31"/>
  <c r="R33" i="31"/>
  <c r="K33" i="31"/>
  <c r="G33" i="31"/>
  <c r="C33" i="31"/>
  <c r="AM32" i="31"/>
  <c r="AF32" i="31"/>
  <c r="Y32" i="31"/>
  <c r="R32" i="31"/>
  <c r="K32" i="31"/>
  <c r="G32" i="31"/>
  <c r="C32" i="31"/>
  <c r="AM31" i="31"/>
  <c r="AF31" i="31"/>
  <c r="Y31" i="31"/>
  <c r="R31" i="31"/>
  <c r="K31" i="31"/>
  <c r="G31" i="31"/>
  <c r="C31" i="31"/>
  <c r="AM30" i="31"/>
  <c r="AF30" i="31"/>
  <c r="Y30" i="31"/>
  <c r="R30" i="31"/>
  <c r="K30" i="31"/>
  <c r="G30" i="31"/>
  <c r="C30" i="31"/>
  <c r="AM28" i="31"/>
  <c r="AF28" i="31"/>
  <c r="Y28" i="31"/>
  <c r="R28" i="31"/>
  <c r="K28" i="31"/>
  <c r="G28" i="31"/>
  <c r="C28" i="31"/>
  <c r="AM27" i="31"/>
  <c r="AF27" i="31"/>
  <c r="Y27" i="31"/>
  <c r="R27" i="31"/>
  <c r="K27" i="31"/>
  <c r="G27" i="31"/>
  <c r="C27" i="31"/>
  <c r="AM26" i="31"/>
  <c r="AF26" i="31"/>
  <c r="Y26" i="31"/>
  <c r="R26" i="31"/>
  <c r="K26" i="31"/>
  <c r="G26" i="31"/>
  <c r="C26" i="31"/>
  <c r="AM25" i="31"/>
  <c r="AF25" i="31"/>
  <c r="Y25" i="31"/>
  <c r="R25" i="31"/>
  <c r="K25" i="31"/>
  <c r="G25" i="31"/>
  <c r="C25" i="31"/>
  <c r="AM24" i="31"/>
  <c r="AF24" i="31"/>
  <c r="Y24" i="31"/>
  <c r="R24" i="31"/>
  <c r="K24" i="31"/>
  <c r="G24" i="31"/>
  <c r="C24" i="31"/>
  <c r="AM23" i="31"/>
  <c r="AF23" i="31"/>
  <c r="Y23" i="31"/>
  <c r="R23" i="31"/>
  <c r="K23" i="31"/>
  <c r="G23" i="31"/>
  <c r="C23" i="31"/>
  <c r="AM22" i="31"/>
  <c r="AF22" i="31"/>
  <c r="Y22" i="31"/>
  <c r="R22" i="31"/>
  <c r="K22" i="31"/>
  <c r="G22" i="31"/>
  <c r="C22" i="31"/>
  <c r="AM21" i="31"/>
  <c r="AF21" i="31"/>
  <c r="Y21" i="31"/>
  <c r="R21" i="31"/>
  <c r="S21" i="31" s="1"/>
  <c r="Q21" i="31"/>
  <c r="K21" i="31"/>
  <c r="J21" i="31"/>
  <c r="L21" i="31" s="1"/>
  <c r="G21" i="31"/>
  <c r="H21" i="31" s="1"/>
  <c r="F21" i="31"/>
  <c r="C21" i="31"/>
  <c r="AM20" i="31"/>
  <c r="AF20" i="31"/>
  <c r="Y20" i="31"/>
  <c r="R20" i="31"/>
  <c r="K20" i="31"/>
  <c r="G20" i="31"/>
  <c r="C20" i="31"/>
  <c r="AM19" i="31"/>
  <c r="AF19" i="31"/>
  <c r="Y19" i="31"/>
  <c r="R19" i="31"/>
  <c r="K19" i="31"/>
  <c r="G19" i="31"/>
  <c r="C19" i="31"/>
  <c r="AM18" i="31"/>
  <c r="AF18" i="31"/>
  <c r="Y18" i="31"/>
  <c r="R18" i="31"/>
  <c r="K18" i="31"/>
  <c r="G18" i="31"/>
  <c r="C18" i="31"/>
  <c r="B18" i="31"/>
  <c r="AM17" i="31"/>
  <c r="AF17" i="31"/>
  <c r="Y17" i="31"/>
  <c r="R17" i="31"/>
  <c r="K17" i="31"/>
  <c r="G17" i="31"/>
  <c r="B17" i="31"/>
  <c r="C17" i="31" s="1"/>
  <c r="AM16" i="31"/>
  <c r="AF16" i="31"/>
  <c r="Y16" i="31"/>
  <c r="R16" i="31"/>
  <c r="K16" i="31"/>
  <c r="G16" i="31"/>
  <c r="C16" i="31"/>
  <c r="AM15" i="31"/>
  <c r="AF15" i="31"/>
  <c r="Y15" i="31"/>
  <c r="R15" i="31"/>
  <c r="K15" i="31"/>
  <c r="G15" i="31"/>
  <c r="C15" i="31"/>
  <c r="AP12" i="31"/>
  <c r="AI12" i="31"/>
  <c r="AB12" i="31"/>
  <c r="U12" i="31"/>
  <c r="N12" i="31"/>
  <c r="AQ11" i="31"/>
  <c r="AN11" i="31"/>
  <c r="AG11" i="31"/>
  <c r="AJ11" i="31" s="1"/>
  <c r="AC11" i="31"/>
  <c r="Z11" i="31"/>
  <c r="V11" i="31"/>
  <c r="S11" i="31"/>
  <c r="L11" i="31"/>
  <c r="O11" i="31" s="1"/>
  <c r="H11" i="31"/>
  <c r="AL65" i="30"/>
  <c r="AE65" i="30"/>
  <c r="X65" i="30"/>
  <c r="Y37" i="30" s="1"/>
  <c r="Y43" i="30" s="1"/>
  <c r="Q65" i="30"/>
  <c r="R37" i="30" s="1"/>
  <c r="J65" i="30"/>
  <c r="K37" i="30" s="1"/>
  <c r="F65" i="30"/>
  <c r="G37" i="30" s="1"/>
  <c r="C50" i="30"/>
  <c r="C49" i="30"/>
  <c r="C48" i="30"/>
  <c r="C47" i="30"/>
  <c r="AM46" i="30"/>
  <c r="K46" i="30"/>
  <c r="C46" i="30"/>
  <c r="AM45" i="30"/>
  <c r="AF45" i="30"/>
  <c r="Y45" i="30"/>
  <c r="R45" i="30"/>
  <c r="K45" i="30"/>
  <c r="G45" i="30"/>
  <c r="C45" i="30"/>
  <c r="AM44" i="30"/>
  <c r="Y44" i="30"/>
  <c r="C44" i="30"/>
  <c r="R43" i="30"/>
  <c r="C43" i="30"/>
  <c r="AM41" i="30"/>
  <c r="AF41" i="30"/>
  <c r="Y41" i="30"/>
  <c r="R41" i="30"/>
  <c r="K41" i="30"/>
  <c r="G41" i="30"/>
  <c r="C41" i="30"/>
  <c r="AM40" i="30"/>
  <c r="AF40" i="30"/>
  <c r="Y40" i="30"/>
  <c r="R40" i="30"/>
  <c r="K40" i="30"/>
  <c r="G40" i="30"/>
  <c r="C40" i="30"/>
  <c r="AM38" i="30"/>
  <c r="AF38" i="30"/>
  <c r="Y38" i="30"/>
  <c r="R38" i="30"/>
  <c r="K38" i="30"/>
  <c r="G38" i="30"/>
  <c r="C38" i="30"/>
  <c r="AN37" i="30"/>
  <c r="AM37" i="30"/>
  <c r="AM43" i="30" s="1"/>
  <c r="AJ37" i="30"/>
  <c r="AI37" i="30"/>
  <c r="AG37" i="30"/>
  <c r="AQ37" i="30" s="1"/>
  <c r="AF37" i="30"/>
  <c r="Z37" i="30"/>
  <c r="S37" i="30"/>
  <c r="C37" i="30"/>
  <c r="AM36" i="30"/>
  <c r="AF36" i="30"/>
  <c r="Y36" i="30"/>
  <c r="R36" i="30"/>
  <c r="K36" i="30"/>
  <c r="G36" i="30"/>
  <c r="C36" i="30"/>
  <c r="AM35" i="30"/>
  <c r="AF35" i="30"/>
  <c r="Y35" i="30"/>
  <c r="R35" i="30"/>
  <c r="K35" i="30"/>
  <c r="G35" i="30"/>
  <c r="C35" i="30"/>
  <c r="AM34" i="30"/>
  <c r="AF34" i="30"/>
  <c r="Y34" i="30"/>
  <c r="R34" i="30"/>
  <c r="K34" i="30"/>
  <c r="G34" i="30"/>
  <c r="C34" i="30"/>
  <c r="AM33" i="30"/>
  <c r="AF33" i="30"/>
  <c r="Y33" i="30"/>
  <c r="R33" i="30"/>
  <c r="K33" i="30"/>
  <c r="G33" i="30"/>
  <c r="C33" i="30"/>
  <c r="AM32" i="30"/>
  <c r="AF32" i="30"/>
  <c r="Y32" i="30"/>
  <c r="R32" i="30"/>
  <c r="K32" i="30"/>
  <c r="G32" i="30"/>
  <c r="C32" i="30"/>
  <c r="AM31" i="30"/>
  <c r="AF31" i="30"/>
  <c r="Y31" i="30"/>
  <c r="R31" i="30"/>
  <c r="K31" i="30"/>
  <c r="G31" i="30"/>
  <c r="C31" i="30"/>
  <c r="AM30" i="30"/>
  <c r="AF30" i="30"/>
  <c r="Y30" i="30"/>
  <c r="R30" i="30"/>
  <c r="K30" i="30"/>
  <c r="G30" i="30"/>
  <c r="C30" i="30"/>
  <c r="AM28" i="30"/>
  <c r="AF28" i="30"/>
  <c r="Y28" i="30"/>
  <c r="R28" i="30"/>
  <c r="K28" i="30"/>
  <c r="G28" i="30"/>
  <c r="C28" i="30"/>
  <c r="AM27" i="30"/>
  <c r="AF27" i="30"/>
  <c r="Y27" i="30"/>
  <c r="R27" i="30"/>
  <c r="K27" i="30"/>
  <c r="G27" i="30"/>
  <c r="C27" i="30"/>
  <c r="AM26" i="30"/>
  <c r="AF26" i="30"/>
  <c r="Y26" i="30"/>
  <c r="R26" i="30"/>
  <c r="K26" i="30"/>
  <c r="G26" i="30"/>
  <c r="C26" i="30"/>
  <c r="AM25" i="30"/>
  <c r="AF25" i="30"/>
  <c r="Y25" i="30"/>
  <c r="R25" i="30"/>
  <c r="K25" i="30"/>
  <c r="G25" i="30"/>
  <c r="C25" i="30"/>
  <c r="AM24" i="30"/>
  <c r="AF24" i="30"/>
  <c r="Y24" i="30"/>
  <c r="R24" i="30"/>
  <c r="K24" i="30"/>
  <c r="G24" i="30"/>
  <c r="C24" i="30"/>
  <c r="AM23" i="30"/>
  <c r="AF23" i="30"/>
  <c r="Y23" i="30"/>
  <c r="R23" i="30"/>
  <c r="K23" i="30"/>
  <c r="G23" i="30"/>
  <c r="C23" i="30"/>
  <c r="AM22" i="30"/>
  <c r="AF22" i="30"/>
  <c r="Y22" i="30"/>
  <c r="R22" i="30"/>
  <c r="K22" i="30"/>
  <c r="G22" i="30"/>
  <c r="C22" i="30"/>
  <c r="AM21" i="30"/>
  <c r="AF21" i="30"/>
  <c r="Y21" i="30"/>
  <c r="S21" i="30"/>
  <c r="R21" i="30"/>
  <c r="Q21" i="30"/>
  <c r="K21" i="30"/>
  <c r="J21" i="30"/>
  <c r="H21" i="30"/>
  <c r="G21" i="30"/>
  <c r="F21" i="30"/>
  <c r="C21" i="30"/>
  <c r="AM20" i="30"/>
  <c r="AF20" i="30"/>
  <c r="Y20" i="30"/>
  <c r="R20" i="30"/>
  <c r="K20" i="30"/>
  <c r="G20" i="30"/>
  <c r="C20" i="30"/>
  <c r="AM19" i="30"/>
  <c r="AF19" i="30"/>
  <c r="Y19" i="30"/>
  <c r="R19" i="30"/>
  <c r="K19" i="30"/>
  <c r="G19" i="30"/>
  <c r="C19" i="30"/>
  <c r="AM18" i="30"/>
  <c r="AF18" i="30"/>
  <c r="Y18" i="30"/>
  <c r="R18" i="30"/>
  <c r="K18" i="30"/>
  <c r="G18" i="30"/>
  <c r="B18" i="30"/>
  <c r="C18" i="30" s="1"/>
  <c r="AM17" i="30"/>
  <c r="AF17" i="30"/>
  <c r="Y17" i="30"/>
  <c r="R17" i="30"/>
  <c r="K17" i="30"/>
  <c r="G17" i="30"/>
  <c r="C17" i="30"/>
  <c r="B17" i="30"/>
  <c r="AM16" i="30"/>
  <c r="AF16" i="30"/>
  <c r="Y16" i="30"/>
  <c r="R16" i="30"/>
  <c r="K16" i="30"/>
  <c r="G16" i="30"/>
  <c r="C16" i="30"/>
  <c r="AM15" i="30"/>
  <c r="AF15" i="30"/>
  <c r="Y15" i="30"/>
  <c r="R15" i="30"/>
  <c r="K15" i="30"/>
  <c r="G15" i="30"/>
  <c r="C15" i="30"/>
  <c r="AP12" i="30"/>
  <c r="AI12" i="30"/>
  <c r="AB12" i="30"/>
  <c r="U12" i="30"/>
  <c r="N12" i="30"/>
  <c r="AQ11" i="30"/>
  <c r="AN11" i="30"/>
  <c r="AG11" i="30"/>
  <c r="AJ11" i="30" s="1"/>
  <c r="AC11" i="30"/>
  <c r="Z11" i="30"/>
  <c r="S11" i="30"/>
  <c r="V11" i="30" s="1"/>
  <c r="L11" i="30"/>
  <c r="O11" i="30" s="1"/>
  <c r="H11" i="30"/>
  <c r="AL65" i="29"/>
  <c r="AM37" i="29" s="1"/>
  <c r="AE65" i="29"/>
  <c r="X65" i="29"/>
  <c r="Q65" i="29"/>
  <c r="J65" i="29"/>
  <c r="F65" i="29"/>
  <c r="G37" i="29" s="1"/>
  <c r="C50" i="29"/>
  <c r="C49" i="29"/>
  <c r="C48" i="29"/>
  <c r="C47" i="29"/>
  <c r="Y46" i="29"/>
  <c r="K46" i="29"/>
  <c r="C46" i="29"/>
  <c r="AM45" i="29"/>
  <c r="AF45" i="29"/>
  <c r="Y45" i="29"/>
  <c r="R45" i="29"/>
  <c r="K45" i="29"/>
  <c r="G45" i="29"/>
  <c r="C45" i="29"/>
  <c r="Y44" i="29"/>
  <c r="C44" i="29"/>
  <c r="R43" i="29"/>
  <c r="K43" i="29"/>
  <c r="C43" i="29"/>
  <c r="AM41" i="29"/>
  <c r="AF41" i="29"/>
  <c r="Y41" i="29"/>
  <c r="R41" i="29"/>
  <c r="K41" i="29"/>
  <c r="G41" i="29"/>
  <c r="C41" i="29"/>
  <c r="AM40" i="29"/>
  <c r="AF40" i="29"/>
  <c r="Y40" i="29"/>
  <c r="R40" i="29"/>
  <c r="K40" i="29"/>
  <c r="G40" i="29"/>
  <c r="C40" i="29"/>
  <c r="AM38" i="29"/>
  <c r="AF38" i="29"/>
  <c r="Y38" i="29"/>
  <c r="R38" i="29"/>
  <c r="K38" i="29"/>
  <c r="G38" i="29"/>
  <c r="C38" i="29"/>
  <c r="AF37" i="29"/>
  <c r="Y37" i="29"/>
  <c r="Y43" i="29" s="1"/>
  <c r="V37" i="29"/>
  <c r="R37" i="29"/>
  <c r="O37" i="29"/>
  <c r="K37" i="29"/>
  <c r="L37" i="29" s="1"/>
  <c r="N37" i="29" s="1"/>
  <c r="H37" i="29"/>
  <c r="C37" i="29"/>
  <c r="AM36" i="29"/>
  <c r="AF36" i="29"/>
  <c r="Y36" i="29"/>
  <c r="R36" i="29"/>
  <c r="K36" i="29"/>
  <c r="G36" i="29"/>
  <c r="C36" i="29"/>
  <c r="AM35" i="29"/>
  <c r="AF35" i="29"/>
  <c r="Y35" i="29"/>
  <c r="R35" i="29"/>
  <c r="K35" i="29"/>
  <c r="G35" i="29"/>
  <c r="C35" i="29"/>
  <c r="AM34" i="29"/>
  <c r="AF34" i="29"/>
  <c r="Y34" i="29"/>
  <c r="R34" i="29"/>
  <c r="K34" i="29"/>
  <c r="G34" i="29"/>
  <c r="C34" i="29"/>
  <c r="AM33" i="29"/>
  <c r="AF33" i="29"/>
  <c r="Y33" i="29"/>
  <c r="R33" i="29"/>
  <c r="K33" i="29"/>
  <c r="G33" i="29"/>
  <c r="C33" i="29"/>
  <c r="AM32" i="29"/>
  <c r="AF32" i="29"/>
  <c r="Y32" i="29"/>
  <c r="R32" i="29"/>
  <c r="K32" i="29"/>
  <c r="G32" i="29"/>
  <c r="C32" i="29"/>
  <c r="AM31" i="29"/>
  <c r="AF31" i="29"/>
  <c r="Y31" i="29"/>
  <c r="R31" i="29"/>
  <c r="K31" i="29"/>
  <c r="G31" i="29"/>
  <c r="C31" i="29"/>
  <c r="AM30" i="29"/>
  <c r="AF30" i="29"/>
  <c r="Y30" i="29"/>
  <c r="R30" i="29"/>
  <c r="K30" i="29"/>
  <c r="G30" i="29"/>
  <c r="C30" i="29"/>
  <c r="AM28" i="29"/>
  <c r="AF28" i="29"/>
  <c r="Y28" i="29"/>
  <c r="R28" i="29"/>
  <c r="K28" i="29"/>
  <c r="G28" i="29"/>
  <c r="C28" i="29"/>
  <c r="AM27" i="29"/>
  <c r="AF27" i="29"/>
  <c r="Y27" i="29"/>
  <c r="R27" i="29"/>
  <c r="K27" i="29"/>
  <c r="G27" i="29"/>
  <c r="C27" i="29"/>
  <c r="AM26" i="29"/>
  <c r="AF26" i="29"/>
  <c r="Y26" i="29"/>
  <c r="R26" i="29"/>
  <c r="K26" i="29"/>
  <c r="G26" i="29"/>
  <c r="C26" i="29"/>
  <c r="AM25" i="29"/>
  <c r="AF25" i="29"/>
  <c r="Y25" i="29"/>
  <c r="R25" i="29"/>
  <c r="K25" i="29"/>
  <c r="G25" i="29"/>
  <c r="C25" i="29"/>
  <c r="AM24" i="29"/>
  <c r="AF24" i="29"/>
  <c r="Y24" i="29"/>
  <c r="R24" i="29"/>
  <c r="K24" i="29"/>
  <c r="G24" i="29"/>
  <c r="C24" i="29"/>
  <c r="AM23" i="29"/>
  <c r="AF23" i="29"/>
  <c r="Y23" i="29"/>
  <c r="R23" i="29"/>
  <c r="K23" i="29"/>
  <c r="G23" i="29"/>
  <c r="C23" i="29"/>
  <c r="AM22" i="29"/>
  <c r="AF22" i="29"/>
  <c r="Y22" i="29"/>
  <c r="R22" i="29"/>
  <c r="K22" i="29"/>
  <c r="G22" i="29"/>
  <c r="C22" i="29"/>
  <c r="AM21" i="29"/>
  <c r="AF21" i="29"/>
  <c r="Y21" i="29"/>
  <c r="R21" i="29"/>
  <c r="S21" i="29" s="1"/>
  <c r="Q21" i="29"/>
  <c r="K21" i="29"/>
  <c r="L21" i="29" s="1"/>
  <c r="J21" i="29"/>
  <c r="H21" i="29"/>
  <c r="G21" i="29"/>
  <c r="F21" i="29"/>
  <c r="C21" i="29"/>
  <c r="AM20" i="29"/>
  <c r="AF20" i="29"/>
  <c r="Y20" i="29"/>
  <c r="R20" i="29"/>
  <c r="K20" i="29"/>
  <c r="G20" i="29"/>
  <c r="C20" i="29"/>
  <c r="AM19" i="29"/>
  <c r="AF19" i="29"/>
  <c r="Y19" i="29"/>
  <c r="R19" i="29"/>
  <c r="K19" i="29"/>
  <c r="G19" i="29"/>
  <c r="C19" i="29"/>
  <c r="AM18" i="29"/>
  <c r="AF18" i="29"/>
  <c r="Y18" i="29"/>
  <c r="R18" i="29"/>
  <c r="K18" i="29"/>
  <c r="G18" i="29"/>
  <c r="C18" i="29"/>
  <c r="B18" i="29"/>
  <c r="AM17" i="29"/>
  <c r="AF17" i="29"/>
  <c r="Y17" i="29"/>
  <c r="R17" i="29"/>
  <c r="K17" i="29"/>
  <c r="G17" i="29"/>
  <c r="B17" i="29"/>
  <c r="C17" i="29" s="1"/>
  <c r="AM16" i="29"/>
  <c r="AF16" i="29"/>
  <c r="Y16" i="29"/>
  <c r="R16" i="29"/>
  <c r="K16" i="29"/>
  <c r="G16" i="29"/>
  <c r="C16" i="29"/>
  <c r="AM15" i="29"/>
  <c r="AF15" i="29"/>
  <c r="Y15" i="29"/>
  <c r="R15" i="29"/>
  <c r="K15" i="29"/>
  <c r="G15" i="29"/>
  <c r="C15" i="29"/>
  <c r="AP12" i="29"/>
  <c r="AI12" i="29"/>
  <c r="AB12" i="29"/>
  <c r="U12" i="29"/>
  <c r="N12" i="29"/>
  <c r="AQ11" i="29"/>
  <c r="AN11" i="29"/>
  <c r="AG11" i="29"/>
  <c r="AJ11" i="29" s="1"/>
  <c r="Z11" i="29"/>
  <c r="AC11" i="29" s="1"/>
  <c r="V11" i="29"/>
  <c r="S11" i="29"/>
  <c r="L11" i="29"/>
  <c r="O11" i="29" s="1"/>
  <c r="H11" i="29"/>
  <c r="AL65" i="28"/>
  <c r="AM37" i="28" s="1"/>
  <c r="AE65" i="28"/>
  <c r="X65" i="28"/>
  <c r="Q65" i="28"/>
  <c r="J65" i="28"/>
  <c r="F65" i="28"/>
  <c r="C50" i="28"/>
  <c r="C49" i="28"/>
  <c r="C48" i="28"/>
  <c r="C47" i="28"/>
  <c r="Y46" i="28"/>
  <c r="R46" i="28"/>
  <c r="G46" i="28"/>
  <c r="C46" i="28"/>
  <c r="AM45" i="28"/>
  <c r="AF45" i="28"/>
  <c r="Y45" i="28"/>
  <c r="R45" i="28"/>
  <c r="K45" i="28"/>
  <c r="G45" i="28"/>
  <c r="C45" i="28"/>
  <c r="AM44" i="28"/>
  <c r="AF44" i="28"/>
  <c r="Y44" i="28"/>
  <c r="G44" i="28"/>
  <c r="C44" i="28"/>
  <c r="AM43" i="28"/>
  <c r="AF43" i="28"/>
  <c r="K43" i="28"/>
  <c r="G43" i="28"/>
  <c r="C43" i="28"/>
  <c r="AM41" i="28"/>
  <c r="AF41" i="28"/>
  <c r="Y41" i="28"/>
  <c r="R41" i="28"/>
  <c r="K41" i="28"/>
  <c r="G41" i="28"/>
  <c r="C41" i="28"/>
  <c r="AM40" i="28"/>
  <c r="AF40" i="28"/>
  <c r="Y40" i="28"/>
  <c r="R40" i="28"/>
  <c r="K40" i="28"/>
  <c r="G40" i="28"/>
  <c r="C40" i="28"/>
  <c r="AM38" i="28"/>
  <c r="AF38" i="28"/>
  <c r="Y38" i="28"/>
  <c r="R38" i="28"/>
  <c r="K38" i="28"/>
  <c r="G38" i="28"/>
  <c r="C38" i="28"/>
  <c r="AF37" i="28"/>
  <c r="AF46" i="28" s="1"/>
  <c r="Y37" i="28"/>
  <c r="R37" i="28"/>
  <c r="R43" i="28" s="1"/>
  <c r="O37" i="28"/>
  <c r="N37" i="28"/>
  <c r="L37" i="28"/>
  <c r="V37" i="28" s="1"/>
  <c r="K37" i="28"/>
  <c r="H37" i="28"/>
  <c r="G37" i="28"/>
  <c r="C37" i="28"/>
  <c r="AM36" i="28"/>
  <c r="AF36" i="28"/>
  <c r="Y36" i="28"/>
  <c r="R36" i="28"/>
  <c r="K36" i="28"/>
  <c r="G36" i="28"/>
  <c r="C36" i="28"/>
  <c r="AM35" i="28"/>
  <c r="AF35" i="28"/>
  <c r="Y35" i="28"/>
  <c r="R35" i="28"/>
  <c r="K35" i="28"/>
  <c r="G35" i="28"/>
  <c r="C35" i="28"/>
  <c r="AM34" i="28"/>
  <c r="AF34" i="28"/>
  <c r="Y34" i="28"/>
  <c r="R34" i="28"/>
  <c r="K34" i="28"/>
  <c r="G34" i="28"/>
  <c r="C34" i="28"/>
  <c r="AM33" i="28"/>
  <c r="AF33" i="28"/>
  <c r="Y33" i="28"/>
  <c r="R33" i="28"/>
  <c r="K33" i="28"/>
  <c r="G33" i="28"/>
  <c r="C33" i="28"/>
  <c r="AM32" i="28"/>
  <c r="AF32" i="28"/>
  <c r="Y32" i="28"/>
  <c r="R32" i="28"/>
  <c r="K32" i="28"/>
  <c r="G32" i="28"/>
  <c r="C32" i="28"/>
  <c r="AM31" i="28"/>
  <c r="AF31" i="28"/>
  <c r="Y31" i="28"/>
  <c r="R31" i="28"/>
  <c r="K31" i="28"/>
  <c r="G31" i="28"/>
  <c r="C31" i="28"/>
  <c r="AM30" i="28"/>
  <c r="AF30" i="28"/>
  <c r="Y30" i="28"/>
  <c r="R30" i="28"/>
  <c r="K30" i="28"/>
  <c r="G30" i="28"/>
  <c r="C30" i="28"/>
  <c r="AM28" i="28"/>
  <c r="AF28" i="28"/>
  <c r="Y28" i="28"/>
  <c r="R28" i="28"/>
  <c r="K28" i="28"/>
  <c r="G28" i="28"/>
  <c r="C28" i="28"/>
  <c r="AM27" i="28"/>
  <c r="AF27" i="28"/>
  <c r="Y27" i="28"/>
  <c r="R27" i="28"/>
  <c r="K27" i="28"/>
  <c r="G27" i="28"/>
  <c r="C27" i="28"/>
  <c r="AM26" i="28"/>
  <c r="AF26" i="28"/>
  <c r="Y26" i="28"/>
  <c r="R26" i="28"/>
  <c r="K26" i="28"/>
  <c r="G26" i="28"/>
  <c r="C26" i="28"/>
  <c r="AM25" i="28"/>
  <c r="AF25" i="28"/>
  <c r="Y25" i="28"/>
  <c r="R25" i="28"/>
  <c r="K25" i="28"/>
  <c r="G25" i="28"/>
  <c r="C25" i="28"/>
  <c r="AM24" i="28"/>
  <c r="AF24" i="28"/>
  <c r="Y24" i="28"/>
  <c r="R24" i="28"/>
  <c r="K24" i="28"/>
  <c r="G24" i="28"/>
  <c r="C24" i="28"/>
  <c r="AM23" i="28"/>
  <c r="AF23" i="28"/>
  <c r="Y23" i="28"/>
  <c r="R23" i="28"/>
  <c r="K23" i="28"/>
  <c r="G23" i="28"/>
  <c r="C23" i="28"/>
  <c r="AM22" i="28"/>
  <c r="AF22" i="28"/>
  <c r="Y22" i="28"/>
  <c r="R22" i="28"/>
  <c r="K22" i="28"/>
  <c r="G22" i="28"/>
  <c r="C22" i="28"/>
  <c r="AM21" i="28"/>
  <c r="AF21" i="28"/>
  <c r="Y21" i="28"/>
  <c r="S21" i="28"/>
  <c r="R21" i="28"/>
  <c r="Q21" i="28"/>
  <c r="K21" i="28"/>
  <c r="L21" i="28" s="1"/>
  <c r="J21" i="28"/>
  <c r="G21" i="28"/>
  <c r="F21" i="28"/>
  <c r="H21" i="28" s="1"/>
  <c r="C21" i="28"/>
  <c r="AM20" i="28"/>
  <c r="AF20" i="28"/>
  <c r="Y20" i="28"/>
  <c r="R20" i="28"/>
  <c r="K20" i="28"/>
  <c r="G20" i="28"/>
  <c r="C20" i="28"/>
  <c r="AM19" i="28"/>
  <c r="AF19" i="28"/>
  <c r="Y19" i="28"/>
  <c r="R19" i="28"/>
  <c r="K19" i="28"/>
  <c r="G19" i="28"/>
  <c r="C19" i="28"/>
  <c r="AM18" i="28"/>
  <c r="AF18" i="28"/>
  <c r="Y18" i="28"/>
  <c r="R18" i="28"/>
  <c r="K18" i="28"/>
  <c r="G18" i="28"/>
  <c r="C18" i="28"/>
  <c r="B18" i="28"/>
  <c r="AM17" i="28"/>
  <c r="AF17" i="28"/>
  <c r="Y17" i="28"/>
  <c r="R17" i="28"/>
  <c r="K17" i="28"/>
  <c r="G17" i="28"/>
  <c r="C17" i="28"/>
  <c r="B17" i="28"/>
  <c r="AM16" i="28"/>
  <c r="AF16" i="28"/>
  <c r="Y16" i="28"/>
  <c r="R16" i="28"/>
  <c r="K16" i="28"/>
  <c r="G16" i="28"/>
  <c r="C16" i="28"/>
  <c r="AM15" i="28"/>
  <c r="AF15" i="28"/>
  <c r="Y15" i="28"/>
  <c r="R15" i="28"/>
  <c r="K15" i="28"/>
  <c r="G15" i="28"/>
  <c r="C15" i="28"/>
  <c r="AP12" i="28"/>
  <c r="AI12" i="28"/>
  <c r="AB12" i="28"/>
  <c r="U12" i="28"/>
  <c r="N12" i="28"/>
  <c r="AN11" i="28"/>
  <c r="AQ11" i="28" s="1"/>
  <c r="AJ11" i="28"/>
  <c r="AG11" i="28"/>
  <c r="Z11" i="28"/>
  <c r="AC11" i="28" s="1"/>
  <c r="V11" i="28"/>
  <c r="S11" i="28"/>
  <c r="L11" i="28"/>
  <c r="O11" i="28" s="1"/>
  <c r="H11" i="28"/>
  <c r="AL65" i="27"/>
  <c r="AE65" i="27"/>
  <c r="AF37" i="27" s="1"/>
  <c r="X65" i="27"/>
  <c r="Y37" i="27" s="1"/>
  <c r="Q65" i="27"/>
  <c r="J65" i="27"/>
  <c r="F65" i="27"/>
  <c r="C50" i="27"/>
  <c r="C49" i="27"/>
  <c r="C48" i="27"/>
  <c r="C47" i="27"/>
  <c r="C46" i="27"/>
  <c r="AM45" i="27"/>
  <c r="AF45" i="27"/>
  <c r="Y45" i="27"/>
  <c r="R45" i="27"/>
  <c r="K45" i="27"/>
  <c r="G45" i="27"/>
  <c r="C45" i="27"/>
  <c r="G44" i="27"/>
  <c r="C44" i="27"/>
  <c r="Y43" i="27"/>
  <c r="C43" i="27"/>
  <c r="AM41" i="27"/>
  <c r="AF41" i="27"/>
  <c r="Y41" i="27"/>
  <c r="R41" i="27"/>
  <c r="K41" i="27"/>
  <c r="G41" i="27"/>
  <c r="C41" i="27"/>
  <c r="AM40" i="27"/>
  <c r="AF40" i="27"/>
  <c r="Y40" i="27"/>
  <c r="R40" i="27"/>
  <c r="K40" i="27"/>
  <c r="G40" i="27"/>
  <c r="C40" i="27"/>
  <c r="AM38" i="27"/>
  <c r="AF38" i="27"/>
  <c r="Y38" i="27"/>
  <c r="R38" i="27"/>
  <c r="K38" i="27"/>
  <c r="G38" i="27"/>
  <c r="C38" i="27"/>
  <c r="AM37" i="27"/>
  <c r="R37" i="27"/>
  <c r="L37" i="27"/>
  <c r="V37" i="27" s="1"/>
  <c r="K37" i="27"/>
  <c r="K43" i="27" s="1"/>
  <c r="G37" i="27"/>
  <c r="G46" i="27" s="1"/>
  <c r="C37" i="27"/>
  <c r="AM36" i="27"/>
  <c r="AF36" i="27"/>
  <c r="Y36" i="27"/>
  <c r="R36" i="27"/>
  <c r="K36" i="27"/>
  <c r="G36" i="27"/>
  <c r="C36" i="27"/>
  <c r="AM35" i="27"/>
  <c r="AF35" i="27"/>
  <c r="Y35" i="27"/>
  <c r="R35" i="27"/>
  <c r="K35" i="27"/>
  <c r="G35" i="27"/>
  <c r="C35" i="27"/>
  <c r="AM34" i="27"/>
  <c r="AF34" i="27"/>
  <c r="Y34" i="27"/>
  <c r="R34" i="27"/>
  <c r="K34" i="27"/>
  <c r="G34" i="27"/>
  <c r="C34" i="27"/>
  <c r="AM33" i="27"/>
  <c r="AF33" i="27"/>
  <c r="Y33" i="27"/>
  <c r="R33" i="27"/>
  <c r="K33" i="27"/>
  <c r="G33" i="27"/>
  <c r="C33" i="27"/>
  <c r="AM32" i="27"/>
  <c r="AF32" i="27"/>
  <c r="Y32" i="27"/>
  <c r="R32" i="27"/>
  <c r="K32" i="27"/>
  <c r="G32" i="27"/>
  <c r="C32" i="27"/>
  <c r="AM31" i="27"/>
  <c r="AF31" i="27"/>
  <c r="Y31" i="27"/>
  <c r="R31" i="27"/>
  <c r="K31" i="27"/>
  <c r="G31" i="27"/>
  <c r="C31" i="27"/>
  <c r="AM30" i="27"/>
  <c r="AF30" i="27"/>
  <c r="Y30" i="27"/>
  <c r="R30" i="27"/>
  <c r="K30" i="27"/>
  <c r="G30" i="27"/>
  <c r="C30" i="27"/>
  <c r="AM28" i="27"/>
  <c r="AF28" i="27"/>
  <c r="Y28" i="27"/>
  <c r="R28" i="27"/>
  <c r="K28" i="27"/>
  <c r="G28" i="27"/>
  <c r="C28" i="27"/>
  <c r="AM27" i="27"/>
  <c r="AF27" i="27"/>
  <c r="Y27" i="27"/>
  <c r="R27" i="27"/>
  <c r="K27" i="27"/>
  <c r="G27" i="27"/>
  <c r="C27" i="27"/>
  <c r="AM26" i="27"/>
  <c r="AF26" i="27"/>
  <c r="Y26" i="27"/>
  <c r="R26" i="27"/>
  <c r="K26" i="27"/>
  <c r="G26" i="27"/>
  <c r="C26" i="27"/>
  <c r="AM25" i="27"/>
  <c r="AF25" i="27"/>
  <c r="Y25" i="27"/>
  <c r="R25" i="27"/>
  <c r="K25" i="27"/>
  <c r="G25" i="27"/>
  <c r="C25" i="27"/>
  <c r="AM24" i="27"/>
  <c r="AF24" i="27"/>
  <c r="Y24" i="27"/>
  <c r="R24" i="27"/>
  <c r="K24" i="27"/>
  <c r="G24" i="27"/>
  <c r="C24" i="27"/>
  <c r="AM23" i="27"/>
  <c r="AF23" i="27"/>
  <c r="Y23" i="27"/>
  <c r="R23" i="27"/>
  <c r="K23" i="27"/>
  <c r="G23" i="27"/>
  <c r="C23" i="27"/>
  <c r="AM22" i="27"/>
  <c r="AF22" i="27"/>
  <c r="Y22" i="27"/>
  <c r="R22" i="27"/>
  <c r="K22" i="27"/>
  <c r="G22" i="27"/>
  <c r="C22" i="27"/>
  <c r="AM21" i="27"/>
  <c r="AF21" i="27"/>
  <c r="Y21" i="27"/>
  <c r="R21" i="27"/>
  <c r="Q21" i="27"/>
  <c r="S21" i="27" s="1"/>
  <c r="K21" i="27"/>
  <c r="L21" i="27" s="1"/>
  <c r="V21" i="27" s="1"/>
  <c r="J21" i="27"/>
  <c r="H21" i="27"/>
  <c r="G21" i="27"/>
  <c r="F21" i="27"/>
  <c r="C21" i="27"/>
  <c r="AM20" i="27"/>
  <c r="AF20" i="27"/>
  <c r="Y20" i="27"/>
  <c r="R20" i="27"/>
  <c r="K20" i="27"/>
  <c r="G20" i="27"/>
  <c r="C20" i="27"/>
  <c r="AM19" i="27"/>
  <c r="AF19" i="27"/>
  <c r="Y19" i="27"/>
  <c r="R19" i="27"/>
  <c r="K19" i="27"/>
  <c r="G19" i="27"/>
  <c r="C19" i="27"/>
  <c r="AM18" i="27"/>
  <c r="AF18" i="27"/>
  <c r="Y18" i="27"/>
  <c r="R18" i="27"/>
  <c r="K18" i="27"/>
  <c r="G18" i="27"/>
  <c r="C18" i="27"/>
  <c r="B18" i="27"/>
  <c r="AM17" i="27"/>
  <c r="AF17" i="27"/>
  <c r="Y17" i="27"/>
  <c r="R17" i="27"/>
  <c r="K17" i="27"/>
  <c r="G17" i="27"/>
  <c r="C17" i="27"/>
  <c r="B17" i="27"/>
  <c r="AM16" i="27"/>
  <c r="AF16" i="27"/>
  <c r="Y16" i="27"/>
  <c r="R16" i="27"/>
  <c r="K16" i="27"/>
  <c r="G16" i="27"/>
  <c r="C16" i="27"/>
  <c r="AM15" i="27"/>
  <c r="AF15" i="27"/>
  <c r="Y15" i="27"/>
  <c r="R15" i="27"/>
  <c r="K15" i="27"/>
  <c r="G15" i="27"/>
  <c r="C15" i="27"/>
  <c r="AP12" i="27"/>
  <c r="AI12" i="27"/>
  <c r="AB12" i="27"/>
  <c r="U12" i="27"/>
  <c r="N12" i="27"/>
  <c r="AN11" i="27"/>
  <c r="AQ11" i="27" s="1"/>
  <c r="AJ11" i="27"/>
  <c r="AG11" i="27"/>
  <c r="Z11" i="27"/>
  <c r="AC11" i="27" s="1"/>
  <c r="S11" i="27"/>
  <c r="V11" i="27" s="1"/>
  <c r="O11" i="27"/>
  <c r="L11" i="27"/>
  <c r="H11" i="27"/>
  <c r="AL65" i="26"/>
  <c r="AE65" i="26"/>
  <c r="X65" i="26"/>
  <c r="Q65" i="26"/>
  <c r="R37" i="26" s="1"/>
  <c r="J65" i="26"/>
  <c r="F65" i="26"/>
  <c r="G37" i="26" s="1"/>
  <c r="G43" i="26" s="1"/>
  <c r="C50" i="26"/>
  <c r="C49" i="26"/>
  <c r="C48" i="26"/>
  <c r="C47" i="26"/>
  <c r="AM46" i="26"/>
  <c r="Y46" i="26"/>
  <c r="G46" i="26"/>
  <c r="C46" i="26"/>
  <c r="AM45" i="26"/>
  <c r="AF45" i="26"/>
  <c r="Y45" i="26"/>
  <c r="R45" i="26"/>
  <c r="K45" i="26"/>
  <c r="G45" i="26"/>
  <c r="C45" i="26"/>
  <c r="AM44" i="26"/>
  <c r="G44" i="26"/>
  <c r="C44" i="26"/>
  <c r="AM43" i="26"/>
  <c r="Y43" i="26"/>
  <c r="C43" i="26"/>
  <c r="AM41" i="26"/>
  <c r="AF41" i="26"/>
  <c r="Y41" i="26"/>
  <c r="R41" i="26"/>
  <c r="K41" i="26"/>
  <c r="G41" i="26"/>
  <c r="C41" i="26"/>
  <c r="AM40" i="26"/>
  <c r="AF40" i="26"/>
  <c r="Y40" i="26"/>
  <c r="R40" i="26"/>
  <c r="K40" i="26"/>
  <c r="G40" i="26"/>
  <c r="C40" i="26"/>
  <c r="AM38" i="26"/>
  <c r="AF38" i="26"/>
  <c r="Y38" i="26"/>
  <c r="R38" i="26"/>
  <c r="K38" i="26"/>
  <c r="G38" i="26"/>
  <c r="C38" i="26"/>
  <c r="AM37" i="26"/>
  <c r="AN37" i="26" s="1"/>
  <c r="AF37" i="26"/>
  <c r="Y37" i="26"/>
  <c r="K37" i="26"/>
  <c r="H37" i="26"/>
  <c r="O37" i="26" s="1"/>
  <c r="C37" i="26"/>
  <c r="AM36" i="26"/>
  <c r="AF36" i="26"/>
  <c r="Y36" i="26"/>
  <c r="R36" i="26"/>
  <c r="K36" i="26"/>
  <c r="G36" i="26"/>
  <c r="C36" i="26"/>
  <c r="AM35" i="26"/>
  <c r="AF35" i="26"/>
  <c r="Y35" i="26"/>
  <c r="R35" i="26"/>
  <c r="K35" i="26"/>
  <c r="G35" i="26"/>
  <c r="C35" i="26"/>
  <c r="AM34" i="26"/>
  <c r="AF34" i="26"/>
  <c r="Y34" i="26"/>
  <c r="R34" i="26"/>
  <c r="K34" i="26"/>
  <c r="G34" i="26"/>
  <c r="C34" i="26"/>
  <c r="AM33" i="26"/>
  <c r="AF33" i="26"/>
  <c r="Y33" i="26"/>
  <c r="R33" i="26"/>
  <c r="K33" i="26"/>
  <c r="G33" i="26"/>
  <c r="C33" i="26"/>
  <c r="AM32" i="26"/>
  <c r="AF32" i="26"/>
  <c r="Y32" i="26"/>
  <c r="R32" i="26"/>
  <c r="K32" i="26"/>
  <c r="G32" i="26"/>
  <c r="C32" i="26"/>
  <c r="AM31" i="26"/>
  <c r="AF31" i="26"/>
  <c r="Y31" i="26"/>
  <c r="R31" i="26"/>
  <c r="K31" i="26"/>
  <c r="G31" i="26"/>
  <c r="C31" i="26"/>
  <c r="AM30" i="26"/>
  <c r="AF30" i="26"/>
  <c r="Y30" i="26"/>
  <c r="R30" i="26"/>
  <c r="K30" i="26"/>
  <c r="G30" i="26"/>
  <c r="C30" i="26"/>
  <c r="AM28" i="26"/>
  <c r="AF28" i="26"/>
  <c r="Y28" i="26"/>
  <c r="R28" i="26"/>
  <c r="K28" i="26"/>
  <c r="G28" i="26"/>
  <c r="C28" i="26"/>
  <c r="AM27" i="26"/>
  <c r="AF27" i="26"/>
  <c r="Y27" i="26"/>
  <c r="R27" i="26"/>
  <c r="K27" i="26"/>
  <c r="G27" i="26"/>
  <c r="C27" i="26"/>
  <c r="AM26" i="26"/>
  <c r="AF26" i="26"/>
  <c r="Y26" i="26"/>
  <c r="R26" i="26"/>
  <c r="K26" i="26"/>
  <c r="G26" i="26"/>
  <c r="C26" i="26"/>
  <c r="AM25" i="26"/>
  <c r="AF25" i="26"/>
  <c r="Y25" i="26"/>
  <c r="R25" i="26"/>
  <c r="K25" i="26"/>
  <c r="G25" i="26"/>
  <c r="C25" i="26"/>
  <c r="AM24" i="26"/>
  <c r="AF24" i="26"/>
  <c r="Y24" i="26"/>
  <c r="R24" i="26"/>
  <c r="K24" i="26"/>
  <c r="G24" i="26"/>
  <c r="C24" i="26"/>
  <c r="AM23" i="26"/>
  <c r="AF23" i="26"/>
  <c r="Y23" i="26"/>
  <c r="R23" i="26"/>
  <c r="K23" i="26"/>
  <c r="G23" i="26"/>
  <c r="C23" i="26"/>
  <c r="AM22" i="26"/>
  <c r="AF22" i="26"/>
  <c r="Y22" i="26"/>
  <c r="R22" i="26"/>
  <c r="K22" i="26"/>
  <c r="G22" i="26"/>
  <c r="C22" i="26"/>
  <c r="AM21" i="26"/>
  <c r="AF21" i="26"/>
  <c r="Y21" i="26"/>
  <c r="V21" i="26"/>
  <c r="U21" i="26"/>
  <c r="R21" i="26"/>
  <c r="S21" i="26" s="1"/>
  <c r="Q21" i="26"/>
  <c r="L21" i="26"/>
  <c r="K21" i="26"/>
  <c r="J21" i="26"/>
  <c r="H21" i="26"/>
  <c r="G21" i="26"/>
  <c r="F21" i="26"/>
  <c r="C21" i="26"/>
  <c r="AM20" i="26"/>
  <c r="AF20" i="26"/>
  <c r="Y20" i="26"/>
  <c r="R20" i="26"/>
  <c r="K20" i="26"/>
  <c r="G20" i="26"/>
  <c r="C20" i="26"/>
  <c r="AM19" i="26"/>
  <c r="AF19" i="26"/>
  <c r="Y19" i="26"/>
  <c r="R19" i="26"/>
  <c r="K19" i="26"/>
  <c r="G19" i="26"/>
  <c r="C19" i="26"/>
  <c r="AM18" i="26"/>
  <c r="AF18" i="26"/>
  <c r="Y18" i="26"/>
  <c r="R18" i="26"/>
  <c r="K18" i="26"/>
  <c r="G18" i="26"/>
  <c r="B18" i="26"/>
  <c r="C18" i="26" s="1"/>
  <c r="AM17" i="26"/>
  <c r="AF17" i="26"/>
  <c r="Y17" i="26"/>
  <c r="R17" i="26"/>
  <c r="K17" i="26"/>
  <c r="G17" i="26"/>
  <c r="C17" i="26"/>
  <c r="B17" i="26"/>
  <c r="AM16" i="26"/>
  <c r="AF16" i="26"/>
  <c r="Y16" i="26"/>
  <c r="R16" i="26"/>
  <c r="K16" i="26"/>
  <c r="G16" i="26"/>
  <c r="C16" i="26"/>
  <c r="AM15" i="26"/>
  <c r="AF15" i="26"/>
  <c r="Y15" i="26"/>
  <c r="R15" i="26"/>
  <c r="K15" i="26"/>
  <c r="G15" i="26"/>
  <c r="C15" i="26"/>
  <c r="AP12" i="26"/>
  <c r="AI12" i="26"/>
  <c r="AB12" i="26"/>
  <c r="U12" i="26"/>
  <c r="N12" i="26"/>
  <c r="AN11" i="26"/>
  <c r="AQ11" i="26" s="1"/>
  <c r="AG11" i="26"/>
  <c r="AJ11" i="26" s="1"/>
  <c r="AC11" i="26"/>
  <c r="Z11" i="26"/>
  <c r="S11" i="26"/>
  <c r="V11" i="26" s="1"/>
  <c r="O11" i="26"/>
  <c r="L11" i="26"/>
  <c r="H11" i="26"/>
  <c r="AL65" i="25"/>
  <c r="AE65" i="25"/>
  <c r="X65" i="25"/>
  <c r="Q65" i="25"/>
  <c r="J65" i="25"/>
  <c r="F65" i="25"/>
  <c r="C50" i="25"/>
  <c r="C49" i="25"/>
  <c r="C48" i="25"/>
  <c r="C47" i="25"/>
  <c r="C46" i="25"/>
  <c r="AM45" i="25"/>
  <c r="AF45" i="25"/>
  <c r="Y45" i="25"/>
  <c r="R45" i="25"/>
  <c r="K45" i="25"/>
  <c r="G45" i="25"/>
  <c r="C45" i="25"/>
  <c r="C44" i="25"/>
  <c r="C43" i="25"/>
  <c r="AM41" i="25"/>
  <c r="AF41" i="25"/>
  <c r="Y41" i="25"/>
  <c r="R41" i="25"/>
  <c r="K41" i="25"/>
  <c r="G41" i="25"/>
  <c r="C41" i="25"/>
  <c r="AM40" i="25"/>
  <c r="AF40" i="25"/>
  <c r="Y40" i="25"/>
  <c r="R40" i="25"/>
  <c r="K40" i="25"/>
  <c r="G40" i="25"/>
  <c r="C40" i="25"/>
  <c r="AM38" i="25"/>
  <c r="AF38" i="25"/>
  <c r="Y38" i="25"/>
  <c r="R38" i="25"/>
  <c r="K38" i="25"/>
  <c r="G38" i="25"/>
  <c r="C38" i="25"/>
  <c r="C37" i="25"/>
  <c r="AM36" i="25"/>
  <c r="AF36" i="25"/>
  <c r="Y36" i="25"/>
  <c r="R36" i="25"/>
  <c r="K36" i="25"/>
  <c r="G36" i="25"/>
  <c r="C36" i="25"/>
  <c r="AM35" i="25"/>
  <c r="AF35" i="25"/>
  <c r="Y35" i="25"/>
  <c r="R35" i="25"/>
  <c r="K35" i="25"/>
  <c r="G35" i="25"/>
  <c r="C35" i="25"/>
  <c r="AM34" i="25"/>
  <c r="AF34" i="25"/>
  <c r="Y34" i="25"/>
  <c r="R34" i="25"/>
  <c r="K34" i="25"/>
  <c r="G34" i="25"/>
  <c r="C34" i="25"/>
  <c r="C33" i="25"/>
  <c r="C32" i="25"/>
  <c r="AM31" i="25"/>
  <c r="AF31" i="25"/>
  <c r="Y31" i="25"/>
  <c r="R31" i="25"/>
  <c r="K31" i="25"/>
  <c r="G31" i="25"/>
  <c r="C31" i="25"/>
  <c r="AM30" i="25"/>
  <c r="AF30" i="25"/>
  <c r="Y30" i="25"/>
  <c r="R30" i="25"/>
  <c r="K30" i="25"/>
  <c r="G30" i="25"/>
  <c r="C30" i="25"/>
  <c r="AM28" i="25"/>
  <c r="AF28" i="25"/>
  <c r="Y28" i="25"/>
  <c r="R28" i="25"/>
  <c r="K28" i="25"/>
  <c r="G28" i="25"/>
  <c r="C28" i="25"/>
  <c r="AM27" i="25"/>
  <c r="AF27" i="25"/>
  <c r="Y27" i="25"/>
  <c r="R27" i="25"/>
  <c r="K27" i="25"/>
  <c r="G27" i="25"/>
  <c r="C27" i="25"/>
  <c r="AM26" i="25"/>
  <c r="AF26" i="25"/>
  <c r="Y26" i="25"/>
  <c r="R26" i="25"/>
  <c r="K26" i="25"/>
  <c r="G26" i="25"/>
  <c r="C26" i="25"/>
  <c r="AM25" i="25"/>
  <c r="AF25" i="25"/>
  <c r="Y25" i="25"/>
  <c r="R25" i="25"/>
  <c r="K25" i="25"/>
  <c r="G25" i="25"/>
  <c r="C25" i="25"/>
  <c r="AM24" i="25"/>
  <c r="AF24" i="25"/>
  <c r="Y24" i="25"/>
  <c r="R24" i="25"/>
  <c r="K24" i="25"/>
  <c r="G24" i="25"/>
  <c r="C24" i="25"/>
  <c r="AM23" i="25"/>
  <c r="AF23" i="25"/>
  <c r="Y23" i="25"/>
  <c r="R23" i="25"/>
  <c r="K23" i="25"/>
  <c r="G23" i="25"/>
  <c r="C23" i="25"/>
  <c r="AM22" i="25"/>
  <c r="AF22" i="25"/>
  <c r="Y22" i="25"/>
  <c r="R22" i="25"/>
  <c r="K22" i="25"/>
  <c r="G22" i="25"/>
  <c r="C22" i="25"/>
  <c r="AM21" i="25"/>
  <c r="AF21" i="25"/>
  <c r="Y21" i="25"/>
  <c r="R21" i="25"/>
  <c r="Q21" i="25"/>
  <c r="L21" i="25"/>
  <c r="K21" i="25"/>
  <c r="J21" i="25"/>
  <c r="G21" i="25"/>
  <c r="H21" i="25" s="1"/>
  <c r="F21" i="25"/>
  <c r="C21" i="25"/>
  <c r="C20" i="25"/>
  <c r="AM19" i="25"/>
  <c r="AF19" i="25"/>
  <c r="Y19" i="25"/>
  <c r="R19" i="25"/>
  <c r="K19" i="25"/>
  <c r="G19" i="25"/>
  <c r="C19" i="25"/>
  <c r="AM18" i="25"/>
  <c r="AF18" i="25"/>
  <c r="Y18" i="25"/>
  <c r="R18" i="25"/>
  <c r="K18" i="25"/>
  <c r="G18" i="25"/>
  <c r="C18" i="25"/>
  <c r="B18" i="25"/>
  <c r="AM17" i="25"/>
  <c r="AF17" i="25"/>
  <c r="Y17" i="25"/>
  <c r="R17" i="25"/>
  <c r="K17" i="25"/>
  <c r="G17" i="25"/>
  <c r="C17" i="25"/>
  <c r="B17" i="25"/>
  <c r="AM16" i="25"/>
  <c r="AF16" i="25"/>
  <c r="Y16" i="25"/>
  <c r="R16" i="25"/>
  <c r="K16" i="25"/>
  <c r="G16" i="25"/>
  <c r="C16" i="25"/>
  <c r="AM15" i="25"/>
  <c r="AF15" i="25"/>
  <c r="Y15" i="25"/>
  <c r="R15" i="25"/>
  <c r="K15" i="25"/>
  <c r="G15" i="25"/>
  <c r="C15" i="25"/>
  <c r="AP12" i="25"/>
  <c r="AI12" i="25"/>
  <c r="AB12" i="25"/>
  <c r="U12" i="25"/>
  <c r="N12" i="25"/>
  <c r="AN11" i="25"/>
  <c r="AQ11" i="25" s="1"/>
  <c r="AG11" i="25"/>
  <c r="AJ11" i="25" s="1"/>
  <c r="AC11" i="25"/>
  <c r="Z11" i="25"/>
  <c r="V11" i="25"/>
  <c r="S11" i="25"/>
  <c r="L11" i="25"/>
  <c r="O11" i="25" s="1"/>
  <c r="H11" i="25"/>
  <c r="F9" i="25"/>
  <c r="AL63" i="24"/>
  <c r="AE63" i="24"/>
  <c r="X63" i="24"/>
  <c r="Q63" i="24"/>
  <c r="J63" i="24"/>
  <c r="F63" i="24"/>
  <c r="J59" i="24"/>
  <c r="F59" i="24"/>
  <c r="Q53" i="24"/>
  <c r="J53" i="24"/>
  <c r="F53" i="24"/>
  <c r="AL48" i="24"/>
  <c r="AE48" i="24"/>
  <c r="X48" i="24"/>
  <c r="Q48" i="24"/>
  <c r="J48" i="24"/>
  <c r="F48" i="24"/>
  <c r="C48" i="24"/>
  <c r="AL47" i="24"/>
  <c r="AE47" i="24"/>
  <c r="X47" i="24"/>
  <c r="Q47" i="24"/>
  <c r="J47" i="24"/>
  <c r="F47" i="24"/>
  <c r="C47" i="24"/>
  <c r="AM46" i="24"/>
  <c r="AN46" i="24" s="1"/>
  <c r="AL46" i="24"/>
  <c r="AF46" i="24"/>
  <c r="AE46" i="24"/>
  <c r="Y46" i="24"/>
  <c r="Z46" i="24" s="1"/>
  <c r="AB46" i="24" s="1"/>
  <c r="X46" i="24"/>
  <c r="S46" i="24"/>
  <c r="R46" i="24"/>
  <c r="Q46" i="24"/>
  <c r="L46" i="24"/>
  <c r="K46" i="24"/>
  <c r="J46" i="24"/>
  <c r="G46" i="24"/>
  <c r="F46" i="24"/>
  <c r="C46" i="24"/>
  <c r="AM45" i="24"/>
  <c r="AL45" i="24"/>
  <c r="AN45" i="24" s="1"/>
  <c r="AP45" i="24" s="1"/>
  <c r="AQ45" i="24" s="1"/>
  <c r="AF45" i="24"/>
  <c r="AE45" i="24"/>
  <c r="AG45" i="24" s="1"/>
  <c r="Z45" i="24"/>
  <c r="Y45" i="24"/>
  <c r="X45" i="24"/>
  <c r="V45" i="24"/>
  <c r="U45" i="24"/>
  <c r="S45" i="24"/>
  <c r="R45" i="24"/>
  <c r="Q45" i="24"/>
  <c r="K45" i="24"/>
  <c r="L45" i="24" s="1"/>
  <c r="J45" i="24"/>
  <c r="J35" i="24" s="1"/>
  <c r="G45" i="24"/>
  <c r="F45" i="24"/>
  <c r="C45" i="24"/>
  <c r="AM44" i="24"/>
  <c r="AL44" i="24"/>
  <c r="AN44" i="24" s="1"/>
  <c r="AG44" i="24"/>
  <c r="AF44" i="24"/>
  <c r="AE44" i="24"/>
  <c r="Z44" i="24"/>
  <c r="Y44" i="24"/>
  <c r="X44" i="24"/>
  <c r="S44" i="24"/>
  <c r="R44" i="24"/>
  <c r="Q44" i="24"/>
  <c r="Q35" i="24" s="1"/>
  <c r="K44" i="24"/>
  <c r="L44" i="24" s="1"/>
  <c r="J44" i="24"/>
  <c r="H44" i="24"/>
  <c r="G44" i="24"/>
  <c r="F44" i="24"/>
  <c r="C44" i="24"/>
  <c r="AM43" i="24"/>
  <c r="AF43" i="24"/>
  <c r="Y43" i="24"/>
  <c r="R43" i="24"/>
  <c r="K43" i="24"/>
  <c r="G43" i="24"/>
  <c r="C43" i="24"/>
  <c r="AF42" i="24"/>
  <c r="Y42" i="24"/>
  <c r="K42" i="24"/>
  <c r="G42" i="24"/>
  <c r="C42" i="24"/>
  <c r="AM41" i="24"/>
  <c r="Y41" i="24"/>
  <c r="G41" i="24"/>
  <c r="C41" i="24"/>
  <c r="AF39" i="24"/>
  <c r="Y39" i="24"/>
  <c r="K39" i="24"/>
  <c r="G39" i="24"/>
  <c r="C39" i="24"/>
  <c r="Y38" i="24"/>
  <c r="G38" i="24"/>
  <c r="C38" i="24"/>
  <c r="AM36" i="24"/>
  <c r="AF36" i="24"/>
  <c r="Y36" i="24"/>
  <c r="R36" i="24"/>
  <c r="K36" i="24"/>
  <c r="G36" i="24"/>
  <c r="C36" i="24"/>
  <c r="AL35" i="24"/>
  <c r="Z35" i="24"/>
  <c r="Y35" i="24"/>
  <c r="X35" i="24"/>
  <c r="L35" i="24"/>
  <c r="K35" i="24"/>
  <c r="G35" i="24"/>
  <c r="C35" i="24"/>
  <c r="AF34" i="24"/>
  <c r="Y34" i="24"/>
  <c r="K34" i="24"/>
  <c r="G34" i="24"/>
  <c r="C34" i="24"/>
  <c r="AM33" i="24"/>
  <c r="AF33" i="24"/>
  <c r="Y33" i="24"/>
  <c r="R33" i="24"/>
  <c r="K33" i="24"/>
  <c r="G33" i="24"/>
  <c r="C33" i="24"/>
  <c r="AM32" i="24"/>
  <c r="AF32" i="24"/>
  <c r="Y32" i="24"/>
  <c r="R32" i="24"/>
  <c r="K32" i="24"/>
  <c r="G32" i="24"/>
  <c r="C32" i="24"/>
  <c r="AM31" i="24"/>
  <c r="AF31" i="24"/>
  <c r="Y31" i="24"/>
  <c r="R31" i="24"/>
  <c r="K31" i="24"/>
  <c r="G31" i="24"/>
  <c r="C31" i="24"/>
  <c r="AM30" i="24"/>
  <c r="AF30" i="24"/>
  <c r="Y30" i="24"/>
  <c r="R30" i="24"/>
  <c r="K30" i="24"/>
  <c r="G30" i="24"/>
  <c r="C30" i="24"/>
  <c r="AM28" i="24"/>
  <c r="AF28" i="24"/>
  <c r="Y28" i="24"/>
  <c r="R28" i="24"/>
  <c r="K28" i="24"/>
  <c r="G28" i="24"/>
  <c r="C28" i="24"/>
  <c r="AM27" i="24"/>
  <c r="AF27" i="24"/>
  <c r="Y27" i="24"/>
  <c r="R27" i="24"/>
  <c r="K27" i="24"/>
  <c r="G27" i="24"/>
  <c r="C27" i="24"/>
  <c r="AM26" i="24"/>
  <c r="AF26" i="24"/>
  <c r="Y26" i="24"/>
  <c r="R26" i="24"/>
  <c r="K26" i="24"/>
  <c r="G26" i="24"/>
  <c r="C26" i="24"/>
  <c r="AM25" i="24"/>
  <c r="AF25" i="24"/>
  <c r="Y25" i="24"/>
  <c r="R25" i="24"/>
  <c r="K25" i="24"/>
  <c r="G25" i="24"/>
  <c r="C25" i="24"/>
  <c r="AM24" i="24"/>
  <c r="AF24" i="24"/>
  <c r="Y24" i="24"/>
  <c r="R24" i="24"/>
  <c r="K24" i="24"/>
  <c r="G24" i="24"/>
  <c r="C24" i="24"/>
  <c r="AM23" i="24"/>
  <c r="AF23" i="24"/>
  <c r="Y23" i="24"/>
  <c r="R23" i="24"/>
  <c r="K23" i="24"/>
  <c r="G23" i="24"/>
  <c r="C23" i="24"/>
  <c r="AM22" i="24"/>
  <c r="AF22" i="24"/>
  <c r="Y22" i="24"/>
  <c r="R22" i="24"/>
  <c r="K22" i="24"/>
  <c r="G22" i="24"/>
  <c r="C22" i="24"/>
  <c r="AM21" i="24"/>
  <c r="AF21" i="24"/>
  <c r="Y21" i="24"/>
  <c r="V21" i="24"/>
  <c r="U21" i="24"/>
  <c r="S21" i="24"/>
  <c r="AC21" i="24" s="1"/>
  <c r="R21" i="24"/>
  <c r="Q21" i="24"/>
  <c r="K21" i="24"/>
  <c r="L21" i="24" s="1"/>
  <c r="J21" i="24"/>
  <c r="G21" i="24"/>
  <c r="F21" i="24"/>
  <c r="C21" i="24"/>
  <c r="AM20" i="24"/>
  <c r="AF20" i="24"/>
  <c r="Y20" i="24"/>
  <c r="R20" i="24"/>
  <c r="K20" i="24"/>
  <c r="G20" i="24"/>
  <c r="C20" i="24"/>
  <c r="AM19" i="24"/>
  <c r="AF19" i="24"/>
  <c r="Y19" i="24"/>
  <c r="R19" i="24"/>
  <c r="K19" i="24"/>
  <c r="G19" i="24"/>
  <c r="C19" i="24"/>
  <c r="AM18" i="24"/>
  <c r="AF18" i="24"/>
  <c r="Y18" i="24"/>
  <c r="R18" i="24"/>
  <c r="K18" i="24"/>
  <c r="G18" i="24"/>
  <c r="C18" i="24"/>
  <c r="B18" i="24"/>
  <c r="AM17" i="24"/>
  <c r="AF17" i="24"/>
  <c r="Y17" i="24"/>
  <c r="R17" i="24"/>
  <c r="K17" i="24"/>
  <c r="G17" i="24"/>
  <c r="C17" i="24"/>
  <c r="B17" i="24"/>
  <c r="AM16" i="24"/>
  <c r="AF16" i="24"/>
  <c r="Y16" i="24"/>
  <c r="R16" i="24"/>
  <c r="K16" i="24"/>
  <c r="G16" i="24"/>
  <c r="C16" i="24"/>
  <c r="AM15" i="24"/>
  <c r="AF15" i="24"/>
  <c r="Y15" i="24"/>
  <c r="R15" i="24"/>
  <c r="K15" i="24"/>
  <c r="G15" i="24"/>
  <c r="C15" i="24"/>
  <c r="AP12" i="24"/>
  <c r="AI12" i="24"/>
  <c r="AB12" i="24"/>
  <c r="U12" i="24"/>
  <c r="N12" i="24"/>
  <c r="AN11" i="24"/>
  <c r="AQ11" i="24" s="1"/>
  <c r="AJ11" i="24"/>
  <c r="AG11" i="24"/>
  <c r="Z11" i="24"/>
  <c r="AC11" i="24" s="1"/>
  <c r="S11" i="24"/>
  <c r="V11" i="24" s="1"/>
  <c r="O11" i="24"/>
  <c r="L11" i="24"/>
  <c r="H11" i="24"/>
  <c r="S2" i="24"/>
  <c r="AL63" i="23"/>
  <c r="AE63" i="23"/>
  <c r="AF41" i="23" s="1"/>
  <c r="X63" i="23"/>
  <c r="Q63" i="23"/>
  <c r="J63" i="23"/>
  <c r="F63" i="23"/>
  <c r="F59" i="23"/>
  <c r="J53" i="23"/>
  <c r="F53" i="23"/>
  <c r="AM48" i="23"/>
  <c r="AN48" i="23" s="1"/>
  <c r="AL48" i="23"/>
  <c r="AF48" i="23"/>
  <c r="AE48" i="23"/>
  <c r="Y48" i="23"/>
  <c r="Z48" i="23" s="1"/>
  <c r="X48" i="23"/>
  <c r="Q48" i="23"/>
  <c r="L48" i="23"/>
  <c r="K48" i="23"/>
  <c r="J48" i="23"/>
  <c r="H48" i="23"/>
  <c r="G48" i="23"/>
  <c r="F48" i="23"/>
  <c r="C48" i="23"/>
  <c r="AL47" i="23"/>
  <c r="AF47" i="23"/>
  <c r="AE47" i="23"/>
  <c r="AG47" i="23" s="1"/>
  <c r="X47" i="23"/>
  <c r="Q47" i="23"/>
  <c r="J47" i="23"/>
  <c r="F47" i="23"/>
  <c r="C47" i="23"/>
  <c r="AM46" i="23"/>
  <c r="AN46" i="23" s="1"/>
  <c r="AP46" i="23" s="1"/>
  <c r="AQ46" i="23" s="1"/>
  <c r="AL46" i="23"/>
  <c r="AG46" i="23"/>
  <c r="AF46" i="23"/>
  <c r="AE46" i="23"/>
  <c r="Y46" i="23"/>
  <c r="X46" i="23"/>
  <c r="Z46" i="23" s="1"/>
  <c r="S46" i="23"/>
  <c r="R46" i="23"/>
  <c r="Q46" i="23"/>
  <c r="K46" i="23"/>
  <c r="L46" i="23" s="1"/>
  <c r="J46" i="23"/>
  <c r="G46" i="23"/>
  <c r="H46" i="23" s="1"/>
  <c r="F46" i="23"/>
  <c r="C46" i="23"/>
  <c r="AN45" i="23"/>
  <c r="AM45" i="23"/>
  <c r="AL45" i="23"/>
  <c r="AF45" i="23"/>
  <c r="AE45" i="23"/>
  <c r="AE35" i="23" s="1"/>
  <c r="Z45" i="23"/>
  <c r="Y45" i="23"/>
  <c r="X45" i="23"/>
  <c r="R45" i="23"/>
  <c r="S45" i="23" s="1"/>
  <c r="Q45" i="23"/>
  <c r="K45" i="23"/>
  <c r="L45" i="23" s="1"/>
  <c r="J45" i="23"/>
  <c r="H45" i="23"/>
  <c r="G45" i="23"/>
  <c r="F45" i="23"/>
  <c r="C45" i="23"/>
  <c r="AM44" i="23"/>
  <c r="AL44" i="23"/>
  <c r="AL35" i="23" s="1"/>
  <c r="AG44" i="23"/>
  <c r="AF44" i="23"/>
  <c r="AE44" i="23"/>
  <c r="Z44" i="23"/>
  <c r="AB44" i="23" s="1"/>
  <c r="Y44" i="23"/>
  <c r="X44" i="23"/>
  <c r="R44" i="23"/>
  <c r="S44" i="23" s="1"/>
  <c r="Q44" i="23"/>
  <c r="K44" i="23"/>
  <c r="J44" i="23"/>
  <c r="J35" i="23" s="1"/>
  <c r="H44" i="23"/>
  <c r="G44" i="23"/>
  <c r="F44" i="23"/>
  <c r="F35" i="23" s="1"/>
  <c r="C44" i="23"/>
  <c r="AM43" i="23"/>
  <c r="AF43" i="23"/>
  <c r="Y43" i="23"/>
  <c r="R43" i="23"/>
  <c r="K43" i="23"/>
  <c r="G43" i="23"/>
  <c r="C43" i="23"/>
  <c r="AF42" i="23"/>
  <c r="Y42" i="23"/>
  <c r="R42" i="23"/>
  <c r="K42" i="23"/>
  <c r="G42" i="23"/>
  <c r="C42" i="23"/>
  <c r="Y41" i="23"/>
  <c r="R41" i="23"/>
  <c r="K41" i="23"/>
  <c r="G41" i="23"/>
  <c r="C41" i="23"/>
  <c r="AF39" i="23"/>
  <c r="Y39" i="23"/>
  <c r="R39" i="23"/>
  <c r="K39" i="23"/>
  <c r="G39" i="23"/>
  <c r="C39" i="23"/>
  <c r="AF38" i="23"/>
  <c r="Y38" i="23"/>
  <c r="R38" i="23"/>
  <c r="K38" i="23"/>
  <c r="G38" i="23"/>
  <c r="C38" i="23"/>
  <c r="AM36" i="23"/>
  <c r="AF36" i="23"/>
  <c r="Y36" i="23"/>
  <c r="R36" i="23"/>
  <c r="K36" i="23"/>
  <c r="G36" i="23"/>
  <c r="C36" i="23"/>
  <c r="AF35" i="23"/>
  <c r="AG35" i="23" s="1"/>
  <c r="Y35" i="23"/>
  <c r="X35" i="23"/>
  <c r="S35" i="23"/>
  <c r="R35" i="23"/>
  <c r="Q35" i="23"/>
  <c r="L35" i="23"/>
  <c r="K35" i="23"/>
  <c r="H35" i="23"/>
  <c r="G35" i="23"/>
  <c r="C35" i="23"/>
  <c r="AF34" i="23"/>
  <c r="Y34" i="23"/>
  <c r="R34" i="23"/>
  <c r="K34" i="23"/>
  <c r="G34" i="23"/>
  <c r="C34" i="23"/>
  <c r="AM33" i="23"/>
  <c r="AF33" i="23"/>
  <c r="Y33" i="23"/>
  <c r="R33" i="23"/>
  <c r="K33" i="23"/>
  <c r="G33" i="23"/>
  <c r="C33" i="23"/>
  <c r="AM32" i="23"/>
  <c r="AF32" i="23"/>
  <c r="Y32" i="23"/>
  <c r="R32" i="23"/>
  <c r="K32" i="23"/>
  <c r="G32" i="23"/>
  <c r="C32" i="23"/>
  <c r="AM31" i="23"/>
  <c r="AF31" i="23"/>
  <c r="Y31" i="23"/>
  <c r="R31" i="23"/>
  <c r="K31" i="23"/>
  <c r="G31" i="23"/>
  <c r="C31" i="23"/>
  <c r="AM30" i="23"/>
  <c r="AF30" i="23"/>
  <c r="Y30" i="23"/>
  <c r="R30" i="23"/>
  <c r="K30" i="23"/>
  <c r="G30" i="23"/>
  <c r="C30" i="23"/>
  <c r="AM28" i="23"/>
  <c r="AF28" i="23"/>
  <c r="Y28" i="23"/>
  <c r="R28" i="23"/>
  <c r="K28" i="23"/>
  <c r="G28" i="23"/>
  <c r="C28" i="23"/>
  <c r="AM27" i="23"/>
  <c r="AF27" i="23"/>
  <c r="Y27" i="23"/>
  <c r="R27" i="23"/>
  <c r="K27" i="23"/>
  <c r="G27" i="23"/>
  <c r="C27" i="23"/>
  <c r="AM26" i="23"/>
  <c r="AF26" i="23"/>
  <c r="Y26" i="23"/>
  <c r="R26" i="23"/>
  <c r="K26" i="23"/>
  <c r="G26" i="23"/>
  <c r="C26" i="23"/>
  <c r="AM25" i="23"/>
  <c r="AF25" i="23"/>
  <c r="Y25" i="23"/>
  <c r="R25" i="23"/>
  <c r="K25" i="23"/>
  <c r="G25" i="23"/>
  <c r="C25" i="23"/>
  <c r="AM24" i="23"/>
  <c r="AF24" i="23"/>
  <c r="Y24" i="23"/>
  <c r="R24" i="23"/>
  <c r="K24" i="23"/>
  <c r="G24" i="23"/>
  <c r="C24" i="23"/>
  <c r="AM23" i="23"/>
  <c r="AF23" i="23"/>
  <c r="Y23" i="23"/>
  <c r="R23" i="23"/>
  <c r="K23" i="23"/>
  <c r="G23" i="23"/>
  <c r="C23" i="23"/>
  <c r="AM22" i="23"/>
  <c r="AF22" i="23"/>
  <c r="Y22" i="23"/>
  <c r="X22" i="23"/>
  <c r="R22" i="23"/>
  <c r="K22" i="23"/>
  <c r="G22" i="23"/>
  <c r="C22" i="23"/>
  <c r="AM21" i="23"/>
  <c r="AF21" i="23"/>
  <c r="AC21" i="23"/>
  <c r="Y21" i="23"/>
  <c r="R21" i="23"/>
  <c r="S21" i="23" s="1"/>
  <c r="Q21" i="23"/>
  <c r="K21" i="23"/>
  <c r="J21" i="23"/>
  <c r="H21" i="23"/>
  <c r="G21" i="23"/>
  <c r="F21" i="23"/>
  <c r="C21" i="23"/>
  <c r="AM20" i="23"/>
  <c r="AF20" i="23"/>
  <c r="Y20" i="23"/>
  <c r="R20" i="23"/>
  <c r="K20" i="23"/>
  <c r="G20" i="23"/>
  <c r="C20" i="23"/>
  <c r="AM19" i="23"/>
  <c r="AF19" i="23"/>
  <c r="Y19" i="23"/>
  <c r="R19" i="23"/>
  <c r="K19" i="23"/>
  <c r="G19" i="23"/>
  <c r="C19" i="23"/>
  <c r="AM18" i="23"/>
  <c r="AF18" i="23"/>
  <c r="Y18" i="23"/>
  <c r="R18" i="23"/>
  <c r="K18" i="23"/>
  <c r="G18" i="23"/>
  <c r="B18" i="23"/>
  <c r="C18" i="23" s="1"/>
  <c r="AM17" i="23"/>
  <c r="AF17" i="23"/>
  <c r="Y17" i="23"/>
  <c r="R17" i="23"/>
  <c r="K17" i="23"/>
  <c r="G17" i="23"/>
  <c r="C17" i="23"/>
  <c r="B17" i="23"/>
  <c r="AM16" i="23"/>
  <c r="AF16" i="23"/>
  <c r="Y16" i="23"/>
  <c r="R16" i="23"/>
  <c r="K16" i="23"/>
  <c r="G16" i="23"/>
  <c r="C16" i="23"/>
  <c r="AM15" i="23"/>
  <c r="AF15" i="23"/>
  <c r="Y15" i="23"/>
  <c r="R15" i="23"/>
  <c r="K15" i="23"/>
  <c r="G15" i="23"/>
  <c r="C15" i="23"/>
  <c r="AP12" i="23"/>
  <c r="AI12" i="23"/>
  <c r="AB12" i="23"/>
  <c r="U12" i="23"/>
  <c r="N12" i="23"/>
  <c r="AQ11" i="23"/>
  <c r="AN11" i="23"/>
  <c r="AG11" i="23"/>
  <c r="AJ11" i="23" s="1"/>
  <c r="AC11" i="23"/>
  <c r="Z11" i="23"/>
  <c r="V11" i="23"/>
  <c r="S11" i="23"/>
  <c r="O11" i="23"/>
  <c r="L11" i="23"/>
  <c r="H11" i="23"/>
  <c r="S2" i="23"/>
  <c r="AL63" i="22"/>
  <c r="AE63" i="22"/>
  <c r="X63" i="22"/>
  <c r="Q63" i="22"/>
  <c r="J63" i="22"/>
  <c r="K38" i="22" s="1"/>
  <c r="F63" i="22"/>
  <c r="J59" i="22"/>
  <c r="F59" i="22"/>
  <c r="Q53" i="22"/>
  <c r="J53" i="22"/>
  <c r="F53" i="22"/>
  <c r="AL48" i="22"/>
  <c r="AF48" i="22"/>
  <c r="AG48" i="22" s="1"/>
  <c r="AE48" i="22"/>
  <c r="X48" i="22"/>
  <c r="Q48" i="22"/>
  <c r="K48" i="22"/>
  <c r="L48" i="22" s="1"/>
  <c r="J48" i="22"/>
  <c r="G48" i="22"/>
  <c r="H48" i="22" s="1"/>
  <c r="F48" i="22"/>
  <c r="C48" i="22"/>
  <c r="AM47" i="22"/>
  <c r="AN47" i="22" s="1"/>
  <c r="AL47" i="22"/>
  <c r="AE47" i="22"/>
  <c r="Z47" i="22"/>
  <c r="Y47" i="22"/>
  <c r="X47" i="22"/>
  <c r="R47" i="22"/>
  <c r="S47" i="22" s="1"/>
  <c r="Q47" i="22"/>
  <c r="J47" i="22"/>
  <c r="G47" i="22"/>
  <c r="H47" i="22" s="1"/>
  <c r="F47" i="22"/>
  <c r="C47" i="22"/>
  <c r="AM46" i="22"/>
  <c r="AL46" i="22"/>
  <c r="AN46" i="22" s="1"/>
  <c r="AP46" i="22" s="1"/>
  <c r="AG46" i="22"/>
  <c r="AF46" i="22"/>
  <c r="AE46" i="22"/>
  <c r="AB46" i="22"/>
  <c r="AC46" i="22" s="1"/>
  <c r="Z46" i="22"/>
  <c r="Y46" i="22"/>
  <c r="X46" i="22"/>
  <c r="R46" i="22"/>
  <c r="S46" i="22" s="1"/>
  <c r="U46" i="22" s="1"/>
  <c r="Q46" i="22"/>
  <c r="L46" i="22"/>
  <c r="K46" i="22"/>
  <c r="J46" i="22"/>
  <c r="G46" i="22"/>
  <c r="H46" i="22" s="1"/>
  <c r="F46" i="22"/>
  <c r="C46" i="22"/>
  <c r="AM45" i="22"/>
  <c r="AN45" i="22" s="1"/>
  <c r="AP45" i="22" s="1"/>
  <c r="AL45" i="22"/>
  <c r="AJ45" i="22"/>
  <c r="AI45" i="22"/>
  <c r="AG45" i="22"/>
  <c r="AF45" i="22"/>
  <c r="AE45" i="22"/>
  <c r="Y45" i="22"/>
  <c r="Z45" i="22" s="1"/>
  <c r="X45" i="22"/>
  <c r="X35" i="22" s="1"/>
  <c r="R45" i="22"/>
  <c r="Q45" i="22"/>
  <c r="K45" i="22"/>
  <c r="L45" i="22" s="1"/>
  <c r="J45" i="22"/>
  <c r="G45" i="22"/>
  <c r="F45" i="22"/>
  <c r="C45" i="22"/>
  <c r="AM44" i="22"/>
  <c r="AL44" i="22"/>
  <c r="AF44" i="22"/>
  <c r="AG44" i="22" s="1"/>
  <c r="AE44" i="22"/>
  <c r="AE35" i="22" s="1"/>
  <c r="AG35" i="22" s="1"/>
  <c r="AB44" i="22"/>
  <c r="AC44" i="22" s="1"/>
  <c r="Z44" i="22"/>
  <c r="Y44" i="22"/>
  <c r="X44" i="22"/>
  <c r="R44" i="22"/>
  <c r="S44" i="22" s="1"/>
  <c r="Q44" i="22"/>
  <c r="N44" i="22"/>
  <c r="L44" i="22"/>
  <c r="K44" i="22"/>
  <c r="J44" i="22"/>
  <c r="J35" i="22" s="1"/>
  <c r="G44" i="22"/>
  <c r="H44" i="22" s="1"/>
  <c r="F44" i="22"/>
  <c r="C44" i="22"/>
  <c r="AM43" i="22"/>
  <c r="AF43" i="22"/>
  <c r="Y43" i="22"/>
  <c r="R43" i="22"/>
  <c r="K43" i="22"/>
  <c r="G43" i="22"/>
  <c r="C43" i="22"/>
  <c r="AF42" i="22"/>
  <c r="Y42" i="22"/>
  <c r="R42" i="22"/>
  <c r="K42" i="22"/>
  <c r="G42" i="22"/>
  <c r="C42" i="22"/>
  <c r="AF41" i="22"/>
  <c r="Y41" i="22"/>
  <c r="R41" i="22"/>
  <c r="C41" i="22"/>
  <c r="AF39" i="22"/>
  <c r="Y39" i="22"/>
  <c r="R39" i="22"/>
  <c r="K39" i="22"/>
  <c r="G39" i="22"/>
  <c r="C39" i="22"/>
  <c r="AF38" i="22"/>
  <c r="Y38" i="22"/>
  <c r="R38" i="22"/>
  <c r="C38" i="22"/>
  <c r="AM36" i="22"/>
  <c r="AF36" i="22"/>
  <c r="Y36" i="22"/>
  <c r="R36" i="22"/>
  <c r="K36" i="22"/>
  <c r="G36" i="22"/>
  <c r="C36" i="22"/>
  <c r="AF35" i="22"/>
  <c r="Y35" i="22"/>
  <c r="R35" i="22"/>
  <c r="K35" i="22"/>
  <c r="G35" i="22"/>
  <c r="C35" i="22"/>
  <c r="AF34" i="22"/>
  <c r="Y34" i="22"/>
  <c r="R34" i="22"/>
  <c r="K34" i="22"/>
  <c r="G34" i="22"/>
  <c r="C34" i="22"/>
  <c r="AM33" i="22"/>
  <c r="AF33" i="22"/>
  <c r="Y33" i="22"/>
  <c r="R33" i="22"/>
  <c r="K33" i="22"/>
  <c r="G33" i="22"/>
  <c r="C33" i="22"/>
  <c r="AM32" i="22"/>
  <c r="AF32" i="22"/>
  <c r="Y32" i="22"/>
  <c r="R32" i="22"/>
  <c r="K32" i="22"/>
  <c r="G32" i="22"/>
  <c r="C32" i="22"/>
  <c r="AM31" i="22"/>
  <c r="AF31" i="22"/>
  <c r="Y31" i="22"/>
  <c r="R31" i="22"/>
  <c r="K31" i="22"/>
  <c r="G31" i="22"/>
  <c r="C31" i="22"/>
  <c r="AM30" i="22"/>
  <c r="AF30" i="22"/>
  <c r="Y30" i="22"/>
  <c r="R30" i="22"/>
  <c r="K30" i="22"/>
  <c r="G30" i="22"/>
  <c r="C30" i="22"/>
  <c r="AM28" i="22"/>
  <c r="AF28" i="22"/>
  <c r="Y28" i="22"/>
  <c r="R28" i="22"/>
  <c r="K28" i="22"/>
  <c r="G28" i="22"/>
  <c r="C28" i="22"/>
  <c r="AM27" i="22"/>
  <c r="AF27" i="22"/>
  <c r="Y27" i="22"/>
  <c r="R27" i="22"/>
  <c r="K27" i="22"/>
  <c r="G27" i="22"/>
  <c r="C27" i="22"/>
  <c r="AM26" i="22"/>
  <c r="AF26" i="22"/>
  <c r="Y26" i="22"/>
  <c r="R26" i="22"/>
  <c r="K26" i="22"/>
  <c r="G26" i="22"/>
  <c r="C26" i="22"/>
  <c r="AM25" i="22"/>
  <c r="AF25" i="22"/>
  <c r="Y25" i="22"/>
  <c r="R25" i="22"/>
  <c r="K25" i="22"/>
  <c r="G25" i="22"/>
  <c r="C25" i="22"/>
  <c r="AM24" i="22"/>
  <c r="AF24" i="22"/>
  <c r="Y24" i="22"/>
  <c r="R24" i="22"/>
  <c r="K24" i="22"/>
  <c r="G24" i="22"/>
  <c r="C24" i="22"/>
  <c r="AM23" i="22"/>
  <c r="AF23" i="22"/>
  <c r="Y23" i="22"/>
  <c r="R23" i="22"/>
  <c r="K23" i="22"/>
  <c r="G23" i="22"/>
  <c r="C23" i="22"/>
  <c r="AM22" i="22"/>
  <c r="AF22" i="22"/>
  <c r="Y22" i="22"/>
  <c r="R22" i="22"/>
  <c r="K22" i="22"/>
  <c r="G22" i="22"/>
  <c r="C22" i="22"/>
  <c r="AM21" i="22"/>
  <c r="AF21" i="22"/>
  <c r="Y21" i="22"/>
  <c r="R21" i="22"/>
  <c r="S21" i="22" s="1"/>
  <c r="Q21" i="22"/>
  <c r="L21" i="22"/>
  <c r="K21" i="22"/>
  <c r="J21" i="22"/>
  <c r="H21" i="22"/>
  <c r="G21" i="22"/>
  <c r="F21" i="22"/>
  <c r="C21" i="22"/>
  <c r="AM20" i="22"/>
  <c r="AF20" i="22"/>
  <c r="Y20" i="22"/>
  <c r="R20" i="22"/>
  <c r="K20" i="22"/>
  <c r="G20" i="22"/>
  <c r="C20" i="22"/>
  <c r="AM19" i="22"/>
  <c r="AF19" i="22"/>
  <c r="Y19" i="22"/>
  <c r="R19" i="22"/>
  <c r="K19" i="22"/>
  <c r="G19" i="22"/>
  <c r="C19" i="22"/>
  <c r="AM18" i="22"/>
  <c r="AF18" i="22"/>
  <c r="Y18" i="22"/>
  <c r="R18" i="22"/>
  <c r="K18" i="22"/>
  <c r="G18" i="22"/>
  <c r="C18" i="22"/>
  <c r="B18" i="22"/>
  <c r="AM17" i="22"/>
  <c r="AF17" i="22"/>
  <c r="Y17" i="22"/>
  <c r="R17" i="22"/>
  <c r="K17" i="22"/>
  <c r="G17" i="22"/>
  <c r="B17" i="22"/>
  <c r="C17" i="22" s="1"/>
  <c r="AM16" i="22"/>
  <c r="AF16" i="22"/>
  <c r="Y16" i="22"/>
  <c r="R16" i="22"/>
  <c r="K16" i="22"/>
  <c r="G16" i="22"/>
  <c r="C16" i="22"/>
  <c r="AM15" i="22"/>
  <c r="AF15" i="22"/>
  <c r="Y15" i="22"/>
  <c r="R15" i="22"/>
  <c r="K15" i="22"/>
  <c r="G15" i="22"/>
  <c r="C15" i="22"/>
  <c r="AP12" i="22"/>
  <c r="AI12" i="22"/>
  <c r="AB12" i="22"/>
  <c r="U12" i="22"/>
  <c r="N12" i="22"/>
  <c r="AN11" i="22"/>
  <c r="AQ11" i="22" s="1"/>
  <c r="AJ11" i="22"/>
  <c r="AG11" i="22"/>
  <c r="Z11" i="22"/>
  <c r="AC11" i="22" s="1"/>
  <c r="V11" i="22"/>
  <c r="S11" i="22"/>
  <c r="O11" i="22"/>
  <c r="L11" i="22"/>
  <c r="H11" i="22"/>
  <c r="S2" i="22"/>
  <c r="AL63" i="21"/>
  <c r="AE63" i="21"/>
  <c r="X63" i="21"/>
  <c r="Q63" i="21"/>
  <c r="R41" i="21" s="1"/>
  <c r="J63" i="21"/>
  <c r="K42" i="21" s="1"/>
  <c r="F63" i="21"/>
  <c r="G34" i="21" s="1"/>
  <c r="AE59" i="21"/>
  <c r="F59" i="21"/>
  <c r="AL53" i="21"/>
  <c r="AE53" i="21"/>
  <c r="X53" i="21"/>
  <c r="Q53" i="21"/>
  <c r="Q59" i="21" s="1"/>
  <c r="J53" i="21"/>
  <c r="J59" i="21" s="1"/>
  <c r="F53" i="21"/>
  <c r="AL48" i="21"/>
  <c r="AF48" i="21"/>
  <c r="AG48" i="21" s="1"/>
  <c r="AE48" i="21"/>
  <c r="Y48" i="21"/>
  <c r="Z48" i="21" s="1"/>
  <c r="X48" i="21"/>
  <c r="R48" i="21"/>
  <c r="S48" i="21" s="1"/>
  <c r="Q48" i="21"/>
  <c r="L48" i="21"/>
  <c r="K48" i="21"/>
  <c r="J48" i="21"/>
  <c r="G48" i="21"/>
  <c r="H48" i="21" s="1"/>
  <c r="F48" i="21"/>
  <c r="C48" i="21"/>
  <c r="AM47" i="21"/>
  <c r="AL47" i="21"/>
  <c r="AF47" i="21"/>
  <c r="AE47" i="21"/>
  <c r="Y47" i="21"/>
  <c r="Z47" i="21" s="1"/>
  <c r="X47" i="21"/>
  <c r="S47" i="21"/>
  <c r="R47" i="21"/>
  <c r="Q47" i="21"/>
  <c r="J47" i="21"/>
  <c r="F47" i="21"/>
  <c r="C47" i="21"/>
  <c r="AM46" i="21"/>
  <c r="AN46" i="21" s="1"/>
  <c r="AP46" i="21" s="1"/>
  <c r="AQ46" i="21" s="1"/>
  <c r="AL46" i="21"/>
  <c r="AF46" i="21"/>
  <c r="AG46" i="21" s="1"/>
  <c r="AI46" i="21" s="1"/>
  <c r="AE46" i="21"/>
  <c r="AC46" i="21"/>
  <c r="AB46" i="21"/>
  <c r="Z46" i="21"/>
  <c r="Y46" i="21"/>
  <c r="X46" i="21"/>
  <c r="S46" i="21"/>
  <c r="R46" i="21"/>
  <c r="Q46" i="21"/>
  <c r="K46" i="21"/>
  <c r="L46" i="21" s="1"/>
  <c r="J46" i="21"/>
  <c r="G46" i="21"/>
  <c r="H46" i="21" s="1"/>
  <c r="F46" i="21"/>
  <c r="C46" i="21"/>
  <c r="AM45" i="21"/>
  <c r="AN45" i="21" s="1"/>
  <c r="AL45" i="21"/>
  <c r="AG45" i="21"/>
  <c r="AF45" i="21"/>
  <c r="AE45" i="21"/>
  <c r="Z45" i="21"/>
  <c r="Y45" i="21"/>
  <c r="X45" i="21"/>
  <c r="R45" i="21"/>
  <c r="S45" i="21" s="1"/>
  <c r="Q45" i="21"/>
  <c r="K45" i="21"/>
  <c r="L45" i="21" s="1"/>
  <c r="J45" i="21"/>
  <c r="G45" i="21"/>
  <c r="H45" i="21" s="1"/>
  <c r="F45" i="21"/>
  <c r="C45" i="21"/>
  <c r="AN44" i="21"/>
  <c r="AP44" i="21" s="1"/>
  <c r="AQ44" i="21" s="1"/>
  <c r="AM44" i="21"/>
  <c r="AL44" i="21"/>
  <c r="AL35" i="21" s="1"/>
  <c r="AI44" i="21"/>
  <c r="AJ44" i="21" s="1"/>
  <c r="AG44" i="21"/>
  <c r="AF44" i="21"/>
  <c r="AE44" i="21"/>
  <c r="Z44" i="21"/>
  <c r="Y44" i="21"/>
  <c r="X44" i="21"/>
  <c r="X35" i="21" s="1"/>
  <c r="R44" i="21"/>
  <c r="S44" i="21" s="1"/>
  <c r="Q44" i="21"/>
  <c r="K44" i="21"/>
  <c r="J44" i="21"/>
  <c r="G44" i="21"/>
  <c r="H44" i="21" s="1"/>
  <c r="F44" i="21"/>
  <c r="F35" i="21" s="1"/>
  <c r="C44" i="21"/>
  <c r="AM43" i="21"/>
  <c r="AF43" i="21"/>
  <c r="Y43" i="21"/>
  <c r="R43" i="21"/>
  <c r="K43" i="21"/>
  <c r="G43" i="21"/>
  <c r="C43" i="21"/>
  <c r="AM42" i="21"/>
  <c r="R42" i="21"/>
  <c r="G42" i="21"/>
  <c r="C42" i="21"/>
  <c r="AM41" i="21"/>
  <c r="K41" i="21"/>
  <c r="G41" i="21"/>
  <c r="C41" i="21"/>
  <c r="R39" i="21"/>
  <c r="G39" i="21"/>
  <c r="C39" i="21"/>
  <c r="K38" i="21"/>
  <c r="C38" i="21"/>
  <c r="AM36" i="21"/>
  <c r="AF36" i="21"/>
  <c r="Y36" i="21"/>
  <c r="R36" i="21"/>
  <c r="K36" i="21"/>
  <c r="G36" i="21"/>
  <c r="C36" i="21"/>
  <c r="AE35" i="21"/>
  <c r="R35" i="21"/>
  <c r="Q35" i="21"/>
  <c r="K35" i="21"/>
  <c r="C35" i="21"/>
  <c r="AM34" i="21"/>
  <c r="R34" i="21"/>
  <c r="C34" i="21"/>
  <c r="AM33" i="21"/>
  <c r="AF33" i="21"/>
  <c r="Y33" i="21"/>
  <c r="R33" i="21"/>
  <c r="K33" i="21"/>
  <c r="G33" i="21"/>
  <c r="C33" i="21"/>
  <c r="AM32" i="21"/>
  <c r="AF32" i="21"/>
  <c r="Y32" i="21"/>
  <c r="R32" i="21"/>
  <c r="K32" i="21"/>
  <c r="G32" i="21"/>
  <c r="C32" i="21"/>
  <c r="AM31" i="21"/>
  <c r="AF31" i="21"/>
  <c r="Y31" i="21"/>
  <c r="R31" i="21"/>
  <c r="K31" i="21"/>
  <c r="G31" i="21"/>
  <c r="C31" i="21"/>
  <c r="AM30" i="21"/>
  <c r="AF30" i="21"/>
  <c r="Y30" i="21"/>
  <c r="R30" i="21"/>
  <c r="K30" i="21"/>
  <c r="G30" i="21"/>
  <c r="C30" i="21"/>
  <c r="AM28" i="21"/>
  <c r="AF28" i="21"/>
  <c r="Y28" i="21"/>
  <c r="R28" i="21"/>
  <c r="K28" i="21"/>
  <c r="G28" i="21"/>
  <c r="C28" i="21"/>
  <c r="AM27" i="21"/>
  <c r="AF27" i="21"/>
  <c r="Y27" i="21"/>
  <c r="R27" i="21"/>
  <c r="K27" i="21"/>
  <c r="G27" i="21"/>
  <c r="C27" i="21"/>
  <c r="AM26" i="21"/>
  <c r="AF26" i="21"/>
  <c r="Y26" i="21"/>
  <c r="R26" i="21"/>
  <c r="K26" i="21"/>
  <c r="G26" i="21"/>
  <c r="C26" i="21"/>
  <c r="AM25" i="21"/>
  <c r="AF25" i="21"/>
  <c r="Y25" i="21"/>
  <c r="R25" i="21"/>
  <c r="K25" i="21"/>
  <c r="G25" i="21"/>
  <c r="C25" i="21"/>
  <c r="AM24" i="21"/>
  <c r="AF24" i="21"/>
  <c r="Y24" i="21"/>
  <c r="R24" i="21"/>
  <c r="K24" i="21"/>
  <c r="G24" i="21"/>
  <c r="C24" i="21"/>
  <c r="AM23" i="21"/>
  <c r="AF23" i="21"/>
  <c r="Y23" i="21"/>
  <c r="R23" i="21"/>
  <c r="K23" i="21"/>
  <c r="G23" i="21"/>
  <c r="C23" i="21"/>
  <c r="AM22" i="21"/>
  <c r="AF22" i="21"/>
  <c r="Y22" i="21"/>
  <c r="R22" i="21"/>
  <c r="K22" i="21"/>
  <c r="G22" i="21"/>
  <c r="C22" i="21"/>
  <c r="AM21" i="21"/>
  <c r="AF21" i="21"/>
  <c r="AC21" i="21"/>
  <c r="Y21" i="21"/>
  <c r="R21" i="21"/>
  <c r="S21" i="21" s="1"/>
  <c r="Q21" i="21"/>
  <c r="K21" i="21"/>
  <c r="J21" i="21"/>
  <c r="L21" i="21" s="1"/>
  <c r="G21" i="21"/>
  <c r="F21" i="21"/>
  <c r="C21" i="21"/>
  <c r="AM20" i="21"/>
  <c r="AF20" i="21"/>
  <c r="Y20" i="21"/>
  <c r="R20" i="21"/>
  <c r="K20" i="21"/>
  <c r="G20" i="21"/>
  <c r="C20" i="21"/>
  <c r="AM19" i="21"/>
  <c r="AF19" i="21"/>
  <c r="Y19" i="21"/>
  <c r="R19" i="21"/>
  <c r="K19" i="21"/>
  <c r="G19" i="21"/>
  <c r="C19" i="21"/>
  <c r="AM18" i="21"/>
  <c r="AF18" i="21"/>
  <c r="Y18" i="21"/>
  <c r="R18" i="21"/>
  <c r="K18" i="21"/>
  <c r="G18" i="21"/>
  <c r="B18" i="21"/>
  <c r="C18" i="21" s="1"/>
  <c r="AM17" i="21"/>
  <c r="AF17" i="21"/>
  <c r="Y17" i="21"/>
  <c r="R17" i="21"/>
  <c r="K17" i="21"/>
  <c r="G17" i="21"/>
  <c r="B17" i="21"/>
  <c r="C17" i="21" s="1"/>
  <c r="AM16" i="21"/>
  <c r="AF16" i="21"/>
  <c r="Y16" i="21"/>
  <c r="R16" i="21"/>
  <c r="K16" i="21"/>
  <c r="G16" i="21"/>
  <c r="C16" i="21"/>
  <c r="AM15" i="21"/>
  <c r="AF15" i="21"/>
  <c r="Y15" i="21"/>
  <c r="R15" i="21"/>
  <c r="K15" i="21"/>
  <c r="G15" i="21"/>
  <c r="C15" i="21"/>
  <c r="AP12" i="21"/>
  <c r="AI12" i="21"/>
  <c r="AB12" i="21"/>
  <c r="U12" i="21"/>
  <c r="N12" i="21"/>
  <c r="AQ11" i="21"/>
  <c r="AN11" i="21"/>
  <c r="AG11" i="21"/>
  <c r="AJ11" i="21" s="1"/>
  <c r="Z11" i="21"/>
  <c r="AC11" i="21" s="1"/>
  <c r="S11" i="21"/>
  <c r="V11" i="21" s="1"/>
  <c r="O11" i="21"/>
  <c r="L11" i="21"/>
  <c r="H11" i="21"/>
  <c r="S2" i="21"/>
  <c r="AM48" i="21" s="1"/>
  <c r="AN48" i="21" s="1"/>
  <c r="AP48" i="21" s="1"/>
  <c r="AL63" i="20"/>
  <c r="AE63" i="20"/>
  <c r="X63" i="20"/>
  <c r="Y41" i="20" s="1"/>
  <c r="Q63" i="20"/>
  <c r="R42" i="20" s="1"/>
  <c r="J63" i="20"/>
  <c r="K38" i="20" s="1"/>
  <c r="F63" i="20"/>
  <c r="G39" i="20" s="1"/>
  <c r="AE59" i="20"/>
  <c r="X59" i="20"/>
  <c r="J59" i="20"/>
  <c r="AL53" i="20"/>
  <c r="AL59" i="20" s="1"/>
  <c r="AE53" i="20"/>
  <c r="X53" i="20"/>
  <c r="Q53" i="20"/>
  <c r="Q59" i="20" s="1"/>
  <c r="J53" i="20"/>
  <c r="F53" i="20"/>
  <c r="F59" i="20" s="1"/>
  <c r="AL48" i="20"/>
  <c r="AE48" i="20"/>
  <c r="X48" i="20"/>
  <c r="R48" i="20"/>
  <c r="S48" i="20" s="1"/>
  <c r="Q48" i="20"/>
  <c r="J48" i="20"/>
  <c r="G48" i="20"/>
  <c r="H48" i="20" s="1"/>
  <c r="F48" i="20"/>
  <c r="C48" i="20"/>
  <c r="AM47" i="20"/>
  <c r="AL47" i="20"/>
  <c r="AE47" i="20"/>
  <c r="X47" i="20"/>
  <c r="R47" i="20"/>
  <c r="S47" i="20" s="1"/>
  <c r="Q47" i="20"/>
  <c r="J47" i="20"/>
  <c r="G47" i="20"/>
  <c r="H47" i="20" s="1"/>
  <c r="F47" i="20"/>
  <c r="C47" i="20"/>
  <c r="AM46" i="20"/>
  <c r="AL46" i="20"/>
  <c r="AI46" i="20"/>
  <c r="AG46" i="20"/>
  <c r="AF46" i="20"/>
  <c r="AE46" i="20"/>
  <c r="AC46" i="20"/>
  <c r="AB46" i="20"/>
  <c r="Z46" i="20"/>
  <c r="Y46" i="20"/>
  <c r="X46" i="20"/>
  <c r="R46" i="20"/>
  <c r="S46" i="20" s="1"/>
  <c r="Q46" i="20"/>
  <c r="K46" i="20"/>
  <c r="J46" i="20"/>
  <c r="L46" i="20" s="1"/>
  <c r="H46" i="20"/>
  <c r="G46" i="20"/>
  <c r="F46" i="20"/>
  <c r="C46" i="20"/>
  <c r="AM45" i="20"/>
  <c r="AN45" i="20" s="1"/>
  <c r="AP45" i="20" s="1"/>
  <c r="AL45" i="20"/>
  <c r="AF45" i="20"/>
  <c r="AG45" i="20" s="1"/>
  <c r="AE45" i="20"/>
  <c r="Y45" i="20"/>
  <c r="X45" i="20"/>
  <c r="U45" i="20"/>
  <c r="V45" i="20" s="1"/>
  <c r="S45" i="20"/>
  <c r="R45" i="20"/>
  <c r="Q45" i="20"/>
  <c r="K45" i="20"/>
  <c r="L45" i="20" s="1"/>
  <c r="J45" i="20"/>
  <c r="H45" i="20"/>
  <c r="G45" i="20"/>
  <c r="F45" i="20"/>
  <c r="C45" i="20"/>
  <c r="AM44" i="20"/>
  <c r="AN44" i="20" s="1"/>
  <c r="AL44" i="20"/>
  <c r="AF44" i="20"/>
  <c r="AE44" i="20"/>
  <c r="AE35" i="20" s="1"/>
  <c r="AG35" i="20" s="1"/>
  <c r="Y44" i="20"/>
  <c r="Z44" i="20" s="1"/>
  <c r="X44" i="20"/>
  <c r="R44" i="20"/>
  <c r="S44" i="20" s="1"/>
  <c r="Q44" i="20"/>
  <c r="K44" i="20"/>
  <c r="J44" i="20"/>
  <c r="J35" i="20" s="1"/>
  <c r="G44" i="20"/>
  <c r="F44" i="20"/>
  <c r="H44" i="20" s="1"/>
  <c r="C44" i="20"/>
  <c r="AM43" i="20"/>
  <c r="AF43" i="20"/>
  <c r="Y43" i="20"/>
  <c r="R43" i="20"/>
  <c r="K43" i="20"/>
  <c r="G43" i="20"/>
  <c r="C43" i="20"/>
  <c r="AM42" i="20"/>
  <c r="AF42" i="20"/>
  <c r="Y42" i="20"/>
  <c r="K42" i="20"/>
  <c r="G42" i="20"/>
  <c r="C42" i="20"/>
  <c r="AF41" i="20"/>
  <c r="R41" i="20"/>
  <c r="K41" i="20"/>
  <c r="C41" i="20"/>
  <c r="AF39" i="20"/>
  <c r="Y39" i="20"/>
  <c r="K39" i="20"/>
  <c r="C39" i="20"/>
  <c r="AF38" i="20"/>
  <c r="Y38" i="20"/>
  <c r="R38" i="20"/>
  <c r="C38" i="20"/>
  <c r="AM36" i="20"/>
  <c r="AF36" i="20"/>
  <c r="Y36" i="20"/>
  <c r="R36" i="20"/>
  <c r="K36" i="20"/>
  <c r="G36" i="20"/>
  <c r="C36" i="20"/>
  <c r="AM35" i="20"/>
  <c r="AL35" i="20"/>
  <c r="AF35" i="20"/>
  <c r="Y35" i="20"/>
  <c r="X35" i="20"/>
  <c r="R35" i="20"/>
  <c r="Q35" i="20"/>
  <c r="F35" i="20"/>
  <c r="C35" i="20"/>
  <c r="AF34" i="20"/>
  <c r="Y34" i="20"/>
  <c r="R34" i="20"/>
  <c r="K34" i="20"/>
  <c r="C34" i="20"/>
  <c r="AM33" i="20"/>
  <c r="AF33" i="20"/>
  <c r="Y33" i="20"/>
  <c r="R33" i="20"/>
  <c r="K33" i="20"/>
  <c r="G33" i="20"/>
  <c r="C33" i="20"/>
  <c r="AM32" i="20"/>
  <c r="AF32" i="20"/>
  <c r="Y32" i="20"/>
  <c r="R32" i="20"/>
  <c r="K32" i="20"/>
  <c r="G32" i="20"/>
  <c r="C32" i="20"/>
  <c r="AM31" i="20"/>
  <c r="AF31" i="20"/>
  <c r="Y31" i="20"/>
  <c r="R31" i="20"/>
  <c r="K31" i="20"/>
  <c r="G31" i="20"/>
  <c r="C31" i="20"/>
  <c r="AM30" i="20"/>
  <c r="AF30" i="20"/>
  <c r="Y30" i="20"/>
  <c r="R30" i="20"/>
  <c r="K30" i="20"/>
  <c r="G30" i="20"/>
  <c r="C30" i="20"/>
  <c r="AM28" i="20"/>
  <c r="AF28" i="20"/>
  <c r="Y28" i="20"/>
  <c r="R28" i="20"/>
  <c r="K28" i="20"/>
  <c r="G28" i="20"/>
  <c r="C28" i="20"/>
  <c r="AM27" i="20"/>
  <c r="AF27" i="20"/>
  <c r="Y27" i="20"/>
  <c r="R27" i="20"/>
  <c r="K27" i="20"/>
  <c r="G27" i="20"/>
  <c r="C27" i="20"/>
  <c r="AM26" i="20"/>
  <c r="AF26" i="20"/>
  <c r="Y26" i="20"/>
  <c r="R26" i="20"/>
  <c r="K26" i="20"/>
  <c r="G26" i="20"/>
  <c r="C26" i="20"/>
  <c r="AM25" i="20"/>
  <c r="AF25" i="20"/>
  <c r="Y25" i="20"/>
  <c r="R25" i="20"/>
  <c r="K25" i="20"/>
  <c r="G25" i="20"/>
  <c r="C25" i="20"/>
  <c r="AM24" i="20"/>
  <c r="AF24" i="20"/>
  <c r="Y24" i="20"/>
  <c r="R24" i="20"/>
  <c r="K24" i="20"/>
  <c r="G24" i="20"/>
  <c r="C24" i="20"/>
  <c r="AM23" i="20"/>
  <c r="AF23" i="20"/>
  <c r="Y23" i="20"/>
  <c r="R23" i="20"/>
  <c r="K23" i="20"/>
  <c r="G23" i="20"/>
  <c r="C23" i="20"/>
  <c r="AM22" i="20"/>
  <c r="AF22" i="20"/>
  <c r="Y22" i="20"/>
  <c r="R22" i="20"/>
  <c r="K22" i="20"/>
  <c r="G22" i="20"/>
  <c r="C22" i="20"/>
  <c r="AM21" i="20"/>
  <c r="AF21" i="20"/>
  <c r="Y21" i="20"/>
  <c r="R21" i="20"/>
  <c r="S21" i="20" s="1"/>
  <c r="AC21" i="20" s="1"/>
  <c r="Q21" i="20"/>
  <c r="L21" i="20"/>
  <c r="K21" i="20"/>
  <c r="J21" i="20"/>
  <c r="G21" i="20"/>
  <c r="H21" i="20" s="1"/>
  <c r="F21" i="20"/>
  <c r="C21" i="20"/>
  <c r="AM20" i="20"/>
  <c r="AF20" i="20"/>
  <c r="Y20" i="20"/>
  <c r="R20" i="20"/>
  <c r="K20" i="20"/>
  <c r="G20" i="20"/>
  <c r="C20" i="20"/>
  <c r="AM19" i="20"/>
  <c r="AF19" i="20"/>
  <c r="Y19" i="20"/>
  <c r="R19" i="20"/>
  <c r="K19" i="20"/>
  <c r="G19" i="20"/>
  <c r="C19" i="20"/>
  <c r="AM18" i="20"/>
  <c r="AF18" i="20"/>
  <c r="Y18" i="20"/>
  <c r="R18" i="20"/>
  <c r="K18" i="20"/>
  <c r="G18" i="20"/>
  <c r="C18" i="20"/>
  <c r="B18" i="20"/>
  <c r="AM17" i="20"/>
  <c r="AF17" i="20"/>
  <c r="Y17" i="20"/>
  <c r="R17" i="20"/>
  <c r="K17" i="20"/>
  <c r="G17" i="20"/>
  <c r="C17" i="20"/>
  <c r="B17" i="20"/>
  <c r="AM16" i="20"/>
  <c r="AF16" i="20"/>
  <c r="Y16" i="20"/>
  <c r="R16" i="20"/>
  <c r="K16" i="20"/>
  <c r="G16" i="20"/>
  <c r="C16" i="20"/>
  <c r="AM15" i="20"/>
  <c r="AF15" i="20"/>
  <c r="Y15" i="20"/>
  <c r="R15" i="20"/>
  <c r="K15" i="20"/>
  <c r="G15" i="20"/>
  <c r="C15" i="20"/>
  <c r="AP12" i="20"/>
  <c r="AI12" i="20"/>
  <c r="AB12" i="20"/>
  <c r="U12" i="20"/>
  <c r="N12" i="20"/>
  <c r="AN11" i="20"/>
  <c r="AQ11" i="20" s="1"/>
  <c r="AJ11" i="20"/>
  <c r="AG11" i="20"/>
  <c r="AC11" i="20"/>
  <c r="Z11" i="20"/>
  <c r="V11" i="20"/>
  <c r="S11" i="20"/>
  <c r="O11" i="20"/>
  <c r="L11" i="20"/>
  <c r="H11" i="20"/>
  <c r="S2" i="20"/>
  <c r="K47" i="20" s="1"/>
  <c r="L47" i="20" s="1"/>
  <c r="AL63" i="19"/>
  <c r="AE63" i="19"/>
  <c r="X63" i="19"/>
  <c r="Y35" i="19" s="1"/>
  <c r="Q63" i="19"/>
  <c r="J63" i="19"/>
  <c r="F63" i="19"/>
  <c r="AL59" i="19"/>
  <c r="Q59" i="19"/>
  <c r="F59" i="19"/>
  <c r="AL53" i="19"/>
  <c r="AE53" i="19"/>
  <c r="AE59" i="19" s="1"/>
  <c r="X53" i="19"/>
  <c r="X59" i="19" s="1"/>
  <c r="Q53" i="19"/>
  <c r="J53" i="19"/>
  <c r="J59" i="19" s="1"/>
  <c r="F53" i="19"/>
  <c r="AL48" i="19"/>
  <c r="AE48" i="19"/>
  <c r="X48" i="19"/>
  <c r="Q48" i="19"/>
  <c r="J48" i="19"/>
  <c r="F48" i="19"/>
  <c r="C48" i="19"/>
  <c r="AL47" i="19"/>
  <c r="AE47" i="19"/>
  <c r="X47" i="19"/>
  <c r="Q47" i="19"/>
  <c r="J47" i="19"/>
  <c r="F47" i="19"/>
  <c r="C47" i="19"/>
  <c r="AM46" i="19"/>
  <c r="AL46" i="19"/>
  <c r="AN46" i="19" s="1"/>
  <c r="AP46" i="19" s="1"/>
  <c r="AG46" i="19"/>
  <c r="AF46" i="19"/>
  <c r="AE46" i="19"/>
  <c r="Y46" i="19"/>
  <c r="X46" i="19"/>
  <c r="Z46" i="19" s="1"/>
  <c r="R46" i="19"/>
  <c r="Q46" i="19"/>
  <c r="K46" i="19"/>
  <c r="L46" i="19" s="1"/>
  <c r="J46" i="19"/>
  <c r="G46" i="19"/>
  <c r="H46" i="19" s="1"/>
  <c r="F46" i="19"/>
  <c r="C46" i="19"/>
  <c r="AQ45" i="19"/>
  <c r="AP45" i="19"/>
  <c r="AN45" i="19"/>
  <c r="AM45" i="19"/>
  <c r="AL45" i="19"/>
  <c r="AF45" i="19"/>
  <c r="AE45" i="19"/>
  <c r="AG45" i="19" s="1"/>
  <c r="Y45" i="19"/>
  <c r="Z45" i="19" s="1"/>
  <c r="X45" i="19"/>
  <c r="S45" i="19"/>
  <c r="R45" i="19"/>
  <c r="Q45" i="19"/>
  <c r="K45" i="19"/>
  <c r="L45" i="19" s="1"/>
  <c r="J45" i="19"/>
  <c r="J35" i="19" s="1"/>
  <c r="G45" i="19"/>
  <c r="H45" i="19" s="1"/>
  <c r="F45" i="19"/>
  <c r="C45" i="19"/>
  <c r="AM44" i="19"/>
  <c r="AL44" i="19"/>
  <c r="AN44" i="19" s="1"/>
  <c r="AF44" i="19"/>
  <c r="AE44" i="19"/>
  <c r="AE35" i="19" s="1"/>
  <c r="Y44" i="19"/>
  <c r="Z44" i="19" s="1"/>
  <c r="X44" i="19"/>
  <c r="R44" i="19"/>
  <c r="S44" i="19" s="1"/>
  <c r="Q44" i="19"/>
  <c r="N44" i="19"/>
  <c r="O44" i="19" s="1"/>
  <c r="K44" i="19"/>
  <c r="J44" i="19"/>
  <c r="L44" i="19" s="1"/>
  <c r="H44" i="19"/>
  <c r="G44" i="19"/>
  <c r="F44" i="19"/>
  <c r="C44" i="19"/>
  <c r="AM43" i="19"/>
  <c r="AF43" i="19"/>
  <c r="Y43" i="19"/>
  <c r="R43" i="19"/>
  <c r="K43" i="19"/>
  <c r="G43" i="19"/>
  <c r="C43" i="19"/>
  <c r="AM42" i="19"/>
  <c r="AF42" i="19"/>
  <c r="K42" i="19"/>
  <c r="G42" i="19"/>
  <c r="C42" i="19"/>
  <c r="AM41" i="19"/>
  <c r="R41" i="19"/>
  <c r="K41" i="19"/>
  <c r="G41" i="19"/>
  <c r="C41" i="19"/>
  <c r="AF39" i="19"/>
  <c r="Y39" i="19"/>
  <c r="R39" i="19"/>
  <c r="K39" i="19"/>
  <c r="G39" i="19"/>
  <c r="C39" i="19"/>
  <c r="AM38" i="19"/>
  <c r="AF38" i="19"/>
  <c r="Y38" i="19"/>
  <c r="K38" i="19"/>
  <c r="G38" i="19"/>
  <c r="C38" i="19"/>
  <c r="AM36" i="19"/>
  <c r="AF36" i="19"/>
  <c r="Y36" i="19"/>
  <c r="R36" i="19"/>
  <c r="K36" i="19"/>
  <c r="G36" i="19"/>
  <c r="C36" i="19"/>
  <c r="X35" i="19"/>
  <c r="R35" i="19"/>
  <c r="K35" i="19"/>
  <c r="G35" i="19"/>
  <c r="H35" i="19" s="1"/>
  <c r="F35" i="19"/>
  <c r="C35" i="19"/>
  <c r="AF34" i="19"/>
  <c r="Y34" i="19"/>
  <c r="R34" i="19"/>
  <c r="K34" i="19"/>
  <c r="G34" i="19"/>
  <c r="C34" i="19"/>
  <c r="AM33" i="19"/>
  <c r="AF33" i="19"/>
  <c r="Y33" i="19"/>
  <c r="R33" i="19"/>
  <c r="K33" i="19"/>
  <c r="G33" i="19"/>
  <c r="C33" i="19"/>
  <c r="AM32" i="19"/>
  <c r="AF32" i="19"/>
  <c r="Y32" i="19"/>
  <c r="R32" i="19"/>
  <c r="K32" i="19"/>
  <c r="G32" i="19"/>
  <c r="C32" i="19"/>
  <c r="AM31" i="19"/>
  <c r="AF31" i="19"/>
  <c r="Y31" i="19"/>
  <c r="R31" i="19"/>
  <c r="K31" i="19"/>
  <c r="G31" i="19"/>
  <c r="C31" i="19"/>
  <c r="AM30" i="19"/>
  <c r="AF30" i="19"/>
  <c r="Y30" i="19"/>
  <c r="R30" i="19"/>
  <c r="K30" i="19"/>
  <c r="G30" i="19"/>
  <c r="C30" i="19"/>
  <c r="AM28" i="19"/>
  <c r="AF28" i="19"/>
  <c r="Y28" i="19"/>
  <c r="R28" i="19"/>
  <c r="K28" i="19"/>
  <c r="G28" i="19"/>
  <c r="C28" i="19"/>
  <c r="AM27" i="19"/>
  <c r="AF27" i="19"/>
  <c r="Y27" i="19"/>
  <c r="R27" i="19"/>
  <c r="K27" i="19"/>
  <c r="G27" i="19"/>
  <c r="C27" i="19"/>
  <c r="AM26" i="19"/>
  <c r="AF26" i="19"/>
  <c r="Y26" i="19"/>
  <c r="R26" i="19"/>
  <c r="K26" i="19"/>
  <c r="G26" i="19"/>
  <c r="C26" i="19"/>
  <c r="AM25" i="19"/>
  <c r="AF25" i="19"/>
  <c r="Y25" i="19"/>
  <c r="R25" i="19"/>
  <c r="K25" i="19"/>
  <c r="G25" i="19"/>
  <c r="C25" i="19"/>
  <c r="AM24" i="19"/>
  <c r="AF24" i="19"/>
  <c r="Y24" i="19"/>
  <c r="R24" i="19"/>
  <c r="K24" i="19"/>
  <c r="G24" i="19"/>
  <c r="C24" i="19"/>
  <c r="AM23" i="19"/>
  <c r="AF23" i="19"/>
  <c r="Y23" i="19"/>
  <c r="R23" i="19"/>
  <c r="K23" i="19"/>
  <c r="G23" i="19"/>
  <c r="C23" i="19"/>
  <c r="AM22" i="19"/>
  <c r="AF22" i="19"/>
  <c r="Y22" i="19"/>
  <c r="R22" i="19"/>
  <c r="K22" i="19"/>
  <c r="G22" i="19"/>
  <c r="C22" i="19"/>
  <c r="AM21" i="19"/>
  <c r="AF21" i="19"/>
  <c r="Y21" i="19"/>
  <c r="U21" i="19"/>
  <c r="V21" i="19" s="1"/>
  <c r="S21" i="19"/>
  <c r="AC21" i="19" s="1"/>
  <c r="R21" i="19"/>
  <c r="Q21" i="19"/>
  <c r="K21" i="19"/>
  <c r="J21" i="19"/>
  <c r="L21" i="19" s="1"/>
  <c r="G21" i="19"/>
  <c r="F21" i="19"/>
  <c r="C21" i="19"/>
  <c r="AM20" i="19"/>
  <c r="AF20" i="19"/>
  <c r="Y20" i="19"/>
  <c r="R20" i="19"/>
  <c r="K20" i="19"/>
  <c r="G20" i="19"/>
  <c r="C20" i="19"/>
  <c r="AM19" i="19"/>
  <c r="AF19" i="19"/>
  <c r="Y19" i="19"/>
  <c r="R19" i="19"/>
  <c r="K19" i="19"/>
  <c r="G19" i="19"/>
  <c r="C19" i="19"/>
  <c r="AM18" i="19"/>
  <c r="AF18" i="19"/>
  <c r="Y18" i="19"/>
  <c r="R18" i="19"/>
  <c r="K18" i="19"/>
  <c r="G18" i="19"/>
  <c r="B18" i="19"/>
  <c r="C18" i="19" s="1"/>
  <c r="AM17" i="19"/>
  <c r="AF17" i="19"/>
  <c r="Y17" i="19"/>
  <c r="R17" i="19"/>
  <c r="K17" i="19"/>
  <c r="G17" i="19"/>
  <c r="B17" i="19"/>
  <c r="C17" i="19" s="1"/>
  <c r="AM16" i="19"/>
  <c r="AF16" i="19"/>
  <c r="Y16" i="19"/>
  <c r="R16" i="19"/>
  <c r="K16" i="19"/>
  <c r="G16" i="19"/>
  <c r="C16" i="19"/>
  <c r="AM15" i="19"/>
  <c r="AF15" i="19"/>
  <c r="Y15" i="19"/>
  <c r="R15" i="19"/>
  <c r="K15" i="19"/>
  <c r="G15" i="19"/>
  <c r="C15" i="19"/>
  <c r="AP12" i="19"/>
  <c r="AI12" i="19"/>
  <c r="AB12" i="19"/>
  <c r="U12" i="19"/>
  <c r="N12" i="19"/>
  <c r="AN11" i="19"/>
  <c r="AQ11" i="19" s="1"/>
  <c r="AG11" i="19"/>
  <c r="AJ11" i="19" s="1"/>
  <c r="AC11" i="19"/>
  <c r="Z11" i="19"/>
  <c r="V11" i="19"/>
  <c r="S11" i="19"/>
  <c r="O11" i="19"/>
  <c r="L11" i="19"/>
  <c r="H11" i="19"/>
  <c r="S2" i="19"/>
  <c r="AL63" i="18"/>
  <c r="AE63" i="18"/>
  <c r="AF41" i="18" s="1"/>
  <c r="X63" i="18"/>
  <c r="Q63" i="18"/>
  <c r="J63" i="18"/>
  <c r="K39" i="18" s="1"/>
  <c r="F63" i="18"/>
  <c r="AL53" i="18"/>
  <c r="AL59" i="18" s="1"/>
  <c r="AE53" i="18"/>
  <c r="AE59" i="18" s="1"/>
  <c r="X53" i="18"/>
  <c r="Q53" i="18"/>
  <c r="Q59" i="18" s="1"/>
  <c r="J53" i="18"/>
  <c r="J59" i="18" s="1"/>
  <c r="F53" i="18"/>
  <c r="AL48" i="18"/>
  <c r="AE48" i="18"/>
  <c r="X48" i="18"/>
  <c r="Q48" i="18"/>
  <c r="J48" i="18"/>
  <c r="F48" i="18"/>
  <c r="C48" i="18"/>
  <c r="AM47" i="18"/>
  <c r="AN47" i="18" s="1"/>
  <c r="AL47" i="18"/>
  <c r="AE47" i="18"/>
  <c r="X47" i="18"/>
  <c r="Q47" i="18"/>
  <c r="J47" i="18"/>
  <c r="F47" i="18"/>
  <c r="C47" i="18"/>
  <c r="AN46" i="18"/>
  <c r="AP46" i="18" s="1"/>
  <c r="AM46" i="18"/>
  <c r="AL46" i="18"/>
  <c r="AI46" i="18"/>
  <c r="AG46" i="18"/>
  <c r="AF46" i="18"/>
  <c r="AE46" i="18"/>
  <c r="Z46" i="18"/>
  <c r="Y46" i="18"/>
  <c r="X46" i="18"/>
  <c r="R46" i="18"/>
  <c r="S46" i="18" s="1"/>
  <c r="Q46" i="18"/>
  <c r="K46" i="18"/>
  <c r="J46" i="18"/>
  <c r="L46" i="18" s="1"/>
  <c r="G46" i="18"/>
  <c r="H46" i="18" s="1"/>
  <c r="F46" i="18"/>
  <c r="C46" i="18"/>
  <c r="AN45" i="18"/>
  <c r="AM45" i="18"/>
  <c r="AL45" i="18"/>
  <c r="AF45" i="18"/>
  <c r="AG45" i="18" s="1"/>
  <c r="AE45" i="18"/>
  <c r="AE35" i="18" s="1"/>
  <c r="Y45" i="18"/>
  <c r="X45" i="18"/>
  <c r="X35" i="18" s="1"/>
  <c r="S45" i="18"/>
  <c r="R45" i="18"/>
  <c r="Q45" i="18"/>
  <c r="L45" i="18"/>
  <c r="K45" i="18"/>
  <c r="J45" i="18"/>
  <c r="H45" i="18"/>
  <c r="G45" i="18"/>
  <c r="F45" i="18"/>
  <c r="C45" i="18"/>
  <c r="AM44" i="18"/>
  <c r="AN44" i="18" s="1"/>
  <c r="AL44" i="18"/>
  <c r="AL35" i="18" s="1"/>
  <c r="AN35" i="18" s="1"/>
  <c r="AF44" i="18"/>
  <c r="AE44" i="18"/>
  <c r="Z44" i="18"/>
  <c r="Y44" i="18"/>
  <c r="X44" i="18"/>
  <c r="U44" i="18"/>
  <c r="V44" i="18" s="1"/>
  <c r="S44" i="18"/>
  <c r="R44" i="18"/>
  <c r="Q44" i="18"/>
  <c r="K44" i="18"/>
  <c r="J44" i="18"/>
  <c r="L44" i="18" s="1"/>
  <c r="N44" i="18" s="1"/>
  <c r="G44" i="18"/>
  <c r="H44" i="18" s="1"/>
  <c r="F44" i="18"/>
  <c r="F35" i="18" s="1"/>
  <c r="C44" i="18"/>
  <c r="AM43" i="18"/>
  <c r="AF43" i="18"/>
  <c r="Y43" i="18"/>
  <c r="R43" i="18"/>
  <c r="K43" i="18"/>
  <c r="G43" i="18"/>
  <c r="C43" i="18"/>
  <c r="AM42" i="18"/>
  <c r="AF42" i="18"/>
  <c r="K42" i="18"/>
  <c r="G42" i="18"/>
  <c r="C42" i="18"/>
  <c r="AM41" i="18"/>
  <c r="K41" i="18"/>
  <c r="G41" i="18"/>
  <c r="C41" i="18"/>
  <c r="AM39" i="18"/>
  <c r="AF39" i="18"/>
  <c r="Y39" i="18"/>
  <c r="G39" i="18"/>
  <c r="C39" i="18"/>
  <c r="AM38" i="18"/>
  <c r="AF38" i="18"/>
  <c r="K38" i="18"/>
  <c r="G38" i="18"/>
  <c r="C38" i="18"/>
  <c r="AM36" i="18"/>
  <c r="AF36" i="18"/>
  <c r="Y36" i="18"/>
  <c r="R36" i="18"/>
  <c r="K36" i="18"/>
  <c r="G36" i="18"/>
  <c r="C36" i="18"/>
  <c r="AM35" i="18"/>
  <c r="AF35" i="18"/>
  <c r="Q35" i="18"/>
  <c r="K35" i="18"/>
  <c r="H35" i="18"/>
  <c r="G35" i="18"/>
  <c r="C35" i="18"/>
  <c r="AM34" i="18"/>
  <c r="AF34" i="18"/>
  <c r="G34" i="18"/>
  <c r="C34" i="18"/>
  <c r="AM33" i="18"/>
  <c r="AF33" i="18"/>
  <c r="Y33" i="18"/>
  <c r="R33" i="18"/>
  <c r="K33" i="18"/>
  <c r="G33" i="18"/>
  <c r="C33" i="18"/>
  <c r="AM32" i="18"/>
  <c r="AF32" i="18"/>
  <c r="Y32" i="18"/>
  <c r="R32" i="18"/>
  <c r="K32" i="18"/>
  <c r="G32" i="18"/>
  <c r="C32" i="18"/>
  <c r="AM31" i="18"/>
  <c r="AF31" i="18"/>
  <c r="Y31" i="18"/>
  <c r="R31" i="18"/>
  <c r="K31" i="18"/>
  <c r="G31" i="18"/>
  <c r="C31" i="18"/>
  <c r="AM30" i="18"/>
  <c r="AF30" i="18"/>
  <c r="Y30" i="18"/>
  <c r="R30" i="18"/>
  <c r="K30" i="18"/>
  <c r="G30" i="18"/>
  <c r="C30" i="18"/>
  <c r="AM28" i="18"/>
  <c r="AF28" i="18"/>
  <c r="Y28" i="18"/>
  <c r="R28" i="18"/>
  <c r="K28" i="18"/>
  <c r="G28" i="18"/>
  <c r="C28" i="18"/>
  <c r="AM27" i="18"/>
  <c r="AF27" i="18"/>
  <c r="Y27" i="18"/>
  <c r="R27" i="18"/>
  <c r="K27" i="18"/>
  <c r="G27" i="18"/>
  <c r="C27" i="18"/>
  <c r="AM26" i="18"/>
  <c r="AF26" i="18"/>
  <c r="Y26" i="18"/>
  <c r="R26" i="18"/>
  <c r="K26" i="18"/>
  <c r="G26" i="18"/>
  <c r="C26" i="18"/>
  <c r="AM25" i="18"/>
  <c r="AF25" i="18"/>
  <c r="Y25" i="18"/>
  <c r="R25" i="18"/>
  <c r="K25" i="18"/>
  <c r="G25" i="18"/>
  <c r="C25" i="18"/>
  <c r="AM24" i="18"/>
  <c r="AF24" i="18"/>
  <c r="Y24" i="18"/>
  <c r="R24" i="18"/>
  <c r="K24" i="18"/>
  <c r="G24" i="18"/>
  <c r="C24" i="18"/>
  <c r="AM23" i="18"/>
  <c r="AF23" i="18"/>
  <c r="Y23" i="18"/>
  <c r="R23" i="18"/>
  <c r="K23" i="18"/>
  <c r="G23" i="18"/>
  <c r="C23" i="18"/>
  <c r="AM22" i="18"/>
  <c r="AF22" i="18"/>
  <c r="Y22" i="18"/>
  <c r="R22" i="18"/>
  <c r="K22" i="18"/>
  <c r="G22" i="18"/>
  <c r="C22" i="18"/>
  <c r="AM21" i="18"/>
  <c r="AF21" i="18"/>
  <c r="Y21" i="18"/>
  <c r="S21" i="18"/>
  <c r="R21" i="18"/>
  <c r="Q21" i="18"/>
  <c r="K21" i="18"/>
  <c r="L21" i="18" s="1"/>
  <c r="J21" i="18"/>
  <c r="H21" i="18"/>
  <c r="G21" i="18"/>
  <c r="F21" i="18"/>
  <c r="C21" i="18"/>
  <c r="AM20" i="18"/>
  <c r="AF20" i="18"/>
  <c r="Y20" i="18"/>
  <c r="R20" i="18"/>
  <c r="K20" i="18"/>
  <c r="G20" i="18"/>
  <c r="C20" i="18"/>
  <c r="AM19" i="18"/>
  <c r="AF19" i="18"/>
  <c r="Y19" i="18"/>
  <c r="R19" i="18"/>
  <c r="K19" i="18"/>
  <c r="G19" i="18"/>
  <c r="C19" i="18"/>
  <c r="AM18" i="18"/>
  <c r="AF18" i="18"/>
  <c r="Y18" i="18"/>
  <c r="R18" i="18"/>
  <c r="K18" i="18"/>
  <c r="G18" i="18"/>
  <c r="B18" i="18"/>
  <c r="C18" i="18" s="1"/>
  <c r="AM17" i="18"/>
  <c r="AF17" i="18"/>
  <c r="Y17" i="18"/>
  <c r="R17" i="18"/>
  <c r="K17" i="18"/>
  <c r="G17" i="18"/>
  <c r="B17" i="18"/>
  <c r="C17" i="18" s="1"/>
  <c r="AM16" i="18"/>
  <c r="AF16" i="18"/>
  <c r="Y16" i="18"/>
  <c r="R16" i="18"/>
  <c r="K16" i="18"/>
  <c r="G16" i="18"/>
  <c r="C16" i="18"/>
  <c r="AM15" i="18"/>
  <c r="AF15" i="18"/>
  <c r="Y15" i="18"/>
  <c r="R15" i="18"/>
  <c r="K15" i="18"/>
  <c r="G15" i="18"/>
  <c r="C15" i="18"/>
  <c r="AP12" i="18"/>
  <c r="AI12" i="18"/>
  <c r="AB12" i="18"/>
  <c r="U12" i="18"/>
  <c r="N12" i="18"/>
  <c r="AQ11" i="18"/>
  <c r="AN11" i="18"/>
  <c r="AG11" i="18"/>
  <c r="AJ11" i="18" s="1"/>
  <c r="Z11" i="18"/>
  <c r="AC11" i="18" s="1"/>
  <c r="S11" i="18"/>
  <c r="V11" i="18" s="1"/>
  <c r="L11" i="18"/>
  <c r="O11" i="18" s="1"/>
  <c r="H11" i="18"/>
  <c r="S2" i="18"/>
  <c r="R47" i="18" s="1"/>
  <c r="S47" i="18" s="1"/>
  <c r="AL63" i="17"/>
  <c r="AE63" i="17"/>
  <c r="X63" i="17"/>
  <c r="Q63" i="17"/>
  <c r="J63" i="17"/>
  <c r="K42" i="17" s="1"/>
  <c r="F63" i="17"/>
  <c r="AL59" i="17"/>
  <c r="AE59" i="17"/>
  <c r="X59" i="17"/>
  <c r="Q59" i="17"/>
  <c r="J59" i="17"/>
  <c r="AL53" i="17"/>
  <c r="AE53" i="17"/>
  <c r="X53" i="17"/>
  <c r="Q53" i="17"/>
  <c r="J53" i="17"/>
  <c r="F53" i="17"/>
  <c r="F59" i="17" s="1"/>
  <c r="AL48" i="17"/>
  <c r="AE48" i="17"/>
  <c r="X48" i="17"/>
  <c r="Q48" i="17"/>
  <c r="J48" i="17"/>
  <c r="G48" i="17"/>
  <c r="H48" i="17" s="1"/>
  <c r="F48" i="17"/>
  <c r="C48" i="17"/>
  <c r="AM47" i="17"/>
  <c r="AN47" i="17" s="1"/>
  <c r="AL47" i="17"/>
  <c r="AE47" i="17"/>
  <c r="X47" i="17"/>
  <c r="Q47" i="17"/>
  <c r="J47" i="17"/>
  <c r="F47" i="17"/>
  <c r="C47" i="17"/>
  <c r="AM46" i="17"/>
  <c r="AL46" i="17"/>
  <c r="AN46" i="17" s="1"/>
  <c r="AF46" i="17"/>
  <c r="AE46" i="17"/>
  <c r="Y46" i="17"/>
  <c r="Z46" i="17" s="1"/>
  <c r="X46" i="17"/>
  <c r="R46" i="17"/>
  <c r="S46" i="17" s="1"/>
  <c r="Q46" i="17"/>
  <c r="L46" i="17"/>
  <c r="K46" i="17"/>
  <c r="J46" i="17"/>
  <c r="G46" i="17"/>
  <c r="F46" i="17"/>
  <c r="C46" i="17"/>
  <c r="AM45" i="17"/>
  <c r="AN45" i="17" s="1"/>
  <c r="AP45" i="17" s="1"/>
  <c r="AL45" i="17"/>
  <c r="AF45" i="17"/>
  <c r="AG45" i="17" s="1"/>
  <c r="AE45" i="17"/>
  <c r="Z45" i="17"/>
  <c r="Y45" i="17"/>
  <c r="X45" i="17"/>
  <c r="S45" i="17"/>
  <c r="R45" i="17"/>
  <c r="Q45" i="17"/>
  <c r="L45" i="17"/>
  <c r="K45" i="17"/>
  <c r="J45" i="17"/>
  <c r="H45" i="17"/>
  <c r="G45" i="17"/>
  <c r="F45" i="17"/>
  <c r="C45" i="17"/>
  <c r="AQ44" i="17"/>
  <c r="AM44" i="17"/>
  <c r="AN44" i="17" s="1"/>
  <c r="AP44" i="17" s="1"/>
  <c r="AL44" i="17"/>
  <c r="AL35" i="17" s="1"/>
  <c r="AF44" i="17"/>
  <c r="AG44" i="17" s="1"/>
  <c r="AE44" i="17"/>
  <c r="Y44" i="17"/>
  <c r="X44" i="17"/>
  <c r="X35" i="17" s="1"/>
  <c r="Z35" i="17" s="1"/>
  <c r="S44" i="17"/>
  <c r="R44" i="17"/>
  <c r="Q44" i="17"/>
  <c r="Q35" i="17" s="1"/>
  <c r="S35" i="17" s="1"/>
  <c r="K44" i="17"/>
  <c r="J44" i="17"/>
  <c r="J35" i="17" s="1"/>
  <c r="L35" i="17" s="1"/>
  <c r="G44" i="17"/>
  <c r="F44" i="17"/>
  <c r="F35" i="17" s="1"/>
  <c r="C44" i="17"/>
  <c r="AM43" i="17"/>
  <c r="AF43" i="17"/>
  <c r="Y43" i="17"/>
  <c r="R43" i="17"/>
  <c r="K43" i="17"/>
  <c r="G43" i="17"/>
  <c r="C43" i="17"/>
  <c r="AF42" i="17"/>
  <c r="Y42" i="17"/>
  <c r="R42" i="17"/>
  <c r="C42" i="17"/>
  <c r="AM41" i="17"/>
  <c r="AF41" i="17"/>
  <c r="Y41" i="17"/>
  <c r="R41" i="17"/>
  <c r="K41" i="17"/>
  <c r="C41" i="17"/>
  <c r="AM39" i="17"/>
  <c r="AF39" i="17"/>
  <c r="Y39" i="17"/>
  <c r="R39" i="17"/>
  <c r="K39" i="17"/>
  <c r="C39" i="17"/>
  <c r="AM38" i="17"/>
  <c r="AF38" i="17"/>
  <c r="Y38" i="17"/>
  <c r="R38" i="17"/>
  <c r="K38" i="17"/>
  <c r="C38" i="17"/>
  <c r="AM36" i="17"/>
  <c r="AF36" i="17"/>
  <c r="Y36" i="17"/>
  <c r="R36" i="17"/>
  <c r="K36" i="17"/>
  <c r="G36" i="17"/>
  <c r="C36" i="17"/>
  <c r="AF35" i="17"/>
  <c r="AG35" i="17" s="1"/>
  <c r="AE35" i="17"/>
  <c r="Y35" i="17"/>
  <c r="R35" i="17"/>
  <c r="K35" i="17"/>
  <c r="C35" i="17"/>
  <c r="AM34" i="17"/>
  <c r="AF34" i="17"/>
  <c r="Y34" i="17"/>
  <c r="R34" i="17"/>
  <c r="K34" i="17"/>
  <c r="C34" i="17"/>
  <c r="AM33" i="17"/>
  <c r="AF33" i="17"/>
  <c r="Y33" i="17"/>
  <c r="R33" i="17"/>
  <c r="K33" i="17"/>
  <c r="G33" i="17"/>
  <c r="C33" i="17"/>
  <c r="AM32" i="17"/>
  <c r="AF32" i="17"/>
  <c r="Y32" i="17"/>
  <c r="R32" i="17"/>
  <c r="K32" i="17"/>
  <c r="G32" i="17"/>
  <c r="C32" i="17"/>
  <c r="AM31" i="17"/>
  <c r="AF31" i="17"/>
  <c r="Y31" i="17"/>
  <c r="R31" i="17"/>
  <c r="K31" i="17"/>
  <c r="G31" i="17"/>
  <c r="C31" i="17"/>
  <c r="AM30" i="17"/>
  <c r="AF30" i="17"/>
  <c r="Y30" i="17"/>
  <c r="R30" i="17"/>
  <c r="K30" i="17"/>
  <c r="G30" i="17"/>
  <c r="C30" i="17"/>
  <c r="AM28" i="17"/>
  <c r="AF28" i="17"/>
  <c r="Y28" i="17"/>
  <c r="R28" i="17"/>
  <c r="K28" i="17"/>
  <c r="G28" i="17"/>
  <c r="C28" i="17"/>
  <c r="AM27" i="17"/>
  <c r="AF27" i="17"/>
  <c r="Y27" i="17"/>
  <c r="R27" i="17"/>
  <c r="K27" i="17"/>
  <c r="G27" i="17"/>
  <c r="C27" i="17"/>
  <c r="AM26" i="17"/>
  <c r="AF26" i="17"/>
  <c r="Y26" i="17"/>
  <c r="R26" i="17"/>
  <c r="K26" i="17"/>
  <c r="G26" i="17"/>
  <c r="C26" i="17"/>
  <c r="AM25" i="17"/>
  <c r="AF25" i="17"/>
  <c r="Y25" i="17"/>
  <c r="R25" i="17"/>
  <c r="K25" i="17"/>
  <c r="G25" i="17"/>
  <c r="C25" i="17"/>
  <c r="AM24" i="17"/>
  <c r="AF24" i="17"/>
  <c r="Y24" i="17"/>
  <c r="R24" i="17"/>
  <c r="K24" i="17"/>
  <c r="G24" i="17"/>
  <c r="C24" i="17"/>
  <c r="AM23" i="17"/>
  <c r="AF23" i="17"/>
  <c r="Y23" i="17"/>
  <c r="R23" i="17"/>
  <c r="K23" i="17"/>
  <c r="G23" i="17"/>
  <c r="C23" i="17"/>
  <c r="AM22" i="17"/>
  <c r="AF22" i="17"/>
  <c r="Y22" i="17"/>
  <c r="R22" i="17"/>
  <c r="K22" i="17"/>
  <c r="G22" i="17"/>
  <c r="C22" i="17"/>
  <c r="AM21" i="17"/>
  <c r="AF21" i="17"/>
  <c r="Y21" i="17"/>
  <c r="V21" i="17"/>
  <c r="R21" i="17"/>
  <c r="S21" i="17" s="1"/>
  <c r="Q21" i="17"/>
  <c r="N21" i="17"/>
  <c r="L21" i="17"/>
  <c r="K21" i="17"/>
  <c r="J21" i="17"/>
  <c r="H21" i="17"/>
  <c r="G21" i="17"/>
  <c r="F21" i="17"/>
  <c r="C21" i="17"/>
  <c r="AM20" i="17"/>
  <c r="AF20" i="17"/>
  <c r="Y20" i="17"/>
  <c r="R20" i="17"/>
  <c r="K20" i="17"/>
  <c r="G20" i="17"/>
  <c r="C20" i="17"/>
  <c r="AM19" i="17"/>
  <c r="AF19" i="17"/>
  <c r="Y19" i="17"/>
  <c r="R19" i="17"/>
  <c r="K19" i="17"/>
  <c r="G19" i="17"/>
  <c r="C19" i="17"/>
  <c r="AM18" i="17"/>
  <c r="AF18" i="17"/>
  <c r="Y18" i="17"/>
  <c r="R18" i="17"/>
  <c r="K18" i="17"/>
  <c r="G18" i="17"/>
  <c r="C18" i="17"/>
  <c r="B18" i="17"/>
  <c r="AM17" i="17"/>
  <c r="AF17" i="17"/>
  <c r="Y17" i="17"/>
  <c r="R17" i="17"/>
  <c r="K17" i="17"/>
  <c r="G17" i="17"/>
  <c r="C17" i="17"/>
  <c r="B17" i="17"/>
  <c r="AM16" i="17"/>
  <c r="AF16" i="17"/>
  <c r="Y16" i="17"/>
  <c r="R16" i="17"/>
  <c r="K16" i="17"/>
  <c r="G16" i="17"/>
  <c r="C16" i="17"/>
  <c r="AM15" i="17"/>
  <c r="AF15" i="17"/>
  <c r="Y15" i="17"/>
  <c r="R15" i="17"/>
  <c r="K15" i="17"/>
  <c r="G15" i="17"/>
  <c r="C15" i="17"/>
  <c r="AP12" i="17"/>
  <c r="AI12" i="17"/>
  <c r="AB12" i="17"/>
  <c r="U12" i="17"/>
  <c r="N12" i="17"/>
  <c r="AQ11" i="17"/>
  <c r="AN11" i="17"/>
  <c r="AG11" i="17"/>
  <c r="AJ11" i="17" s="1"/>
  <c r="AC11" i="17"/>
  <c r="Z11" i="17"/>
  <c r="S11" i="17"/>
  <c r="V11" i="17" s="1"/>
  <c r="L11" i="17"/>
  <c r="O11" i="17" s="1"/>
  <c r="H11" i="17"/>
  <c r="S2" i="17"/>
  <c r="R47" i="17" s="1"/>
  <c r="S47" i="17" s="1"/>
  <c r="AL63" i="16"/>
  <c r="AM38" i="16" s="1"/>
  <c r="AE63" i="16"/>
  <c r="X63" i="16"/>
  <c r="Q63" i="16"/>
  <c r="R38" i="16" s="1"/>
  <c r="J63" i="16"/>
  <c r="F63" i="16"/>
  <c r="X59" i="16"/>
  <c r="F59" i="16"/>
  <c r="AL53" i="16"/>
  <c r="AE53" i="16"/>
  <c r="AE59" i="16" s="1"/>
  <c r="X53" i="16"/>
  <c r="Q53" i="16"/>
  <c r="J53" i="16"/>
  <c r="J59" i="16" s="1"/>
  <c r="F53" i="16"/>
  <c r="AL48" i="16"/>
  <c r="AE48" i="16"/>
  <c r="X48" i="16"/>
  <c r="Q48" i="16"/>
  <c r="J48" i="16"/>
  <c r="F48" i="16"/>
  <c r="C48" i="16"/>
  <c r="AL47" i="16"/>
  <c r="AE47" i="16"/>
  <c r="X47" i="16"/>
  <c r="Q47" i="16"/>
  <c r="J47" i="16"/>
  <c r="F47" i="16"/>
  <c r="C47" i="16"/>
  <c r="AM46" i="16"/>
  <c r="AN46" i="16" s="1"/>
  <c r="AL46" i="16"/>
  <c r="AF46" i="16"/>
  <c r="AG46" i="16" s="1"/>
  <c r="AE46" i="16"/>
  <c r="Y46" i="16"/>
  <c r="X46" i="16"/>
  <c r="Z46" i="16" s="1"/>
  <c r="R46" i="16"/>
  <c r="S46" i="16" s="1"/>
  <c r="Q46" i="16"/>
  <c r="K46" i="16"/>
  <c r="L46" i="16" s="1"/>
  <c r="J46" i="16"/>
  <c r="G46" i="16"/>
  <c r="H46" i="16" s="1"/>
  <c r="F46" i="16"/>
  <c r="C46" i="16"/>
  <c r="AM45" i="16"/>
  <c r="AN45" i="16" s="1"/>
  <c r="AL45" i="16"/>
  <c r="AG45" i="16"/>
  <c r="AF45" i="16"/>
  <c r="AE45" i="16"/>
  <c r="AE35" i="16" s="1"/>
  <c r="AG35" i="16" s="1"/>
  <c r="Y45" i="16"/>
  <c r="X45" i="16"/>
  <c r="R45" i="16"/>
  <c r="S45" i="16" s="1"/>
  <c r="Q45" i="16"/>
  <c r="N45" i="16"/>
  <c r="O45" i="16" s="1"/>
  <c r="K45" i="16"/>
  <c r="L45" i="16" s="1"/>
  <c r="J45" i="16"/>
  <c r="G45" i="16"/>
  <c r="H45" i="16" s="1"/>
  <c r="F45" i="16"/>
  <c r="C45" i="16"/>
  <c r="AN44" i="16"/>
  <c r="AP44" i="16" s="1"/>
  <c r="AM44" i="16"/>
  <c r="AL44" i="16"/>
  <c r="AL35" i="16" s="1"/>
  <c r="AF44" i="16"/>
  <c r="AE44" i="16"/>
  <c r="AG44" i="16" s="1"/>
  <c r="Y44" i="16"/>
  <c r="Z44" i="16" s="1"/>
  <c r="X44" i="16"/>
  <c r="U44" i="16"/>
  <c r="R44" i="16"/>
  <c r="S44" i="16" s="1"/>
  <c r="Q44" i="16"/>
  <c r="L44" i="16"/>
  <c r="K44" i="16"/>
  <c r="J44" i="16"/>
  <c r="G44" i="16"/>
  <c r="H44" i="16" s="1"/>
  <c r="F44" i="16"/>
  <c r="C44" i="16"/>
  <c r="AM43" i="16"/>
  <c r="AF43" i="16"/>
  <c r="Y43" i="16"/>
  <c r="R43" i="16"/>
  <c r="K43" i="16"/>
  <c r="G43" i="16"/>
  <c r="C43" i="16"/>
  <c r="AM42" i="16"/>
  <c r="AF42" i="16"/>
  <c r="Y42" i="16"/>
  <c r="R42" i="16"/>
  <c r="K42" i="16"/>
  <c r="G42" i="16"/>
  <c r="C42" i="16"/>
  <c r="AM41" i="16"/>
  <c r="AF41" i="16"/>
  <c r="Y41" i="16"/>
  <c r="K41" i="16"/>
  <c r="G41" i="16"/>
  <c r="C41" i="16"/>
  <c r="AF39" i="16"/>
  <c r="Y39" i="16"/>
  <c r="R39" i="16"/>
  <c r="G39" i="16"/>
  <c r="C39" i="16"/>
  <c r="AF38" i="16"/>
  <c r="Y38" i="16"/>
  <c r="K38" i="16"/>
  <c r="G38" i="16"/>
  <c r="C38" i="16"/>
  <c r="AM36" i="16"/>
  <c r="AF36" i="16"/>
  <c r="Y36" i="16"/>
  <c r="R36" i="16"/>
  <c r="K36" i="16"/>
  <c r="G36" i="16"/>
  <c r="C36" i="16"/>
  <c r="AM35" i="16"/>
  <c r="AN35" i="16" s="1"/>
  <c r="AF35" i="16"/>
  <c r="Y35" i="16"/>
  <c r="X35" i="16"/>
  <c r="Z35" i="16" s="1"/>
  <c r="R35" i="16"/>
  <c r="S35" i="16" s="1"/>
  <c r="Q35" i="16"/>
  <c r="K35" i="16"/>
  <c r="G35" i="16"/>
  <c r="F35" i="16"/>
  <c r="C35" i="16"/>
  <c r="AM34" i="16"/>
  <c r="AF34" i="16"/>
  <c r="Y34" i="16"/>
  <c r="G34" i="16"/>
  <c r="C34" i="16"/>
  <c r="AM33" i="16"/>
  <c r="AF33" i="16"/>
  <c r="Y33" i="16"/>
  <c r="R33" i="16"/>
  <c r="K33" i="16"/>
  <c r="G33" i="16"/>
  <c r="C33" i="16"/>
  <c r="AM32" i="16"/>
  <c r="AF32" i="16"/>
  <c r="Y32" i="16"/>
  <c r="R32" i="16"/>
  <c r="K32" i="16"/>
  <c r="G32" i="16"/>
  <c r="C32" i="16"/>
  <c r="AM31" i="16"/>
  <c r="AF31" i="16"/>
  <c r="Y31" i="16"/>
  <c r="R31" i="16"/>
  <c r="K31" i="16"/>
  <c r="G31" i="16"/>
  <c r="C31" i="16"/>
  <c r="AM30" i="16"/>
  <c r="AF30" i="16"/>
  <c r="Y30" i="16"/>
  <c r="R30" i="16"/>
  <c r="K30" i="16"/>
  <c r="G30" i="16"/>
  <c r="C30" i="16"/>
  <c r="AM28" i="16"/>
  <c r="AF28" i="16"/>
  <c r="Y28" i="16"/>
  <c r="R28" i="16"/>
  <c r="K28" i="16"/>
  <c r="G28" i="16"/>
  <c r="C28" i="16"/>
  <c r="AM27" i="16"/>
  <c r="AF27" i="16"/>
  <c r="Y27" i="16"/>
  <c r="R27" i="16"/>
  <c r="K27" i="16"/>
  <c r="G27" i="16"/>
  <c r="C27" i="16"/>
  <c r="AM26" i="16"/>
  <c r="AF26" i="16"/>
  <c r="Y26" i="16"/>
  <c r="R26" i="16"/>
  <c r="K26" i="16"/>
  <c r="G26" i="16"/>
  <c r="C26" i="16"/>
  <c r="AM25" i="16"/>
  <c r="AF25" i="16"/>
  <c r="Y25" i="16"/>
  <c r="R25" i="16"/>
  <c r="K25" i="16"/>
  <c r="G25" i="16"/>
  <c r="C25" i="16"/>
  <c r="AM24" i="16"/>
  <c r="AF24" i="16"/>
  <c r="Y24" i="16"/>
  <c r="R24" i="16"/>
  <c r="K24" i="16"/>
  <c r="G24" i="16"/>
  <c r="C24" i="16"/>
  <c r="AM23" i="16"/>
  <c r="AF23" i="16"/>
  <c r="Y23" i="16"/>
  <c r="R23" i="16"/>
  <c r="K23" i="16"/>
  <c r="G23" i="16"/>
  <c r="C23" i="16"/>
  <c r="AM22" i="16"/>
  <c r="AF22" i="16"/>
  <c r="Y22" i="16"/>
  <c r="R22" i="16"/>
  <c r="K22" i="16"/>
  <c r="G22" i="16"/>
  <c r="C22" i="16"/>
  <c r="AM21" i="16"/>
  <c r="AF21" i="16"/>
  <c r="AC21" i="16"/>
  <c r="Y21" i="16"/>
  <c r="S21" i="16"/>
  <c r="R21" i="16"/>
  <c r="Q21" i="16"/>
  <c r="K21" i="16"/>
  <c r="L21" i="16" s="1"/>
  <c r="J21" i="16"/>
  <c r="G21" i="16"/>
  <c r="H21" i="16" s="1"/>
  <c r="F21" i="16"/>
  <c r="C21" i="16"/>
  <c r="AM20" i="16"/>
  <c r="AF20" i="16"/>
  <c r="Y20" i="16"/>
  <c r="R20" i="16"/>
  <c r="K20" i="16"/>
  <c r="G20" i="16"/>
  <c r="C20" i="16"/>
  <c r="AM19" i="16"/>
  <c r="AF19" i="16"/>
  <c r="Y19" i="16"/>
  <c r="R19" i="16"/>
  <c r="K19" i="16"/>
  <c r="G19" i="16"/>
  <c r="C19" i="16"/>
  <c r="AM18" i="16"/>
  <c r="AF18" i="16"/>
  <c r="Y18" i="16"/>
  <c r="R18" i="16"/>
  <c r="K18" i="16"/>
  <c r="G18" i="16"/>
  <c r="B18" i="16"/>
  <c r="C18" i="16" s="1"/>
  <c r="AM17" i="16"/>
  <c r="AF17" i="16"/>
  <c r="Y17" i="16"/>
  <c r="R17" i="16"/>
  <c r="K17" i="16"/>
  <c r="G17" i="16"/>
  <c r="B17" i="16"/>
  <c r="C17" i="16" s="1"/>
  <c r="AM16" i="16"/>
  <c r="AF16" i="16"/>
  <c r="Y16" i="16"/>
  <c r="R16" i="16"/>
  <c r="K16" i="16"/>
  <c r="G16" i="16"/>
  <c r="C16" i="16"/>
  <c r="AM15" i="16"/>
  <c r="AF15" i="16"/>
  <c r="Y15" i="16"/>
  <c r="R15" i="16"/>
  <c r="K15" i="16"/>
  <c r="G15" i="16"/>
  <c r="C15" i="16"/>
  <c r="AP12" i="16"/>
  <c r="AI12" i="16"/>
  <c r="AB12" i="16"/>
  <c r="U12" i="16"/>
  <c r="N12" i="16"/>
  <c r="AQ11" i="16"/>
  <c r="AN11" i="16"/>
  <c r="AG11" i="16"/>
  <c r="AJ11" i="16" s="1"/>
  <c r="AC11" i="16"/>
  <c r="Z11" i="16"/>
  <c r="S11" i="16"/>
  <c r="V11" i="16" s="1"/>
  <c r="O11" i="16"/>
  <c r="L11" i="16"/>
  <c r="H11" i="16"/>
  <c r="S2" i="16"/>
  <c r="AL63" i="15"/>
  <c r="AM41" i="15" s="1"/>
  <c r="AE63" i="15"/>
  <c r="X63" i="15"/>
  <c r="Y38" i="15" s="1"/>
  <c r="Q63" i="15"/>
  <c r="J63" i="15"/>
  <c r="F63" i="15"/>
  <c r="AE59" i="15"/>
  <c r="J59" i="15"/>
  <c r="AL53" i="15"/>
  <c r="AL59" i="15" s="1"/>
  <c r="AE53" i="15"/>
  <c r="X53" i="15"/>
  <c r="Q53" i="15"/>
  <c r="Q59" i="15" s="1"/>
  <c r="J53" i="15"/>
  <c r="F53" i="15"/>
  <c r="AL48" i="15"/>
  <c r="AN48" i="15" s="1"/>
  <c r="AP48" i="15" s="1"/>
  <c r="AG48" i="15"/>
  <c r="AF48" i="15"/>
  <c r="AE48" i="15"/>
  <c r="Y48" i="15"/>
  <c r="Z48" i="15" s="1"/>
  <c r="X48" i="15"/>
  <c r="R48" i="15"/>
  <c r="Q48" i="15"/>
  <c r="K48" i="15"/>
  <c r="L48" i="15" s="1"/>
  <c r="J48" i="15"/>
  <c r="F48" i="15"/>
  <c r="C48" i="15"/>
  <c r="AM47" i="15"/>
  <c r="AL47" i="15"/>
  <c r="AF47" i="15"/>
  <c r="AG47" i="15" s="1"/>
  <c r="AE47" i="15"/>
  <c r="Y47" i="15"/>
  <c r="X47" i="15"/>
  <c r="R47" i="15"/>
  <c r="S47" i="15" s="1"/>
  <c r="Q47" i="15"/>
  <c r="K47" i="15"/>
  <c r="L47" i="15" s="1"/>
  <c r="J47" i="15"/>
  <c r="G47" i="15"/>
  <c r="H47" i="15" s="1"/>
  <c r="F47" i="15"/>
  <c r="C47" i="15"/>
  <c r="AM46" i="15"/>
  <c r="AN46" i="15" s="1"/>
  <c r="AL46" i="15"/>
  <c r="AF46" i="15"/>
  <c r="AE46" i="15"/>
  <c r="Y46" i="15"/>
  <c r="Z46" i="15" s="1"/>
  <c r="X46" i="15"/>
  <c r="R46" i="15"/>
  <c r="S46" i="15" s="1"/>
  <c r="Q46" i="15"/>
  <c r="N46" i="15"/>
  <c r="O46" i="15" s="1"/>
  <c r="K46" i="15"/>
  <c r="L46" i="15" s="1"/>
  <c r="J46" i="15"/>
  <c r="G46" i="15"/>
  <c r="H46" i="15" s="1"/>
  <c r="F46" i="15"/>
  <c r="C46" i="15"/>
  <c r="AM45" i="15"/>
  <c r="AL45" i="15"/>
  <c r="AL35" i="15" s="1"/>
  <c r="AL37" i="37" s="1"/>
  <c r="AF45" i="15"/>
  <c r="AG45" i="15" s="1"/>
  <c r="AE45" i="15"/>
  <c r="Y45" i="15"/>
  <c r="Z45" i="15" s="1"/>
  <c r="X45" i="15"/>
  <c r="R45" i="15"/>
  <c r="S45" i="15" s="1"/>
  <c r="Q45" i="15"/>
  <c r="Q35" i="15" s="1"/>
  <c r="Q37" i="37" s="1"/>
  <c r="L45" i="15"/>
  <c r="K45" i="15"/>
  <c r="J45" i="15"/>
  <c r="G45" i="15"/>
  <c r="F45" i="15"/>
  <c r="H45" i="15" s="1"/>
  <c r="C45" i="15"/>
  <c r="AN44" i="15"/>
  <c r="AP44" i="15" s="1"/>
  <c r="AQ44" i="15" s="1"/>
  <c r="AM44" i="15"/>
  <c r="AL44" i="15"/>
  <c r="AF44" i="15"/>
  <c r="AG44" i="15" s="1"/>
  <c r="AE44" i="15"/>
  <c r="Y44" i="15"/>
  <c r="Z44" i="15" s="1"/>
  <c r="X44" i="15"/>
  <c r="X35" i="15" s="1"/>
  <c r="X37" i="37" s="1"/>
  <c r="Z37" i="37" s="1"/>
  <c r="U44" i="15"/>
  <c r="V44" i="15" s="1"/>
  <c r="S44" i="15"/>
  <c r="R44" i="15"/>
  <c r="Q44" i="15"/>
  <c r="K44" i="15"/>
  <c r="L44" i="15" s="1"/>
  <c r="J44" i="15"/>
  <c r="J35" i="15" s="1"/>
  <c r="J37" i="37" s="1"/>
  <c r="G44" i="15"/>
  <c r="F44" i="15"/>
  <c r="F35" i="15" s="1"/>
  <c r="C44" i="15"/>
  <c r="AM43" i="15"/>
  <c r="AF43" i="15"/>
  <c r="Y43" i="15"/>
  <c r="R43" i="15"/>
  <c r="K43" i="15"/>
  <c r="G43" i="15"/>
  <c r="C43" i="15"/>
  <c r="AM42" i="15"/>
  <c r="AF42" i="15"/>
  <c r="Y42" i="15"/>
  <c r="R42" i="15"/>
  <c r="G42" i="15"/>
  <c r="C42" i="15"/>
  <c r="AF41" i="15"/>
  <c r="Y41" i="15"/>
  <c r="G41" i="15"/>
  <c r="C41" i="15"/>
  <c r="AM39" i="15"/>
  <c r="AF39" i="15"/>
  <c r="Y39" i="15"/>
  <c r="K39" i="15"/>
  <c r="G39" i="15"/>
  <c r="C39" i="15"/>
  <c r="AM38" i="15"/>
  <c r="AF38" i="15"/>
  <c r="R38" i="15"/>
  <c r="K38" i="15"/>
  <c r="G38" i="15"/>
  <c r="C38" i="15"/>
  <c r="AM36" i="15"/>
  <c r="AF36" i="15"/>
  <c r="Y36" i="15"/>
  <c r="R36" i="15"/>
  <c r="K36" i="15"/>
  <c r="G36" i="15"/>
  <c r="C36" i="15"/>
  <c r="AM35" i="15"/>
  <c r="AF35" i="15"/>
  <c r="AE35" i="15"/>
  <c r="Y35" i="15"/>
  <c r="R35" i="15"/>
  <c r="S35" i="15" s="1"/>
  <c r="G35" i="15"/>
  <c r="C35" i="15"/>
  <c r="AM34" i="15"/>
  <c r="AF34" i="15"/>
  <c r="Y34" i="15"/>
  <c r="K34" i="15"/>
  <c r="G34" i="15"/>
  <c r="C34" i="15"/>
  <c r="AM33" i="15"/>
  <c r="AF33" i="15"/>
  <c r="Y33" i="15"/>
  <c r="R33" i="15"/>
  <c r="K33" i="15"/>
  <c r="G33" i="15"/>
  <c r="C33" i="15"/>
  <c r="AM32" i="15"/>
  <c r="AF32" i="15"/>
  <c r="Y32" i="15"/>
  <c r="R32" i="15"/>
  <c r="K32" i="15"/>
  <c r="G32" i="15"/>
  <c r="C32" i="15"/>
  <c r="AM31" i="15"/>
  <c r="AF31" i="15"/>
  <c r="Y31" i="15"/>
  <c r="R31" i="15"/>
  <c r="K31" i="15"/>
  <c r="J31" i="15"/>
  <c r="L31" i="15" s="1"/>
  <c r="G31" i="15"/>
  <c r="C31" i="15"/>
  <c r="AM30" i="15"/>
  <c r="AF30" i="15"/>
  <c r="Y30" i="15"/>
  <c r="R30" i="15"/>
  <c r="K30" i="15"/>
  <c r="G30" i="15"/>
  <c r="C30" i="15"/>
  <c r="AM28" i="15"/>
  <c r="AF28" i="15"/>
  <c r="Y28" i="15"/>
  <c r="R28" i="15"/>
  <c r="K28" i="15"/>
  <c r="G28" i="15"/>
  <c r="C28" i="15"/>
  <c r="AM27" i="15"/>
  <c r="AF27" i="15"/>
  <c r="Y27" i="15"/>
  <c r="R27" i="15"/>
  <c r="K27" i="15"/>
  <c r="G27" i="15"/>
  <c r="C27" i="15"/>
  <c r="AM26" i="15"/>
  <c r="AF26" i="15"/>
  <c r="Y26" i="15"/>
  <c r="R26" i="15"/>
  <c r="K26" i="15"/>
  <c r="G26" i="15"/>
  <c r="C26" i="15"/>
  <c r="AM25" i="15"/>
  <c r="AF25" i="15"/>
  <c r="Y25" i="15"/>
  <c r="R25" i="15"/>
  <c r="K25" i="15"/>
  <c r="G25" i="15"/>
  <c r="C25" i="15"/>
  <c r="AM24" i="15"/>
  <c r="AF24" i="15"/>
  <c r="Y24" i="15"/>
  <c r="R24" i="15"/>
  <c r="K24" i="15"/>
  <c r="G24" i="15"/>
  <c r="C24" i="15"/>
  <c r="AM23" i="15"/>
  <c r="AF23" i="15"/>
  <c r="Y23" i="15"/>
  <c r="R23" i="15"/>
  <c r="K23" i="15"/>
  <c r="G23" i="15"/>
  <c r="C23" i="15"/>
  <c r="AM22" i="15"/>
  <c r="AF22" i="15"/>
  <c r="Y22" i="15"/>
  <c r="R22" i="15"/>
  <c r="K22" i="15"/>
  <c r="J22" i="15"/>
  <c r="G22" i="15"/>
  <c r="C22" i="15"/>
  <c r="AM21" i="15"/>
  <c r="AF21" i="15"/>
  <c r="AC21" i="15"/>
  <c r="Y21" i="15"/>
  <c r="R21" i="15"/>
  <c r="S21" i="15" s="1"/>
  <c r="Q21" i="15"/>
  <c r="K21" i="15"/>
  <c r="J21" i="15"/>
  <c r="H21" i="15"/>
  <c r="G21" i="15"/>
  <c r="F21" i="15"/>
  <c r="C21" i="15"/>
  <c r="AM20" i="15"/>
  <c r="AF20" i="15"/>
  <c r="Y20" i="15"/>
  <c r="R20" i="15"/>
  <c r="K20" i="15"/>
  <c r="G20" i="15"/>
  <c r="C20" i="15"/>
  <c r="AM19" i="15"/>
  <c r="AF19" i="15"/>
  <c r="Y19" i="15"/>
  <c r="R19" i="15"/>
  <c r="K19" i="15"/>
  <c r="G19" i="15"/>
  <c r="C19" i="15"/>
  <c r="AM18" i="15"/>
  <c r="AF18" i="15"/>
  <c r="Y18" i="15"/>
  <c r="R18" i="15"/>
  <c r="K18" i="15"/>
  <c r="G18" i="15"/>
  <c r="C18" i="15"/>
  <c r="B18" i="15"/>
  <c r="AM17" i="15"/>
  <c r="AF17" i="15"/>
  <c r="Y17" i="15"/>
  <c r="R17" i="15"/>
  <c r="K17" i="15"/>
  <c r="G17" i="15"/>
  <c r="C17" i="15"/>
  <c r="B17" i="15"/>
  <c r="AM16" i="15"/>
  <c r="AF16" i="15"/>
  <c r="Y16" i="15"/>
  <c r="R16" i="15"/>
  <c r="K16" i="15"/>
  <c r="G16" i="15"/>
  <c r="C16" i="15"/>
  <c r="AM15" i="15"/>
  <c r="AF15" i="15"/>
  <c r="Y15" i="15"/>
  <c r="R15" i="15"/>
  <c r="K15" i="15"/>
  <c r="G15" i="15"/>
  <c r="C15" i="15"/>
  <c r="AP12" i="15"/>
  <c r="AI12" i="15"/>
  <c r="AB12" i="15"/>
  <c r="U12" i="15"/>
  <c r="N12" i="15"/>
  <c r="AN11" i="15"/>
  <c r="AQ11" i="15" s="1"/>
  <c r="AJ11" i="15"/>
  <c r="AG11" i="15"/>
  <c r="AC11" i="15"/>
  <c r="Z11" i="15"/>
  <c r="S11" i="15"/>
  <c r="V11" i="15" s="1"/>
  <c r="L11" i="15"/>
  <c r="O11" i="15" s="1"/>
  <c r="H11" i="15"/>
  <c r="S2" i="15"/>
  <c r="AM48" i="15" s="1"/>
  <c r="AL63" i="14"/>
  <c r="AE63" i="14"/>
  <c r="X63" i="14"/>
  <c r="Y42" i="14" s="1"/>
  <c r="Q63" i="14"/>
  <c r="J63" i="14"/>
  <c r="K41" i="14" s="1"/>
  <c r="F63" i="14"/>
  <c r="X59" i="14"/>
  <c r="J59" i="14"/>
  <c r="AL53" i="14"/>
  <c r="AL59" i="14" s="1"/>
  <c r="AE53" i="14"/>
  <c r="X53" i="14"/>
  <c r="Q53" i="14"/>
  <c r="Q59" i="14" s="1"/>
  <c r="J53" i="14"/>
  <c r="F53" i="14"/>
  <c r="AL48" i="14"/>
  <c r="AE48" i="14"/>
  <c r="X48" i="14"/>
  <c r="Q48" i="14"/>
  <c r="J48" i="14"/>
  <c r="F48" i="14"/>
  <c r="C48" i="14"/>
  <c r="AL47" i="14"/>
  <c r="AE47" i="14"/>
  <c r="X47" i="14"/>
  <c r="R47" i="14"/>
  <c r="S47" i="14" s="1"/>
  <c r="Q47" i="14"/>
  <c r="J47" i="14"/>
  <c r="F47" i="14"/>
  <c r="C47" i="14"/>
  <c r="AM46" i="14"/>
  <c r="AL46" i="14"/>
  <c r="AN46" i="14" s="1"/>
  <c r="AF46" i="14"/>
  <c r="AE46" i="14"/>
  <c r="AG46" i="14" s="1"/>
  <c r="Y46" i="14"/>
  <c r="X46" i="14"/>
  <c r="R46" i="14"/>
  <c r="Q46" i="14"/>
  <c r="L46" i="14"/>
  <c r="K46" i="14"/>
  <c r="J46" i="14"/>
  <c r="G46" i="14"/>
  <c r="H46" i="14" s="1"/>
  <c r="F46" i="14"/>
  <c r="C46" i="14"/>
  <c r="AN45" i="14"/>
  <c r="AP45" i="14" s="1"/>
  <c r="AM45" i="14"/>
  <c r="AL45" i="14"/>
  <c r="AF45" i="14"/>
  <c r="AG45" i="14" s="1"/>
  <c r="AE45" i="14"/>
  <c r="Y45" i="14"/>
  <c r="Z45" i="14" s="1"/>
  <c r="X45" i="14"/>
  <c r="R45" i="14"/>
  <c r="S45" i="14" s="1"/>
  <c r="Q45" i="14"/>
  <c r="K45" i="14"/>
  <c r="L45" i="14" s="1"/>
  <c r="J45" i="14"/>
  <c r="G45" i="14"/>
  <c r="F45" i="14"/>
  <c r="H45" i="14" s="1"/>
  <c r="C45" i="14"/>
  <c r="AM44" i="14"/>
  <c r="AN44" i="14" s="1"/>
  <c r="AL44" i="14"/>
  <c r="AL35" i="14" s="1"/>
  <c r="AF44" i="14"/>
  <c r="AE44" i="14"/>
  <c r="Y44" i="14"/>
  <c r="Z44" i="14" s="1"/>
  <c r="X44" i="14"/>
  <c r="R44" i="14"/>
  <c r="Q44" i="14"/>
  <c r="Q35" i="14" s="1"/>
  <c r="S35" i="14" s="1"/>
  <c r="K44" i="14"/>
  <c r="L44" i="14" s="1"/>
  <c r="J44" i="14"/>
  <c r="J35" i="14" s="1"/>
  <c r="G44" i="14"/>
  <c r="F44" i="14"/>
  <c r="H44" i="14" s="1"/>
  <c r="C44" i="14"/>
  <c r="AM43" i="14"/>
  <c r="AF43" i="14"/>
  <c r="Y43" i="14"/>
  <c r="R43" i="14"/>
  <c r="K43" i="14"/>
  <c r="G43" i="14"/>
  <c r="C43" i="14"/>
  <c r="AM42" i="14"/>
  <c r="AF42" i="14"/>
  <c r="R42" i="14"/>
  <c r="K42" i="14"/>
  <c r="G42" i="14"/>
  <c r="C42" i="14"/>
  <c r="AM41" i="14"/>
  <c r="AF41" i="14"/>
  <c r="Y41" i="14"/>
  <c r="R41" i="14"/>
  <c r="C41" i="14"/>
  <c r="AM39" i="14"/>
  <c r="AF39" i="14"/>
  <c r="Y39" i="14"/>
  <c r="R39" i="14"/>
  <c r="K39" i="14"/>
  <c r="C39" i="14"/>
  <c r="AM38" i="14"/>
  <c r="AF38" i="14"/>
  <c r="Y38" i="14"/>
  <c r="R38" i="14"/>
  <c r="K38" i="14"/>
  <c r="G38" i="14"/>
  <c r="C38" i="14"/>
  <c r="AM36" i="14"/>
  <c r="AF36" i="14"/>
  <c r="Y36" i="14"/>
  <c r="R36" i="14"/>
  <c r="K36" i="14"/>
  <c r="G36" i="14"/>
  <c r="C36" i="14"/>
  <c r="AM35" i="14"/>
  <c r="AN35" i="14" s="1"/>
  <c r="AF35" i="14"/>
  <c r="Y35" i="14"/>
  <c r="Z35" i="14" s="1"/>
  <c r="X35" i="14"/>
  <c r="R35" i="14"/>
  <c r="K35" i="14"/>
  <c r="G35" i="14"/>
  <c r="F35" i="14"/>
  <c r="H35" i="14" s="1"/>
  <c r="C35" i="14"/>
  <c r="AM34" i="14"/>
  <c r="AF34" i="14"/>
  <c r="Y34" i="14"/>
  <c r="R34" i="14"/>
  <c r="K34" i="14"/>
  <c r="C34" i="14"/>
  <c r="AM33" i="14"/>
  <c r="AF33" i="14"/>
  <c r="Y33" i="14"/>
  <c r="R33" i="14"/>
  <c r="K33" i="14"/>
  <c r="G33" i="14"/>
  <c r="C33" i="14"/>
  <c r="AM32" i="14"/>
  <c r="AF32" i="14"/>
  <c r="Y32" i="14"/>
  <c r="R32" i="14"/>
  <c r="K32" i="14"/>
  <c r="G32" i="14"/>
  <c r="C32" i="14"/>
  <c r="AM31" i="14"/>
  <c r="AF31" i="14"/>
  <c r="Y31" i="14"/>
  <c r="R31" i="14"/>
  <c r="K31" i="14"/>
  <c r="G31" i="14"/>
  <c r="C31" i="14"/>
  <c r="X31" i="14" s="1"/>
  <c r="Z31" i="14" s="1"/>
  <c r="AM30" i="14"/>
  <c r="AF30" i="14"/>
  <c r="Y30" i="14"/>
  <c r="R30" i="14"/>
  <c r="K30" i="14"/>
  <c r="G30" i="14"/>
  <c r="C30" i="14"/>
  <c r="AM28" i="14"/>
  <c r="AF28" i="14"/>
  <c r="Y28" i="14"/>
  <c r="R28" i="14"/>
  <c r="K28" i="14"/>
  <c r="G28" i="14"/>
  <c r="C28" i="14"/>
  <c r="AM27" i="14"/>
  <c r="AF27" i="14"/>
  <c r="Y27" i="14"/>
  <c r="R27" i="14"/>
  <c r="K27" i="14"/>
  <c r="G27" i="14"/>
  <c r="C27" i="14"/>
  <c r="AM26" i="14"/>
  <c r="AF26" i="14"/>
  <c r="Y26" i="14"/>
  <c r="R26" i="14"/>
  <c r="K26" i="14"/>
  <c r="G26" i="14"/>
  <c r="C26" i="14"/>
  <c r="AM25" i="14"/>
  <c r="AF25" i="14"/>
  <c r="Y25" i="14"/>
  <c r="R25" i="14"/>
  <c r="K25" i="14"/>
  <c r="G25" i="14"/>
  <c r="C25" i="14"/>
  <c r="AM24" i="14"/>
  <c r="AF24" i="14"/>
  <c r="Y24" i="14"/>
  <c r="R24" i="14"/>
  <c r="K24" i="14"/>
  <c r="G24" i="14"/>
  <c r="C24" i="14"/>
  <c r="AM23" i="14"/>
  <c r="AF23" i="14"/>
  <c r="Y23" i="14"/>
  <c r="R23" i="14"/>
  <c r="K23" i="14"/>
  <c r="G23" i="14"/>
  <c r="C23" i="14"/>
  <c r="AM22" i="14"/>
  <c r="AF22" i="14"/>
  <c r="Y22" i="14"/>
  <c r="R22" i="14"/>
  <c r="K22" i="14"/>
  <c r="G22" i="14"/>
  <c r="C22" i="14"/>
  <c r="AM21" i="14"/>
  <c r="AF21" i="14"/>
  <c r="AC21" i="14"/>
  <c r="Y21" i="14"/>
  <c r="R21" i="14"/>
  <c r="Q21" i="14"/>
  <c r="S21" i="14" s="1"/>
  <c r="U21" i="14" s="1"/>
  <c r="L21" i="14"/>
  <c r="V21" i="14" s="1"/>
  <c r="K21" i="14"/>
  <c r="J21" i="14"/>
  <c r="H21" i="14"/>
  <c r="G21" i="14"/>
  <c r="F21" i="14"/>
  <c r="C21" i="14"/>
  <c r="AM20" i="14"/>
  <c r="AF20" i="14"/>
  <c r="Y20" i="14"/>
  <c r="R20" i="14"/>
  <c r="K20" i="14"/>
  <c r="G20" i="14"/>
  <c r="C20" i="14"/>
  <c r="AM19" i="14"/>
  <c r="AL19" i="14"/>
  <c r="AF19" i="14"/>
  <c r="Y19" i="14"/>
  <c r="R19" i="14"/>
  <c r="K19" i="14"/>
  <c r="G19" i="14"/>
  <c r="C19" i="14"/>
  <c r="AM18" i="14"/>
  <c r="AF18" i="14"/>
  <c r="Y18" i="14"/>
  <c r="R18" i="14"/>
  <c r="K18" i="14"/>
  <c r="G18" i="14"/>
  <c r="C18" i="14"/>
  <c r="B18" i="14"/>
  <c r="AM17" i="14"/>
  <c r="AF17" i="14"/>
  <c r="Y17" i="14"/>
  <c r="R17" i="14"/>
  <c r="K17" i="14"/>
  <c r="G17" i="14"/>
  <c r="C17" i="14"/>
  <c r="B17" i="14"/>
  <c r="AM16" i="14"/>
  <c r="AF16" i="14"/>
  <c r="Y16" i="14"/>
  <c r="R16" i="14"/>
  <c r="K16" i="14"/>
  <c r="G16" i="14"/>
  <c r="C16" i="14"/>
  <c r="AM15" i="14"/>
  <c r="AF15" i="14"/>
  <c r="Y15" i="14"/>
  <c r="R15" i="14"/>
  <c r="K15" i="14"/>
  <c r="G15" i="14"/>
  <c r="C15" i="14"/>
  <c r="AP12" i="14"/>
  <c r="AI12" i="14"/>
  <c r="AB12" i="14"/>
  <c r="U12" i="14"/>
  <c r="N12" i="14"/>
  <c r="AQ11" i="14"/>
  <c r="AN11" i="14"/>
  <c r="AG11" i="14"/>
  <c r="AJ11" i="14" s="1"/>
  <c r="AC11" i="14"/>
  <c r="Z11" i="14"/>
  <c r="S11" i="14"/>
  <c r="V11" i="14" s="1"/>
  <c r="O11" i="14"/>
  <c r="L11" i="14"/>
  <c r="H11" i="14"/>
  <c r="S2" i="14"/>
  <c r="G48" i="14" s="1"/>
  <c r="H48" i="14" s="1"/>
  <c r="AL63" i="13"/>
  <c r="AE63" i="13"/>
  <c r="AF41" i="13" s="1"/>
  <c r="X63" i="13"/>
  <c r="Y42" i="13" s="1"/>
  <c r="Q63" i="13"/>
  <c r="J63" i="13"/>
  <c r="F63" i="13"/>
  <c r="AL59" i="13"/>
  <c r="AE59" i="13"/>
  <c r="F59" i="13"/>
  <c r="AL53" i="13"/>
  <c r="AE53" i="13"/>
  <c r="X53" i="13"/>
  <c r="X59" i="13" s="1"/>
  <c r="Q53" i="13"/>
  <c r="J53" i="13"/>
  <c r="F53" i="13"/>
  <c r="AL48" i="13"/>
  <c r="AE48" i="13"/>
  <c r="Y48" i="13"/>
  <c r="X48" i="13"/>
  <c r="R48" i="13"/>
  <c r="Q48" i="13"/>
  <c r="J48" i="13"/>
  <c r="F48" i="13"/>
  <c r="C48" i="13"/>
  <c r="AL47" i="13"/>
  <c r="AE47" i="13"/>
  <c r="Z47" i="13"/>
  <c r="Y47" i="13"/>
  <c r="X47" i="13"/>
  <c r="Q47" i="13"/>
  <c r="J47" i="13"/>
  <c r="G47" i="13"/>
  <c r="H47" i="13" s="1"/>
  <c r="F47" i="13"/>
  <c r="C47" i="13"/>
  <c r="AM46" i="13"/>
  <c r="AL46" i="13"/>
  <c r="AG46" i="13"/>
  <c r="AI46" i="13" s="1"/>
  <c r="AF46" i="13"/>
  <c r="AE46" i="13"/>
  <c r="AB46" i="13"/>
  <c r="AC46" i="13" s="1"/>
  <c r="Y46" i="13"/>
  <c r="Z46" i="13" s="1"/>
  <c r="X46" i="13"/>
  <c r="V46" i="13"/>
  <c r="R46" i="13"/>
  <c r="Q46" i="13"/>
  <c r="S46" i="13" s="1"/>
  <c r="U46" i="13" s="1"/>
  <c r="L46" i="13"/>
  <c r="N46" i="13" s="1"/>
  <c r="K46" i="13"/>
  <c r="J46" i="13"/>
  <c r="G46" i="13"/>
  <c r="F46" i="13"/>
  <c r="H46" i="13" s="1"/>
  <c r="C46" i="13"/>
  <c r="AN45" i="13"/>
  <c r="AM45" i="13"/>
  <c r="AL45" i="13"/>
  <c r="AF45" i="13"/>
  <c r="AG45" i="13" s="1"/>
  <c r="AE45" i="13"/>
  <c r="Y45" i="13"/>
  <c r="X45" i="13"/>
  <c r="Z45" i="13" s="1"/>
  <c r="S45" i="13"/>
  <c r="R45" i="13"/>
  <c r="Q45" i="13"/>
  <c r="L45" i="13"/>
  <c r="K45" i="13"/>
  <c r="J45" i="13"/>
  <c r="G45" i="13"/>
  <c r="H45" i="13" s="1"/>
  <c r="F45" i="13"/>
  <c r="C45" i="13"/>
  <c r="AN44" i="13"/>
  <c r="AM44" i="13"/>
  <c r="AL44" i="13"/>
  <c r="AF44" i="13"/>
  <c r="AE44" i="13"/>
  <c r="AG44" i="13" s="1"/>
  <c r="Y44" i="13"/>
  <c r="Z44" i="13" s="1"/>
  <c r="AB44" i="13" s="1"/>
  <c r="X44" i="13"/>
  <c r="S44" i="13"/>
  <c r="R44" i="13"/>
  <c r="Q44" i="13"/>
  <c r="K44" i="13"/>
  <c r="J44" i="13"/>
  <c r="H44" i="13"/>
  <c r="G44" i="13"/>
  <c r="F44" i="13"/>
  <c r="C44" i="13"/>
  <c r="AM43" i="13"/>
  <c r="AF43" i="13"/>
  <c r="Y43" i="13"/>
  <c r="R43" i="13"/>
  <c r="K43" i="13"/>
  <c r="G43" i="13"/>
  <c r="C43" i="13"/>
  <c r="AM42" i="13"/>
  <c r="AF42" i="13"/>
  <c r="R42" i="13"/>
  <c r="G42" i="13"/>
  <c r="C42" i="13"/>
  <c r="AM41" i="13"/>
  <c r="Y41" i="13"/>
  <c r="R41" i="13"/>
  <c r="G41" i="13"/>
  <c r="C41" i="13"/>
  <c r="AM39" i="13"/>
  <c r="AF39" i="13"/>
  <c r="Y39" i="13"/>
  <c r="R39" i="13"/>
  <c r="C39" i="13"/>
  <c r="AM38" i="13"/>
  <c r="AF38" i="13"/>
  <c r="Y38" i="13"/>
  <c r="R38" i="13"/>
  <c r="C38" i="13"/>
  <c r="AM36" i="13"/>
  <c r="AF36" i="13"/>
  <c r="Y36" i="13"/>
  <c r="R36" i="13"/>
  <c r="K36" i="13"/>
  <c r="G36" i="13"/>
  <c r="C36" i="13"/>
  <c r="AM35" i="13"/>
  <c r="AF35" i="13"/>
  <c r="AG35" i="13" s="1"/>
  <c r="AE35" i="13"/>
  <c r="AC35" i="13"/>
  <c r="AB35" i="13"/>
  <c r="Y35" i="13"/>
  <c r="X35" i="13"/>
  <c r="Z35" i="13" s="1"/>
  <c r="S35" i="13"/>
  <c r="R35" i="13"/>
  <c r="Q35" i="13"/>
  <c r="C35" i="13"/>
  <c r="AM34" i="13"/>
  <c r="AF34" i="13"/>
  <c r="Y34" i="13"/>
  <c r="R34" i="13"/>
  <c r="C34" i="13"/>
  <c r="AM33" i="13"/>
  <c r="AF33" i="13"/>
  <c r="Y33" i="13"/>
  <c r="R33" i="13"/>
  <c r="K33" i="13"/>
  <c r="G33" i="13"/>
  <c r="C33" i="13"/>
  <c r="AM32" i="13"/>
  <c r="AF32" i="13"/>
  <c r="Y32" i="13"/>
  <c r="R32" i="13"/>
  <c r="K32" i="13"/>
  <c r="G32" i="13"/>
  <c r="C32" i="13"/>
  <c r="AM31" i="13"/>
  <c r="AF31" i="13"/>
  <c r="Y31" i="13"/>
  <c r="R31" i="13"/>
  <c r="K31" i="13"/>
  <c r="G31" i="13"/>
  <c r="C31" i="13"/>
  <c r="AM30" i="13"/>
  <c r="AF30" i="13"/>
  <c r="Y30" i="13"/>
  <c r="R30" i="13"/>
  <c r="K30" i="13"/>
  <c r="G30" i="13"/>
  <c r="C30" i="13"/>
  <c r="AM28" i="13"/>
  <c r="AF28" i="13"/>
  <c r="Y28" i="13"/>
  <c r="R28" i="13"/>
  <c r="K28" i="13"/>
  <c r="G28" i="13"/>
  <c r="C28" i="13"/>
  <c r="AM27" i="13"/>
  <c r="AF27" i="13"/>
  <c r="Y27" i="13"/>
  <c r="R27" i="13"/>
  <c r="K27" i="13"/>
  <c r="G27" i="13"/>
  <c r="C27" i="13"/>
  <c r="AM26" i="13"/>
  <c r="AF26" i="13"/>
  <c r="Y26" i="13"/>
  <c r="R26" i="13"/>
  <c r="K26" i="13"/>
  <c r="G26" i="13"/>
  <c r="C26" i="13"/>
  <c r="AM25" i="13"/>
  <c r="AF25" i="13"/>
  <c r="Y25" i="13"/>
  <c r="R25" i="13"/>
  <c r="K25" i="13"/>
  <c r="G25" i="13"/>
  <c r="C25" i="13"/>
  <c r="AM24" i="13"/>
  <c r="AF24" i="13"/>
  <c r="Y24" i="13"/>
  <c r="R24" i="13"/>
  <c r="K24" i="13"/>
  <c r="G24" i="13"/>
  <c r="C24" i="13"/>
  <c r="AM23" i="13"/>
  <c r="AF23" i="13"/>
  <c r="Y23" i="13"/>
  <c r="R23" i="13"/>
  <c r="K23" i="13"/>
  <c r="G23" i="13"/>
  <c r="C23" i="13"/>
  <c r="AM22" i="13"/>
  <c r="AF22" i="13"/>
  <c r="Y22" i="13"/>
  <c r="R22" i="13"/>
  <c r="K22" i="13"/>
  <c r="G22" i="13"/>
  <c r="C22" i="13"/>
  <c r="AM21" i="13"/>
  <c r="AF21" i="13"/>
  <c r="AC21" i="13"/>
  <c r="Y21" i="13"/>
  <c r="V21" i="13"/>
  <c r="U21" i="13"/>
  <c r="R21" i="13"/>
  <c r="Q21" i="13"/>
  <c r="S21" i="13" s="1"/>
  <c r="L21" i="13"/>
  <c r="N21" i="13" s="1"/>
  <c r="K21" i="13"/>
  <c r="J21" i="13"/>
  <c r="G21" i="13"/>
  <c r="F21" i="13"/>
  <c r="H21" i="13" s="1"/>
  <c r="C21" i="13"/>
  <c r="AM20" i="13"/>
  <c r="AF20" i="13"/>
  <c r="Y20" i="13"/>
  <c r="R20" i="13"/>
  <c r="K20" i="13"/>
  <c r="G20" i="13"/>
  <c r="C20" i="13"/>
  <c r="AM19" i="13"/>
  <c r="AF19" i="13"/>
  <c r="Y19" i="13"/>
  <c r="R19" i="13"/>
  <c r="K19" i="13"/>
  <c r="G19" i="13"/>
  <c r="C19" i="13"/>
  <c r="AM18" i="13"/>
  <c r="AF18" i="13"/>
  <c r="Y18" i="13"/>
  <c r="R18" i="13"/>
  <c r="K18" i="13"/>
  <c r="G18" i="13"/>
  <c r="C18" i="13"/>
  <c r="B18" i="13"/>
  <c r="AM17" i="13"/>
  <c r="AF17" i="13"/>
  <c r="Y17" i="13"/>
  <c r="R17" i="13"/>
  <c r="K17" i="13"/>
  <c r="G17" i="13"/>
  <c r="C17" i="13"/>
  <c r="B17" i="13"/>
  <c r="AM16" i="13"/>
  <c r="AF16" i="13"/>
  <c r="Y16" i="13"/>
  <c r="R16" i="13"/>
  <c r="K16" i="13"/>
  <c r="G16" i="13"/>
  <c r="C16" i="13"/>
  <c r="AM15" i="13"/>
  <c r="AF15" i="13"/>
  <c r="Y15" i="13"/>
  <c r="R15" i="13"/>
  <c r="K15" i="13"/>
  <c r="G15" i="13"/>
  <c r="C15" i="13"/>
  <c r="AP12" i="13"/>
  <c r="AI12" i="13"/>
  <c r="AB12" i="13"/>
  <c r="U12" i="13"/>
  <c r="N12" i="13"/>
  <c r="AN11" i="13"/>
  <c r="AQ11" i="13" s="1"/>
  <c r="AJ11" i="13"/>
  <c r="AG11" i="13"/>
  <c r="AC11" i="13"/>
  <c r="Z11" i="13"/>
  <c r="S11" i="13"/>
  <c r="V11" i="13" s="1"/>
  <c r="L11" i="13"/>
  <c r="O11" i="13" s="1"/>
  <c r="H11" i="13"/>
  <c r="S2" i="13"/>
  <c r="AF47" i="13" s="1"/>
  <c r="AG47" i="13" s="1"/>
  <c r="AL63" i="12"/>
  <c r="AE63" i="12"/>
  <c r="X63" i="12"/>
  <c r="Q63" i="12"/>
  <c r="J63" i="12"/>
  <c r="F63" i="12"/>
  <c r="AL59" i="12"/>
  <c r="AE59" i="12"/>
  <c r="X59" i="12"/>
  <c r="Q59" i="12"/>
  <c r="J59" i="12"/>
  <c r="AL53" i="12"/>
  <c r="AE53" i="12"/>
  <c r="X53" i="12"/>
  <c r="Q53" i="12"/>
  <c r="J53" i="12"/>
  <c r="F53" i="12"/>
  <c r="AL48" i="12"/>
  <c r="AE48" i="12"/>
  <c r="X48" i="12"/>
  <c r="R48" i="12"/>
  <c r="S48" i="12" s="1"/>
  <c r="AB48" i="12" s="1"/>
  <c r="Q48" i="12"/>
  <c r="K48" i="12"/>
  <c r="L48" i="12" s="1"/>
  <c r="J48" i="12"/>
  <c r="F48" i="12"/>
  <c r="C48" i="12"/>
  <c r="AL47" i="12"/>
  <c r="AE47" i="12"/>
  <c r="Y47" i="12"/>
  <c r="Z47" i="12" s="1"/>
  <c r="X47" i="12"/>
  <c r="R47" i="12"/>
  <c r="S47" i="12" s="1"/>
  <c r="Q47" i="12"/>
  <c r="J47" i="12"/>
  <c r="G47" i="12"/>
  <c r="H47" i="12" s="1"/>
  <c r="F47" i="12"/>
  <c r="C47" i="12"/>
  <c r="AN46" i="12"/>
  <c r="AM46" i="12"/>
  <c r="AL46" i="12"/>
  <c r="AF46" i="12"/>
  <c r="AE46" i="12"/>
  <c r="Y46" i="12"/>
  <c r="X46" i="12"/>
  <c r="R46" i="12"/>
  <c r="S46" i="12" s="1"/>
  <c r="Q46" i="12"/>
  <c r="K46" i="12"/>
  <c r="L46" i="12" s="1"/>
  <c r="J46" i="12"/>
  <c r="H46" i="12"/>
  <c r="G46" i="12"/>
  <c r="F46" i="12"/>
  <c r="C46" i="12"/>
  <c r="AM45" i="12"/>
  <c r="AL45" i="12"/>
  <c r="AF45" i="12"/>
  <c r="AE45" i="12"/>
  <c r="Y45" i="12"/>
  <c r="Z45" i="12" s="1"/>
  <c r="X45" i="12"/>
  <c r="R45" i="12"/>
  <c r="S45" i="12" s="1"/>
  <c r="Q45" i="12"/>
  <c r="K45" i="12"/>
  <c r="J45" i="12"/>
  <c r="L45" i="12" s="1"/>
  <c r="N45" i="12" s="1"/>
  <c r="G45" i="12"/>
  <c r="F45" i="12"/>
  <c r="H45" i="12" s="1"/>
  <c r="O45" i="12" s="1"/>
  <c r="C45" i="12"/>
  <c r="AM44" i="12"/>
  <c r="AL44" i="12"/>
  <c r="AL35" i="12" s="1"/>
  <c r="AF44" i="12"/>
  <c r="AG44" i="12" s="1"/>
  <c r="AE44" i="12"/>
  <c r="Y44" i="12"/>
  <c r="Z44" i="12" s="1"/>
  <c r="X44" i="12"/>
  <c r="R44" i="12"/>
  <c r="Q44" i="12"/>
  <c r="S44" i="12" s="1"/>
  <c r="K44" i="12"/>
  <c r="L44" i="12" s="1"/>
  <c r="J44" i="12"/>
  <c r="G44" i="12"/>
  <c r="F44" i="12"/>
  <c r="H44" i="12" s="1"/>
  <c r="C44" i="12"/>
  <c r="AM43" i="12"/>
  <c r="AF43" i="12"/>
  <c r="Y43" i="12"/>
  <c r="R43" i="12"/>
  <c r="K43" i="12"/>
  <c r="G43" i="12"/>
  <c r="C43" i="12"/>
  <c r="AM42" i="12"/>
  <c r="AF42" i="12"/>
  <c r="Y42" i="12"/>
  <c r="R42" i="12"/>
  <c r="C42" i="12"/>
  <c r="AM41" i="12"/>
  <c r="AF41" i="12"/>
  <c r="Y41" i="12"/>
  <c r="R41" i="12"/>
  <c r="C41" i="12"/>
  <c r="AM39" i="12"/>
  <c r="AF39" i="12"/>
  <c r="Y39" i="12"/>
  <c r="R39" i="12"/>
  <c r="K39" i="12"/>
  <c r="C39" i="12"/>
  <c r="AM38" i="12"/>
  <c r="AF38" i="12"/>
  <c r="Y38" i="12"/>
  <c r="R38" i="12"/>
  <c r="K38" i="12"/>
  <c r="C38" i="12"/>
  <c r="AM36" i="12"/>
  <c r="AF36" i="12"/>
  <c r="Y36" i="12"/>
  <c r="R36" i="12"/>
  <c r="K36" i="12"/>
  <c r="G36" i="12"/>
  <c r="C36" i="12"/>
  <c r="AM35" i="12"/>
  <c r="AF35" i="12"/>
  <c r="AG35" i="12" s="1"/>
  <c r="AE35" i="12"/>
  <c r="Y35" i="12"/>
  <c r="R35" i="12"/>
  <c r="J35" i="12"/>
  <c r="C35" i="12"/>
  <c r="AM34" i="12"/>
  <c r="AF34" i="12"/>
  <c r="Y34" i="12"/>
  <c r="R34" i="12"/>
  <c r="K34" i="12"/>
  <c r="C34" i="12"/>
  <c r="AM33" i="12"/>
  <c r="AF33" i="12"/>
  <c r="Y33" i="12"/>
  <c r="R33" i="12"/>
  <c r="K33" i="12"/>
  <c r="G33" i="12"/>
  <c r="C33" i="12"/>
  <c r="AM32" i="12"/>
  <c r="AF32" i="12"/>
  <c r="Y32" i="12"/>
  <c r="R32" i="12"/>
  <c r="K32" i="12"/>
  <c r="G32" i="12"/>
  <c r="C32" i="12"/>
  <c r="AM31" i="12"/>
  <c r="AF31" i="12"/>
  <c r="Y31" i="12"/>
  <c r="R31" i="12"/>
  <c r="Q31" i="12"/>
  <c r="S31" i="12" s="1"/>
  <c r="AC31" i="12" s="1"/>
  <c r="K31" i="12"/>
  <c r="G31" i="12"/>
  <c r="C31" i="12"/>
  <c r="AM30" i="12"/>
  <c r="AF30" i="12"/>
  <c r="Y30" i="12"/>
  <c r="R30" i="12"/>
  <c r="K30" i="12"/>
  <c r="G30" i="12"/>
  <c r="C30" i="12"/>
  <c r="AM28" i="12"/>
  <c r="AF28" i="12"/>
  <c r="Y28" i="12"/>
  <c r="R28" i="12"/>
  <c r="K28" i="12"/>
  <c r="G28" i="12"/>
  <c r="C28" i="12"/>
  <c r="AM27" i="12"/>
  <c r="AF27" i="12"/>
  <c r="Y27" i="12"/>
  <c r="R27" i="12"/>
  <c r="K27" i="12"/>
  <c r="G27" i="12"/>
  <c r="C27" i="12"/>
  <c r="AM26" i="12"/>
  <c r="AF26" i="12"/>
  <c r="Y26" i="12"/>
  <c r="R26" i="12"/>
  <c r="K26" i="12"/>
  <c r="G26" i="12"/>
  <c r="C26" i="12"/>
  <c r="AM25" i="12"/>
  <c r="AF25" i="12"/>
  <c r="Y25" i="12"/>
  <c r="R25" i="12"/>
  <c r="K25" i="12"/>
  <c r="G25" i="12"/>
  <c r="C25" i="12"/>
  <c r="AM24" i="12"/>
  <c r="AF24" i="12"/>
  <c r="Y24" i="12"/>
  <c r="R24" i="12"/>
  <c r="K24" i="12"/>
  <c r="G24" i="12"/>
  <c r="C24" i="12"/>
  <c r="AM23" i="12"/>
  <c r="AF23" i="12"/>
  <c r="Y23" i="12"/>
  <c r="R23" i="12"/>
  <c r="K23" i="12"/>
  <c r="G23" i="12"/>
  <c r="C23" i="12"/>
  <c r="AM22" i="12"/>
  <c r="AF22" i="12"/>
  <c r="Y22" i="12"/>
  <c r="R22" i="12"/>
  <c r="K22" i="12"/>
  <c r="G22" i="12"/>
  <c r="C22" i="12"/>
  <c r="AM21" i="12"/>
  <c r="AF21" i="12"/>
  <c r="Y21" i="12"/>
  <c r="R21" i="12"/>
  <c r="S21" i="12" s="1"/>
  <c r="Q21" i="12"/>
  <c r="K21" i="12"/>
  <c r="J21" i="12"/>
  <c r="G21" i="12"/>
  <c r="F21" i="12"/>
  <c r="H21" i="12" s="1"/>
  <c r="C21" i="12"/>
  <c r="AM20" i="12"/>
  <c r="AF20" i="12"/>
  <c r="Y20" i="12"/>
  <c r="R20" i="12"/>
  <c r="K20" i="12"/>
  <c r="G20" i="12"/>
  <c r="C20" i="12"/>
  <c r="AM19" i="12"/>
  <c r="AF19" i="12"/>
  <c r="Y19" i="12"/>
  <c r="R19" i="12"/>
  <c r="K19" i="12"/>
  <c r="G19" i="12"/>
  <c r="C19" i="12"/>
  <c r="AM18" i="12"/>
  <c r="AF18" i="12"/>
  <c r="Y18" i="12"/>
  <c r="R18" i="12"/>
  <c r="K18" i="12"/>
  <c r="G18" i="12"/>
  <c r="C18" i="12"/>
  <c r="B18" i="12"/>
  <c r="AM17" i="12"/>
  <c r="AF17" i="12"/>
  <c r="Y17" i="12"/>
  <c r="R17" i="12"/>
  <c r="K17" i="12"/>
  <c r="G17" i="12"/>
  <c r="C17" i="12"/>
  <c r="B17" i="12"/>
  <c r="AM16" i="12"/>
  <c r="AF16" i="12"/>
  <c r="Y16" i="12"/>
  <c r="R16" i="12"/>
  <c r="K16" i="12"/>
  <c r="G16" i="12"/>
  <c r="C16" i="12"/>
  <c r="AM15" i="12"/>
  <c r="AF15" i="12"/>
  <c r="Y15" i="12"/>
  <c r="R15" i="12"/>
  <c r="K15" i="12"/>
  <c r="G15" i="12"/>
  <c r="C15" i="12"/>
  <c r="AP12" i="12"/>
  <c r="AI12" i="12"/>
  <c r="AB12" i="12"/>
  <c r="U12" i="12"/>
  <c r="N12" i="12"/>
  <c r="AN11" i="12"/>
  <c r="AQ11" i="12" s="1"/>
  <c r="AG11" i="12"/>
  <c r="AJ11" i="12" s="1"/>
  <c r="Z11" i="12"/>
  <c r="AC11" i="12" s="1"/>
  <c r="V11" i="12"/>
  <c r="S11" i="12"/>
  <c r="L11" i="12"/>
  <c r="O11" i="12" s="1"/>
  <c r="H11" i="12"/>
  <c r="S2" i="12"/>
  <c r="Y48" i="12" s="1"/>
  <c r="Z48" i="12" s="1"/>
  <c r="AJ48" i="12" s="1"/>
  <c r="AL63" i="11"/>
  <c r="AM42" i="11" s="1"/>
  <c r="AE63" i="11"/>
  <c r="X63" i="11"/>
  <c r="Y39" i="11" s="1"/>
  <c r="Q63" i="11"/>
  <c r="J63" i="11"/>
  <c r="K41" i="11" s="1"/>
  <c r="F63" i="11"/>
  <c r="AL59" i="11"/>
  <c r="AE59" i="11"/>
  <c r="X59" i="11"/>
  <c r="J59" i="11"/>
  <c r="AL53" i="11"/>
  <c r="AE53" i="11"/>
  <c r="X53" i="11"/>
  <c r="Q53" i="11"/>
  <c r="Q59" i="11" s="1"/>
  <c r="J53" i="11"/>
  <c r="F53" i="11"/>
  <c r="AM48" i="11"/>
  <c r="AL48" i="11"/>
  <c r="AE48" i="11"/>
  <c r="X48" i="11"/>
  <c r="R48" i="11"/>
  <c r="S48" i="11" s="1"/>
  <c r="AC48" i="11" s="1"/>
  <c r="Q48" i="11"/>
  <c r="J48" i="11"/>
  <c r="F48" i="11"/>
  <c r="C48" i="11"/>
  <c r="AL47" i="11"/>
  <c r="AE47" i="11"/>
  <c r="X47" i="11"/>
  <c r="Q47" i="11"/>
  <c r="K47" i="11"/>
  <c r="L47" i="11" s="1"/>
  <c r="J47" i="11"/>
  <c r="F47" i="11"/>
  <c r="C47" i="11"/>
  <c r="AM46" i="11"/>
  <c r="AL46" i="11"/>
  <c r="AN46" i="11" s="1"/>
  <c r="AF46" i="11"/>
  <c r="AG46" i="11" s="1"/>
  <c r="AE46" i="11"/>
  <c r="Y46" i="11"/>
  <c r="Z46" i="11" s="1"/>
  <c r="X46" i="11"/>
  <c r="R46" i="11"/>
  <c r="Q46" i="11"/>
  <c r="S46" i="11" s="1"/>
  <c r="L46" i="11"/>
  <c r="K46" i="11"/>
  <c r="J46" i="11"/>
  <c r="H46" i="11"/>
  <c r="G46" i="11"/>
  <c r="F46" i="11"/>
  <c r="C46" i="11"/>
  <c r="AM45" i="11"/>
  <c r="AN45" i="11" s="1"/>
  <c r="AP45" i="11" s="1"/>
  <c r="AL45" i="11"/>
  <c r="AF45" i="11"/>
  <c r="AG45" i="11" s="1"/>
  <c r="AE45" i="11"/>
  <c r="Y45" i="11"/>
  <c r="Z45" i="11" s="1"/>
  <c r="AB45" i="11" s="1"/>
  <c r="X45" i="11"/>
  <c r="X35" i="11" s="1"/>
  <c r="S45" i="11"/>
  <c r="R45" i="11"/>
  <c r="Q45" i="11"/>
  <c r="K45" i="11"/>
  <c r="L45" i="11" s="1"/>
  <c r="J45" i="11"/>
  <c r="G45" i="11"/>
  <c r="F45" i="11"/>
  <c r="H45" i="11" s="1"/>
  <c r="C45" i="11"/>
  <c r="AM44" i="11"/>
  <c r="AN44" i="11" s="1"/>
  <c r="AL44" i="11"/>
  <c r="AF44" i="11"/>
  <c r="AE44" i="11"/>
  <c r="AE35" i="11" s="1"/>
  <c r="Z44" i="11"/>
  <c r="Y44" i="11"/>
  <c r="X44" i="11"/>
  <c r="R44" i="11"/>
  <c r="Q44" i="11"/>
  <c r="Q35" i="11" s="1"/>
  <c r="L44" i="11"/>
  <c r="K44" i="11"/>
  <c r="J44" i="11"/>
  <c r="G44" i="11"/>
  <c r="F44" i="11"/>
  <c r="H44" i="11" s="1"/>
  <c r="C44" i="11"/>
  <c r="AM43" i="11"/>
  <c r="AF43" i="11"/>
  <c r="Y43" i="11"/>
  <c r="R43" i="11"/>
  <c r="K43" i="11"/>
  <c r="G43" i="11"/>
  <c r="C43" i="11"/>
  <c r="Y42" i="11"/>
  <c r="K42" i="11"/>
  <c r="G42" i="11"/>
  <c r="C42" i="11"/>
  <c r="AM41" i="11"/>
  <c r="Y41" i="11"/>
  <c r="R41" i="11"/>
  <c r="C41" i="11"/>
  <c r="AM39" i="11"/>
  <c r="AF39" i="11"/>
  <c r="R39" i="11"/>
  <c r="K39" i="11"/>
  <c r="C39" i="11"/>
  <c r="AM38" i="11"/>
  <c r="Y38" i="11"/>
  <c r="R38" i="11"/>
  <c r="K38" i="11"/>
  <c r="G38" i="11"/>
  <c r="C38" i="11"/>
  <c r="AM36" i="11"/>
  <c r="AF36" i="11"/>
  <c r="Y36" i="11"/>
  <c r="R36" i="11"/>
  <c r="K36" i="11"/>
  <c r="G36" i="11"/>
  <c r="C36" i="11"/>
  <c r="AM35" i="11"/>
  <c r="AN35" i="11" s="1"/>
  <c r="AL35" i="11"/>
  <c r="Y35" i="11"/>
  <c r="Z35" i="11" s="1"/>
  <c r="K35" i="11"/>
  <c r="L35" i="11" s="1"/>
  <c r="J35" i="11"/>
  <c r="F35" i="11"/>
  <c r="C35" i="11"/>
  <c r="AM34" i="11"/>
  <c r="Y34" i="11"/>
  <c r="R34" i="11"/>
  <c r="K34" i="11"/>
  <c r="C34" i="11"/>
  <c r="AM33" i="11"/>
  <c r="AF33" i="11"/>
  <c r="Y33" i="11"/>
  <c r="R33" i="11"/>
  <c r="K33" i="11"/>
  <c r="G33" i="11"/>
  <c r="C33" i="11"/>
  <c r="AM32" i="11"/>
  <c r="AF32" i="11"/>
  <c r="Y32" i="11"/>
  <c r="R32" i="11"/>
  <c r="K32" i="11"/>
  <c r="G32" i="11"/>
  <c r="C32" i="11"/>
  <c r="AM31" i="11"/>
  <c r="AF31" i="11"/>
  <c r="Y31" i="11"/>
  <c r="R31" i="11"/>
  <c r="K31" i="11"/>
  <c r="G31" i="11"/>
  <c r="C31" i="11"/>
  <c r="AM30" i="11"/>
  <c r="AF30" i="11"/>
  <c r="Y30" i="11"/>
  <c r="R30" i="11"/>
  <c r="K30" i="11"/>
  <c r="G30" i="11"/>
  <c r="C30" i="11"/>
  <c r="AM28" i="11"/>
  <c r="AF28" i="11"/>
  <c r="Y28" i="11"/>
  <c r="R28" i="11"/>
  <c r="K28" i="11"/>
  <c r="G28" i="11"/>
  <c r="C28" i="11"/>
  <c r="AM27" i="11"/>
  <c r="AF27" i="11"/>
  <c r="Y27" i="11"/>
  <c r="R27" i="11"/>
  <c r="K27" i="11"/>
  <c r="G27" i="11"/>
  <c r="C27" i="11"/>
  <c r="AM26" i="11"/>
  <c r="AF26" i="11"/>
  <c r="Y26" i="11"/>
  <c r="R26" i="11"/>
  <c r="K26" i="11"/>
  <c r="G26" i="11"/>
  <c r="C26" i="11"/>
  <c r="AM25" i="11"/>
  <c r="AF25" i="11"/>
  <c r="Y25" i="11"/>
  <c r="R25" i="11"/>
  <c r="K25" i="11"/>
  <c r="G25" i="11"/>
  <c r="C25" i="11"/>
  <c r="AM24" i="11"/>
  <c r="AF24" i="11"/>
  <c r="Y24" i="11"/>
  <c r="R24" i="11"/>
  <c r="K24" i="11"/>
  <c r="G24" i="11"/>
  <c r="C24" i="11"/>
  <c r="AM23" i="11"/>
  <c r="AF23" i="11"/>
  <c r="Y23" i="11"/>
  <c r="R23" i="11"/>
  <c r="K23" i="11"/>
  <c r="G23" i="11"/>
  <c r="C23" i="11"/>
  <c r="AM22" i="11"/>
  <c r="AF22" i="11"/>
  <c r="Y22" i="11"/>
  <c r="R22" i="11"/>
  <c r="K22" i="11"/>
  <c r="G22" i="11"/>
  <c r="C22" i="11"/>
  <c r="AL22" i="11" s="1"/>
  <c r="AN22" i="11" s="1"/>
  <c r="AM21" i="11"/>
  <c r="AF21" i="11"/>
  <c r="Y21" i="11"/>
  <c r="R21" i="11"/>
  <c r="Q21" i="11"/>
  <c r="K21" i="11"/>
  <c r="L21" i="11" s="1"/>
  <c r="J21" i="11"/>
  <c r="H21" i="11"/>
  <c r="G21" i="11"/>
  <c r="F21" i="11"/>
  <c r="C21" i="11"/>
  <c r="AM20" i="11"/>
  <c r="AF20" i="11"/>
  <c r="Y20" i="11"/>
  <c r="R20" i="11"/>
  <c r="K20" i="11"/>
  <c r="G20" i="11"/>
  <c r="C20" i="11"/>
  <c r="AM19" i="11"/>
  <c r="AF19" i="11"/>
  <c r="Y19" i="11"/>
  <c r="R19" i="11"/>
  <c r="K19" i="11"/>
  <c r="G19" i="11"/>
  <c r="C19" i="11"/>
  <c r="AM18" i="11"/>
  <c r="AF18" i="11"/>
  <c r="Y18" i="11"/>
  <c r="R18" i="11"/>
  <c r="K18" i="11"/>
  <c r="G18" i="11"/>
  <c r="C18" i="11"/>
  <c r="B18" i="11"/>
  <c r="AM17" i="11"/>
  <c r="AF17" i="11"/>
  <c r="Y17" i="11"/>
  <c r="R17" i="11"/>
  <c r="K17" i="11"/>
  <c r="G17" i="11"/>
  <c r="C17" i="11"/>
  <c r="B17" i="11"/>
  <c r="AM16" i="11"/>
  <c r="AF16" i="11"/>
  <c r="Y16" i="11"/>
  <c r="R16" i="11"/>
  <c r="K16" i="11"/>
  <c r="G16" i="11"/>
  <c r="C16" i="11"/>
  <c r="AM15" i="11"/>
  <c r="AL15" i="11"/>
  <c r="AN15" i="11" s="1"/>
  <c r="AF15" i="11"/>
  <c r="Y15" i="11"/>
  <c r="R15" i="11"/>
  <c r="K15" i="11"/>
  <c r="G15" i="11"/>
  <c r="C15" i="11"/>
  <c r="X15" i="11" s="1"/>
  <c r="AP12" i="11"/>
  <c r="AI12" i="11"/>
  <c r="AB12" i="11"/>
  <c r="U12" i="11"/>
  <c r="N12" i="11"/>
  <c r="AN11" i="11"/>
  <c r="AQ11" i="11" s="1"/>
  <c r="AG11" i="11"/>
  <c r="AJ11" i="11" s="1"/>
  <c r="AC11" i="11"/>
  <c r="Z11" i="11"/>
  <c r="S11" i="11"/>
  <c r="V11" i="11" s="1"/>
  <c r="L11" i="11"/>
  <c r="O11" i="11" s="1"/>
  <c r="H11" i="11"/>
  <c r="S2" i="11"/>
  <c r="AL63" i="10"/>
  <c r="AM38" i="10" s="1"/>
  <c r="AE63" i="10"/>
  <c r="AF39" i="10" s="1"/>
  <c r="X63" i="10"/>
  <c r="Q63" i="10"/>
  <c r="R39" i="10" s="1"/>
  <c r="J63" i="10"/>
  <c r="F63" i="10"/>
  <c r="G38" i="10" s="1"/>
  <c r="F59" i="10"/>
  <c r="AL53" i="10"/>
  <c r="AL59" i="10" s="1"/>
  <c r="AE53" i="10"/>
  <c r="AE59" i="10" s="1"/>
  <c r="X53" i="10"/>
  <c r="X59" i="10" s="1"/>
  <c r="Q53" i="10"/>
  <c r="Q59" i="10" s="1"/>
  <c r="J53" i="10"/>
  <c r="J59" i="10" s="1"/>
  <c r="F53" i="10"/>
  <c r="AL48" i="10"/>
  <c r="AF48" i="10"/>
  <c r="AE48" i="10"/>
  <c r="X48" i="10"/>
  <c r="R48" i="10"/>
  <c r="S48" i="10" s="1"/>
  <c r="Q48" i="10"/>
  <c r="J48" i="10"/>
  <c r="F48" i="10"/>
  <c r="C48" i="10"/>
  <c r="AM47" i="10"/>
  <c r="AL47" i="10"/>
  <c r="AE47" i="10"/>
  <c r="Y47" i="10"/>
  <c r="Z47" i="10" s="1"/>
  <c r="X47" i="10"/>
  <c r="Q47" i="10"/>
  <c r="J47" i="10"/>
  <c r="F47" i="10"/>
  <c r="C47" i="10"/>
  <c r="AM46" i="10"/>
  <c r="AN46" i="10" s="1"/>
  <c r="AL46" i="10"/>
  <c r="AF46" i="10"/>
  <c r="AG46" i="10" s="1"/>
  <c r="AE46" i="10"/>
  <c r="AC46" i="10"/>
  <c r="AB46" i="10"/>
  <c r="Y46" i="10"/>
  <c r="Z46" i="10" s="1"/>
  <c r="X46" i="10"/>
  <c r="R46" i="10"/>
  <c r="Q46" i="10"/>
  <c r="S46" i="10" s="1"/>
  <c r="K46" i="10"/>
  <c r="L46" i="10" s="1"/>
  <c r="J46" i="10"/>
  <c r="G46" i="10"/>
  <c r="F46" i="10"/>
  <c r="H46" i="10" s="1"/>
  <c r="C46" i="10"/>
  <c r="AM45" i="10"/>
  <c r="AN45" i="10" s="1"/>
  <c r="AP45" i="10" s="1"/>
  <c r="AL45" i="10"/>
  <c r="AG45" i="10"/>
  <c r="AF45" i="10"/>
  <c r="AE45" i="10"/>
  <c r="Y45" i="10"/>
  <c r="X45" i="10"/>
  <c r="Z45" i="10" s="1"/>
  <c r="R45" i="10"/>
  <c r="S45" i="10" s="1"/>
  <c r="Q45" i="10"/>
  <c r="L45" i="10"/>
  <c r="K45" i="10"/>
  <c r="J45" i="10"/>
  <c r="G45" i="10"/>
  <c r="F45" i="10"/>
  <c r="C45" i="10"/>
  <c r="AN44" i="10"/>
  <c r="AP44" i="10" s="1"/>
  <c r="AQ44" i="10" s="1"/>
  <c r="AM44" i="10"/>
  <c r="AL44" i="10"/>
  <c r="AF44" i="10"/>
  <c r="AE44" i="10"/>
  <c r="AG44" i="10" s="1"/>
  <c r="Y44" i="10"/>
  <c r="X44" i="10"/>
  <c r="X35" i="10" s="1"/>
  <c r="Z35" i="10" s="1"/>
  <c r="S44" i="10"/>
  <c r="R44" i="10"/>
  <c r="Q44" i="10"/>
  <c r="K44" i="10"/>
  <c r="J44" i="10"/>
  <c r="J35" i="10" s="1"/>
  <c r="H44" i="10"/>
  <c r="G44" i="10"/>
  <c r="F44" i="10"/>
  <c r="C44" i="10"/>
  <c r="AM43" i="10"/>
  <c r="AF43" i="10"/>
  <c r="Y43" i="10"/>
  <c r="R43" i="10"/>
  <c r="K43" i="10"/>
  <c r="G43" i="10"/>
  <c r="C43" i="10"/>
  <c r="AM42" i="10"/>
  <c r="AF42" i="10"/>
  <c r="Y42" i="10"/>
  <c r="R42" i="10"/>
  <c r="G42" i="10"/>
  <c r="C42" i="10"/>
  <c r="AM41" i="10"/>
  <c r="AF41" i="10"/>
  <c r="Y41" i="10"/>
  <c r="R41" i="10"/>
  <c r="K41" i="10"/>
  <c r="G41" i="10"/>
  <c r="C41" i="10"/>
  <c r="AM39" i="10"/>
  <c r="Y39" i="10"/>
  <c r="G39" i="10"/>
  <c r="C39" i="10"/>
  <c r="AF38" i="10"/>
  <c r="Y38" i="10"/>
  <c r="R38" i="10"/>
  <c r="C38" i="10"/>
  <c r="AM36" i="10"/>
  <c r="AF36" i="10"/>
  <c r="Y36" i="10"/>
  <c r="R36" i="10"/>
  <c r="K36" i="10"/>
  <c r="G36" i="10"/>
  <c r="C36" i="10"/>
  <c r="AM35" i="10"/>
  <c r="AN35" i="10" s="1"/>
  <c r="AL35" i="10"/>
  <c r="AF35" i="10"/>
  <c r="Y35" i="10"/>
  <c r="R35" i="10"/>
  <c r="S35" i="10" s="1"/>
  <c r="Q35" i="10"/>
  <c r="G35" i="10"/>
  <c r="H35" i="10" s="1"/>
  <c r="F35" i="10"/>
  <c r="C35" i="10"/>
  <c r="AM34" i="10"/>
  <c r="Y34" i="10"/>
  <c r="R34" i="10"/>
  <c r="G34" i="10"/>
  <c r="C34" i="10"/>
  <c r="AM33" i="10"/>
  <c r="AF33" i="10"/>
  <c r="Y33" i="10"/>
  <c r="R33" i="10"/>
  <c r="K33" i="10"/>
  <c r="G33" i="10"/>
  <c r="C33" i="10"/>
  <c r="AM32" i="10"/>
  <c r="AF32" i="10"/>
  <c r="Y32" i="10"/>
  <c r="R32" i="10"/>
  <c r="K32" i="10"/>
  <c r="G32" i="10"/>
  <c r="C32" i="10"/>
  <c r="J32" i="10" s="1"/>
  <c r="AM31" i="10"/>
  <c r="AF31" i="10"/>
  <c r="Y31" i="10"/>
  <c r="R31" i="10"/>
  <c r="K31" i="10"/>
  <c r="G31" i="10"/>
  <c r="C31" i="10"/>
  <c r="AM30" i="10"/>
  <c r="AF30" i="10"/>
  <c r="Y30" i="10"/>
  <c r="R30" i="10"/>
  <c r="F11" i="3" s="1"/>
  <c r="K30" i="10"/>
  <c r="G30" i="10"/>
  <c r="C30" i="10"/>
  <c r="AM28" i="10"/>
  <c r="AF28" i="10"/>
  <c r="Y28" i="10"/>
  <c r="R28" i="10"/>
  <c r="K28" i="10"/>
  <c r="G28" i="10"/>
  <c r="C28" i="10"/>
  <c r="AM27" i="10"/>
  <c r="AF27" i="10"/>
  <c r="Y27" i="10"/>
  <c r="R27" i="10"/>
  <c r="K27" i="10"/>
  <c r="G27" i="10"/>
  <c r="C27" i="10"/>
  <c r="AM26" i="10"/>
  <c r="AF26" i="10"/>
  <c r="Y26" i="10"/>
  <c r="R26" i="10"/>
  <c r="K26" i="10"/>
  <c r="G26" i="10"/>
  <c r="C26" i="10"/>
  <c r="AM25" i="10"/>
  <c r="AF25" i="10"/>
  <c r="Y25" i="10"/>
  <c r="R25" i="10"/>
  <c r="K25" i="10"/>
  <c r="G25" i="10"/>
  <c r="C25" i="10"/>
  <c r="AM24" i="10"/>
  <c r="AF24" i="10"/>
  <c r="Y24" i="10"/>
  <c r="R24" i="10"/>
  <c r="K24" i="10"/>
  <c r="G24" i="10"/>
  <c r="C24" i="10"/>
  <c r="AM23" i="10"/>
  <c r="AF23" i="10"/>
  <c r="Y23" i="10"/>
  <c r="R23" i="10"/>
  <c r="K23" i="10"/>
  <c r="G23" i="10"/>
  <c r="C23" i="10"/>
  <c r="AM22" i="10"/>
  <c r="AF22" i="10"/>
  <c r="Y22" i="10"/>
  <c r="R22" i="10"/>
  <c r="K22" i="10"/>
  <c r="G22" i="10"/>
  <c r="H22" i="10" s="1"/>
  <c r="O22" i="10" s="1"/>
  <c r="F22" i="10"/>
  <c r="C22" i="10"/>
  <c r="AM21" i="10"/>
  <c r="AF21" i="10"/>
  <c r="AC21" i="10"/>
  <c r="Y21" i="10"/>
  <c r="R21" i="10"/>
  <c r="S21" i="10" s="1"/>
  <c r="Q21" i="10"/>
  <c r="L21" i="10"/>
  <c r="V21" i="10" s="1"/>
  <c r="K21" i="10"/>
  <c r="J21" i="10"/>
  <c r="H21" i="10"/>
  <c r="G21" i="10"/>
  <c r="F21" i="10"/>
  <c r="C21" i="10"/>
  <c r="AM20" i="10"/>
  <c r="AF20" i="10"/>
  <c r="Y20" i="10"/>
  <c r="R20" i="10"/>
  <c r="K20" i="10"/>
  <c r="G20" i="10"/>
  <c r="C20" i="10"/>
  <c r="AM19" i="10"/>
  <c r="AF19" i="10"/>
  <c r="Y19" i="10"/>
  <c r="R19" i="10"/>
  <c r="K19" i="10"/>
  <c r="G19" i="10"/>
  <c r="C19" i="10"/>
  <c r="AL19" i="10" s="1"/>
  <c r="AM18" i="10"/>
  <c r="AF18" i="10"/>
  <c r="Y18" i="10"/>
  <c r="R18" i="10"/>
  <c r="K18" i="10"/>
  <c r="G18" i="10"/>
  <c r="B18" i="10"/>
  <c r="C18" i="10" s="1"/>
  <c r="AM17" i="10"/>
  <c r="AF17" i="10"/>
  <c r="Y17" i="10"/>
  <c r="R17" i="10"/>
  <c r="K17" i="10"/>
  <c r="G17" i="10"/>
  <c r="C17" i="10"/>
  <c r="B17" i="10"/>
  <c r="AM16" i="10"/>
  <c r="AF16" i="10"/>
  <c r="Y16" i="10"/>
  <c r="R16" i="10"/>
  <c r="K16" i="10"/>
  <c r="G16" i="10"/>
  <c r="C16" i="10"/>
  <c r="AM15" i="10"/>
  <c r="AF15" i="10"/>
  <c r="Z15" i="10"/>
  <c r="Y15" i="10"/>
  <c r="X15" i="10"/>
  <c r="R15" i="10"/>
  <c r="L15" i="10"/>
  <c r="K15" i="10"/>
  <c r="J15" i="10"/>
  <c r="G15" i="10"/>
  <c r="C15" i="10"/>
  <c r="Q15" i="10" s="1"/>
  <c r="S15" i="10" s="1"/>
  <c r="U15" i="10" s="1"/>
  <c r="AP12" i="10"/>
  <c r="AI12" i="10"/>
  <c r="AB12" i="10"/>
  <c r="U12" i="10"/>
  <c r="N12" i="10"/>
  <c r="AQ11" i="10"/>
  <c r="AN11" i="10"/>
  <c r="AG11" i="10"/>
  <c r="AJ11" i="10" s="1"/>
  <c r="AC11" i="10"/>
  <c r="Z11" i="10"/>
  <c r="S11" i="10"/>
  <c r="V11" i="10" s="1"/>
  <c r="O11" i="10"/>
  <c r="L11" i="10"/>
  <c r="H11" i="10"/>
  <c r="S2" i="10"/>
  <c r="G48" i="10" s="1"/>
  <c r="H48" i="10" s="1"/>
  <c r="O48" i="10" s="1"/>
  <c r="AL63" i="9"/>
  <c r="AE63" i="9"/>
  <c r="X63" i="9"/>
  <c r="Q63" i="9"/>
  <c r="J63" i="9"/>
  <c r="F63" i="9"/>
  <c r="AE59" i="9"/>
  <c r="J59" i="9"/>
  <c r="F59" i="9"/>
  <c r="AL53" i="9"/>
  <c r="AL59" i="9" s="1"/>
  <c r="AE53" i="9"/>
  <c r="X53" i="9"/>
  <c r="X59" i="9" s="1"/>
  <c r="Q53" i="9"/>
  <c r="Q59" i="9" s="1"/>
  <c r="J53" i="9"/>
  <c r="F53" i="9"/>
  <c r="AN48" i="9"/>
  <c r="AP48" i="9" s="1"/>
  <c r="AM48" i="9"/>
  <c r="AL48" i="9"/>
  <c r="AG48" i="9"/>
  <c r="AQ48" i="9" s="1"/>
  <c r="AF48" i="9"/>
  <c r="AE48" i="9"/>
  <c r="Y48" i="9"/>
  <c r="X48" i="9"/>
  <c r="V48" i="9"/>
  <c r="U48" i="9"/>
  <c r="S48" i="9"/>
  <c r="AC48" i="9" s="1"/>
  <c r="R48" i="9"/>
  <c r="Q48" i="9"/>
  <c r="L48" i="9"/>
  <c r="K48" i="9"/>
  <c r="J48" i="9"/>
  <c r="G48" i="9"/>
  <c r="H48" i="9" s="1"/>
  <c r="F48" i="9"/>
  <c r="C48" i="9"/>
  <c r="AN47" i="9"/>
  <c r="AM47" i="9"/>
  <c r="AL47" i="9"/>
  <c r="AF47" i="9"/>
  <c r="AE47" i="9"/>
  <c r="Z47" i="9"/>
  <c r="Y47" i="9"/>
  <c r="X47" i="9"/>
  <c r="S47" i="9"/>
  <c r="R47" i="9"/>
  <c r="Q47" i="9"/>
  <c r="N47" i="9"/>
  <c r="K47" i="9"/>
  <c r="L47" i="9" s="1"/>
  <c r="J47" i="9"/>
  <c r="H47" i="9"/>
  <c r="G47" i="9"/>
  <c r="F47" i="9"/>
  <c r="C47" i="9"/>
  <c r="AM46" i="9"/>
  <c r="AL46" i="9"/>
  <c r="AL35" i="9" s="1"/>
  <c r="AF46" i="9"/>
  <c r="AG46" i="9" s="1"/>
  <c r="AE46" i="9"/>
  <c r="Z46" i="9"/>
  <c r="Y46" i="9"/>
  <c r="X46" i="9"/>
  <c r="R46" i="9"/>
  <c r="Q46" i="9"/>
  <c r="K46" i="9"/>
  <c r="L46" i="9" s="1"/>
  <c r="J46" i="9"/>
  <c r="G46" i="9"/>
  <c r="F46" i="9"/>
  <c r="H46" i="9" s="1"/>
  <c r="C46" i="9"/>
  <c r="AP45" i="9"/>
  <c r="AQ45" i="9" s="1"/>
  <c r="AN45" i="9"/>
  <c r="AM45" i="9"/>
  <c r="AL45" i="9"/>
  <c r="AG45" i="9"/>
  <c r="AF45" i="9"/>
  <c r="AE45" i="9"/>
  <c r="Y45" i="9"/>
  <c r="X45" i="9"/>
  <c r="R45" i="9"/>
  <c r="S45" i="9" s="1"/>
  <c r="Q45" i="9"/>
  <c r="K45" i="9"/>
  <c r="L45" i="9" s="1"/>
  <c r="J45" i="9"/>
  <c r="G45" i="9"/>
  <c r="H45" i="9" s="1"/>
  <c r="F45" i="9"/>
  <c r="C45" i="9"/>
  <c r="AN44" i="9"/>
  <c r="AM44" i="9"/>
  <c r="AL44" i="9"/>
  <c r="AF44" i="9"/>
  <c r="AG44" i="9" s="1"/>
  <c r="AI44" i="9" s="1"/>
  <c r="AE44" i="9"/>
  <c r="AE35" i="9" s="1"/>
  <c r="AG35" i="9" s="1"/>
  <c r="Y44" i="9"/>
  <c r="Z44" i="9" s="1"/>
  <c r="X44" i="9"/>
  <c r="R44" i="9"/>
  <c r="S44" i="9" s="1"/>
  <c r="Q44" i="9"/>
  <c r="Q35" i="9" s="1"/>
  <c r="L44" i="9"/>
  <c r="K44" i="9"/>
  <c r="J44" i="9"/>
  <c r="H44" i="9"/>
  <c r="G44" i="9"/>
  <c r="F44" i="9"/>
  <c r="C44" i="9"/>
  <c r="AM43" i="9"/>
  <c r="AF43" i="9"/>
  <c r="Y43" i="9"/>
  <c r="R43" i="9"/>
  <c r="K43" i="9"/>
  <c r="G43" i="9"/>
  <c r="C43" i="9"/>
  <c r="AF42" i="9"/>
  <c r="K42" i="9"/>
  <c r="G42" i="9"/>
  <c r="C42" i="9"/>
  <c r="AM41" i="9"/>
  <c r="AF41" i="9"/>
  <c r="R41" i="9"/>
  <c r="G41" i="9"/>
  <c r="C41" i="9"/>
  <c r="AF39" i="9"/>
  <c r="R39" i="9"/>
  <c r="G39" i="9"/>
  <c r="C39" i="9"/>
  <c r="AM38" i="9"/>
  <c r="AF38" i="9"/>
  <c r="Y38" i="9"/>
  <c r="G38" i="9"/>
  <c r="C38" i="9"/>
  <c r="AM36" i="9"/>
  <c r="AF36" i="9"/>
  <c r="Y36" i="9"/>
  <c r="R36" i="9"/>
  <c r="K36" i="9"/>
  <c r="G36" i="9"/>
  <c r="C36" i="9"/>
  <c r="AM35" i="9"/>
  <c r="AN35" i="9" s="1"/>
  <c r="AP35" i="9" s="1"/>
  <c r="AF35" i="9"/>
  <c r="Y35" i="9"/>
  <c r="X35" i="9"/>
  <c r="K35" i="9"/>
  <c r="L35" i="9" s="1"/>
  <c r="J35" i="9"/>
  <c r="G35" i="9"/>
  <c r="H35" i="9" s="1"/>
  <c r="F35" i="9"/>
  <c r="C35" i="9"/>
  <c r="AF34" i="9"/>
  <c r="R34" i="9"/>
  <c r="G34" i="9"/>
  <c r="C34" i="9"/>
  <c r="AM33" i="9"/>
  <c r="AF33" i="9"/>
  <c r="Y33" i="9"/>
  <c r="R33" i="9"/>
  <c r="K33" i="9"/>
  <c r="G33" i="9"/>
  <c r="C33" i="9"/>
  <c r="AM32" i="9"/>
  <c r="AF32" i="9"/>
  <c r="AC32" i="9"/>
  <c r="Y32" i="9"/>
  <c r="R32" i="9"/>
  <c r="K32" i="9"/>
  <c r="G32" i="9"/>
  <c r="C32" i="9"/>
  <c r="AL32" i="9" s="1"/>
  <c r="AN32" i="9" s="1"/>
  <c r="AM31" i="9"/>
  <c r="AF31" i="9"/>
  <c r="Y31" i="9"/>
  <c r="R31" i="9"/>
  <c r="K31" i="9"/>
  <c r="G31" i="9"/>
  <c r="F31" i="9"/>
  <c r="C31" i="9"/>
  <c r="J31" i="9" s="1"/>
  <c r="L31" i="9" s="1"/>
  <c r="AM30" i="9"/>
  <c r="AF30" i="9"/>
  <c r="Y30" i="9"/>
  <c r="R30" i="9"/>
  <c r="K30" i="9"/>
  <c r="G30" i="9"/>
  <c r="C30" i="9"/>
  <c r="AM28" i="9"/>
  <c r="AF28" i="9"/>
  <c r="Y28" i="9"/>
  <c r="R28" i="9"/>
  <c r="K28" i="9"/>
  <c r="G28" i="9"/>
  <c r="C28" i="9"/>
  <c r="F28" i="9" s="1"/>
  <c r="H28" i="9" s="1"/>
  <c r="O28" i="9" s="1"/>
  <c r="AM27" i="9"/>
  <c r="AF27" i="9"/>
  <c r="Y27" i="9"/>
  <c r="R27" i="9"/>
  <c r="K27" i="9"/>
  <c r="G27" i="9"/>
  <c r="C27" i="9"/>
  <c r="AM26" i="9"/>
  <c r="AF26" i="9"/>
  <c r="Y26" i="9"/>
  <c r="R26" i="9"/>
  <c r="K26" i="9"/>
  <c r="G26" i="9"/>
  <c r="C26" i="9"/>
  <c r="AM25" i="9"/>
  <c r="AF25" i="9"/>
  <c r="Y25" i="9"/>
  <c r="R25" i="9"/>
  <c r="K25" i="9"/>
  <c r="G25" i="9"/>
  <c r="C25" i="9"/>
  <c r="AM24" i="9"/>
  <c r="AF24" i="9"/>
  <c r="Y24" i="9"/>
  <c r="R24" i="9"/>
  <c r="K24" i="9"/>
  <c r="G24" i="9"/>
  <c r="C24" i="9"/>
  <c r="AM23" i="9"/>
  <c r="AF23" i="9"/>
  <c r="Y23" i="9"/>
  <c r="R23" i="9"/>
  <c r="K23" i="9"/>
  <c r="G23" i="9"/>
  <c r="C23" i="9"/>
  <c r="AM22" i="9"/>
  <c r="AF22" i="9"/>
  <c r="Y22" i="9"/>
  <c r="R22" i="9"/>
  <c r="Q22" i="9"/>
  <c r="K22" i="9"/>
  <c r="G22" i="9"/>
  <c r="C22" i="9"/>
  <c r="AM21" i="9"/>
  <c r="AF21" i="9"/>
  <c r="Y21" i="9"/>
  <c r="X21" i="9"/>
  <c r="V21" i="9"/>
  <c r="U21" i="9"/>
  <c r="S21" i="9"/>
  <c r="AC21" i="9" s="1"/>
  <c r="R21" i="9"/>
  <c r="Q21" i="9"/>
  <c r="L21" i="9"/>
  <c r="K21" i="9"/>
  <c r="J21" i="9"/>
  <c r="G21" i="9"/>
  <c r="H21" i="9" s="1"/>
  <c r="F21" i="9"/>
  <c r="C21" i="9"/>
  <c r="AE21" i="9" s="1"/>
  <c r="AG21" i="9" s="1"/>
  <c r="AQ21" i="9" s="1"/>
  <c r="AM20" i="9"/>
  <c r="AF20" i="9"/>
  <c r="Y20" i="9"/>
  <c r="R20" i="9"/>
  <c r="K20" i="9"/>
  <c r="G20" i="9"/>
  <c r="C20" i="9"/>
  <c r="AM19" i="9"/>
  <c r="AF19" i="9"/>
  <c r="Y19" i="9"/>
  <c r="R19" i="9"/>
  <c r="Q19" i="9"/>
  <c r="K19" i="9"/>
  <c r="G19" i="9"/>
  <c r="C19" i="9"/>
  <c r="AL19" i="9" s="1"/>
  <c r="AM18" i="9"/>
  <c r="AF18" i="9"/>
  <c r="Y18" i="9"/>
  <c r="R18" i="9"/>
  <c r="K18" i="9"/>
  <c r="G18" i="9"/>
  <c r="C18" i="9"/>
  <c r="B18" i="9"/>
  <c r="AM17" i="9"/>
  <c r="AF17" i="9"/>
  <c r="Y17" i="9"/>
  <c r="R17" i="9"/>
  <c r="K17" i="9"/>
  <c r="G17" i="9"/>
  <c r="B17" i="9"/>
  <c r="C17" i="9" s="1"/>
  <c r="AM16" i="9"/>
  <c r="AF16" i="9"/>
  <c r="Y16" i="9"/>
  <c r="R16" i="9"/>
  <c r="K16" i="9"/>
  <c r="G16" i="9"/>
  <c r="C16" i="9"/>
  <c r="AM15" i="9"/>
  <c r="AF15" i="9"/>
  <c r="AG15" i="9" s="1"/>
  <c r="AE15" i="9"/>
  <c r="Y15" i="9"/>
  <c r="R15" i="9"/>
  <c r="S15" i="9" s="1"/>
  <c r="Q15" i="9"/>
  <c r="L15" i="9"/>
  <c r="K15" i="9"/>
  <c r="J15" i="9"/>
  <c r="G15" i="9"/>
  <c r="C15" i="9"/>
  <c r="AL15" i="9" s="1"/>
  <c r="AN15" i="9" s="1"/>
  <c r="AP12" i="9"/>
  <c r="AI12" i="9"/>
  <c r="AB12" i="9"/>
  <c r="U12" i="9"/>
  <c r="N12" i="9"/>
  <c r="AQ11" i="9"/>
  <c r="AN11" i="9"/>
  <c r="AJ11" i="9"/>
  <c r="AG11" i="9"/>
  <c r="AC11" i="9"/>
  <c r="Z11" i="9"/>
  <c r="S11" i="9"/>
  <c r="V11" i="9" s="1"/>
  <c r="O11" i="9"/>
  <c r="L11" i="9"/>
  <c r="H11" i="9"/>
  <c r="J346" i="8"/>
  <c r="I346" i="8"/>
  <c r="H346" i="8"/>
  <c r="G346" i="8"/>
  <c r="F346" i="8"/>
  <c r="J331" i="8"/>
  <c r="I331" i="8"/>
  <c r="H331" i="8"/>
  <c r="G331" i="8"/>
  <c r="F331" i="8"/>
  <c r="J318" i="8"/>
  <c r="I318" i="8"/>
  <c r="H318" i="8"/>
  <c r="G318" i="8"/>
  <c r="F318" i="8"/>
  <c r="J298" i="8"/>
  <c r="I298" i="8"/>
  <c r="H298" i="8"/>
  <c r="G298" i="8"/>
  <c r="F298" i="8"/>
  <c r="B296" i="8"/>
  <c r="B295" i="8"/>
  <c r="B294" i="8"/>
  <c r="B293" i="8"/>
  <c r="B292" i="8"/>
  <c r="B291" i="8"/>
  <c r="B290" i="8"/>
  <c r="B289" i="8"/>
  <c r="B288" i="8"/>
  <c r="B287" i="8"/>
  <c r="B286" i="8"/>
  <c r="J285" i="8"/>
  <c r="I285" i="8"/>
  <c r="H285" i="8"/>
  <c r="G285" i="8"/>
  <c r="F285" i="8"/>
  <c r="B280" i="8"/>
  <c r="B279" i="8"/>
  <c r="B278" i="8"/>
  <c r="B277" i="8"/>
  <c r="B276" i="8"/>
  <c r="B275" i="8"/>
  <c r="B274" i="8"/>
  <c r="B273" i="8"/>
  <c r="J272" i="8"/>
  <c r="I272" i="8"/>
  <c r="H272" i="8"/>
  <c r="G272" i="8"/>
  <c r="F272" i="8"/>
  <c r="B270" i="8"/>
  <c r="B269" i="8"/>
  <c r="B268" i="8"/>
  <c r="B267" i="8"/>
  <c r="B266" i="8"/>
  <c r="B265" i="8"/>
  <c r="B264" i="8"/>
  <c r="B263" i="8"/>
  <c r="B262" i="8"/>
  <c r="B261" i="8"/>
  <c r="B260" i="8"/>
  <c r="J259" i="8"/>
  <c r="I259" i="8"/>
  <c r="H259" i="8"/>
  <c r="G259" i="8"/>
  <c r="F259" i="8"/>
  <c r="B255" i="8"/>
  <c r="B254" i="8"/>
  <c r="B253" i="8"/>
  <c r="B252" i="8"/>
  <c r="B251" i="8"/>
  <c r="B250" i="8"/>
  <c r="B249" i="8"/>
  <c r="J248" i="8"/>
  <c r="I248" i="8"/>
  <c r="H248" i="8"/>
  <c r="G248" i="8"/>
  <c r="F248" i="8"/>
  <c r="B246" i="8"/>
  <c r="B245" i="8"/>
  <c r="B244" i="8"/>
  <c r="B243" i="8"/>
  <c r="B242" i="8"/>
  <c r="B241" i="8"/>
  <c r="B240" i="8"/>
  <c r="B239" i="8"/>
  <c r="B238" i="8"/>
  <c r="B237" i="8"/>
  <c r="B236" i="8"/>
  <c r="J235" i="8"/>
  <c r="I235" i="8"/>
  <c r="H235" i="8"/>
  <c r="G235" i="8"/>
  <c r="F235" i="8"/>
  <c r="B232" i="8"/>
  <c r="B231" i="8"/>
  <c r="B230" i="8"/>
  <c r="B229" i="8"/>
  <c r="B228" i="8"/>
  <c r="B227" i="8"/>
  <c r="B226" i="8"/>
  <c r="B225" i="8"/>
  <c r="B224" i="8"/>
  <c r="B223" i="8"/>
  <c r="B222" i="8"/>
  <c r="J221" i="8"/>
  <c r="I221" i="8"/>
  <c r="H221" i="8"/>
  <c r="G221" i="8"/>
  <c r="F221" i="8"/>
  <c r="B219" i="8"/>
  <c r="B218" i="8"/>
  <c r="B217" i="8"/>
  <c r="B216" i="8"/>
  <c r="B215" i="8"/>
  <c r="B214" i="8"/>
  <c r="B213" i="8"/>
  <c r="B212" i="8"/>
  <c r="B211" i="8"/>
  <c r="B210" i="8"/>
  <c r="B209" i="8"/>
  <c r="J208" i="8"/>
  <c r="I208" i="8"/>
  <c r="H208" i="8"/>
  <c r="G208" i="8"/>
  <c r="F208" i="8"/>
  <c r="B206" i="8"/>
  <c r="B205" i="8"/>
  <c r="B204" i="8"/>
  <c r="B203" i="8"/>
  <c r="B202" i="8"/>
  <c r="B201" i="8"/>
  <c r="B200" i="8"/>
  <c r="B199" i="8"/>
  <c r="B198" i="8"/>
  <c r="B197" i="8"/>
  <c r="B196" i="8"/>
  <c r="J195" i="8"/>
  <c r="I195" i="8"/>
  <c r="H195" i="8"/>
  <c r="G195" i="8"/>
  <c r="F195" i="8"/>
  <c r="B193" i="8"/>
  <c r="B192" i="8"/>
  <c r="B191" i="8"/>
  <c r="B190" i="8"/>
  <c r="B189" i="8"/>
  <c r="B188" i="8"/>
  <c r="B187" i="8"/>
  <c r="B186" i="8"/>
  <c r="B185" i="8"/>
  <c r="B184" i="8"/>
  <c r="B183" i="8"/>
  <c r="J182" i="8"/>
  <c r="I182" i="8"/>
  <c r="H182" i="8"/>
  <c r="G182" i="8"/>
  <c r="F182" i="8"/>
  <c r="B180" i="8"/>
  <c r="B179" i="8"/>
  <c r="B178" i="8"/>
  <c r="B177" i="8"/>
  <c r="B176" i="8"/>
  <c r="B175" i="8"/>
  <c r="B174" i="8"/>
  <c r="B173" i="8"/>
  <c r="B172" i="8"/>
  <c r="B171" i="8"/>
  <c r="B170" i="8"/>
  <c r="J169" i="8"/>
  <c r="I169" i="8"/>
  <c r="H169" i="8"/>
  <c r="G169" i="8"/>
  <c r="F169" i="8"/>
  <c r="B166" i="8"/>
  <c r="B165" i="8"/>
  <c r="B164" i="8"/>
  <c r="B163" i="8"/>
  <c r="B162" i="8"/>
  <c r="B161" i="8"/>
  <c r="B160" i="8"/>
  <c r="B159" i="8"/>
  <c r="B158" i="8"/>
  <c r="B157" i="8"/>
  <c r="B156" i="8"/>
  <c r="J155" i="8"/>
  <c r="I155" i="8"/>
  <c r="H155" i="8"/>
  <c r="G155" i="8"/>
  <c r="F155" i="8"/>
  <c r="B152" i="8"/>
  <c r="B151" i="8"/>
  <c r="B150" i="8"/>
  <c r="B149" i="8"/>
  <c r="B148" i="8"/>
  <c r="B147" i="8"/>
  <c r="B146" i="8"/>
  <c r="B145" i="8"/>
  <c r="B144" i="8"/>
  <c r="B143" i="8"/>
  <c r="B142" i="8"/>
  <c r="J141" i="8"/>
  <c r="I141" i="8"/>
  <c r="H141" i="8"/>
  <c r="G141" i="8"/>
  <c r="F141" i="8"/>
  <c r="C139" i="8"/>
  <c r="B139" i="8" s="1"/>
  <c r="C138" i="8"/>
  <c r="B138" i="8" s="1"/>
  <c r="C137" i="8"/>
  <c r="B137" i="8" s="1"/>
  <c r="C136" i="8"/>
  <c r="B136" i="8"/>
  <c r="C135" i="8"/>
  <c r="B135" i="8"/>
  <c r="C134" i="8"/>
  <c r="B134" i="8" s="1"/>
  <c r="C133" i="8"/>
  <c r="B133" i="8" s="1"/>
  <c r="C132" i="8"/>
  <c r="B132" i="8" s="1"/>
  <c r="C131" i="8"/>
  <c r="B131" i="8" s="1"/>
  <c r="C130" i="8"/>
  <c r="B130" i="8"/>
  <c r="C129" i="8"/>
  <c r="B129" i="8"/>
  <c r="J128" i="8"/>
  <c r="I128" i="8"/>
  <c r="H128" i="8"/>
  <c r="G128" i="8"/>
  <c r="F128" i="8"/>
  <c r="C126" i="8"/>
  <c r="B126" i="8"/>
  <c r="C125" i="8"/>
  <c r="B125" i="8" s="1"/>
  <c r="C124" i="8"/>
  <c r="B124" i="8"/>
  <c r="C123" i="8"/>
  <c r="B123" i="8"/>
  <c r="C122" i="8"/>
  <c r="B122" i="8"/>
  <c r="C121" i="8"/>
  <c r="B121" i="8"/>
  <c r="C120" i="8"/>
  <c r="B120" i="8"/>
  <c r="C119" i="8"/>
  <c r="B119" i="8" s="1"/>
  <c r="C118" i="8"/>
  <c r="B118" i="8"/>
  <c r="C117" i="8"/>
  <c r="B117" i="8" s="1"/>
  <c r="C116" i="8"/>
  <c r="B116" i="8" s="1"/>
  <c r="B113" i="8"/>
  <c r="B112" i="8"/>
  <c r="B111" i="8"/>
  <c r="B110" i="8"/>
  <c r="B109" i="8"/>
  <c r="B108" i="8"/>
  <c r="B107" i="8"/>
  <c r="B106" i="8"/>
  <c r="B105" i="8"/>
  <c r="B104" i="8"/>
  <c r="B103" i="8"/>
  <c r="J102" i="8"/>
  <c r="I102" i="8"/>
  <c r="H102" i="8"/>
  <c r="G102" i="8"/>
  <c r="F102" i="8"/>
  <c r="B100" i="8"/>
  <c r="B99" i="8"/>
  <c r="B98" i="8"/>
  <c r="B97" i="8"/>
  <c r="B96" i="8"/>
  <c r="B95" i="8"/>
  <c r="B94" i="8"/>
  <c r="B93" i="8"/>
  <c r="B92" i="8"/>
  <c r="B91" i="8"/>
  <c r="B90" i="8"/>
  <c r="J89" i="8"/>
  <c r="I89" i="8"/>
  <c r="H89" i="8"/>
  <c r="G89" i="8"/>
  <c r="F89" i="8"/>
  <c r="B86" i="8"/>
  <c r="B85" i="8"/>
  <c r="B84" i="8"/>
  <c r="B83" i="8"/>
  <c r="B82" i="8"/>
  <c r="B81" i="8"/>
  <c r="B80" i="8"/>
  <c r="B79" i="8"/>
  <c r="B78" i="8"/>
  <c r="B77" i="8"/>
  <c r="B76" i="8"/>
  <c r="B71" i="8"/>
  <c r="B70" i="8"/>
  <c r="B69" i="8"/>
  <c r="B68" i="8"/>
  <c r="B67" i="8"/>
  <c r="B66" i="8"/>
  <c r="B65" i="8"/>
  <c r="B64" i="8"/>
  <c r="J63" i="8"/>
  <c r="I63" i="8"/>
  <c r="H63" i="8"/>
  <c r="G63" i="8"/>
  <c r="F63" i="8"/>
  <c r="B60" i="8"/>
  <c r="B59" i="8"/>
  <c r="B58" i="8"/>
  <c r="B57" i="8"/>
  <c r="B56" i="8"/>
  <c r="B55" i="8"/>
  <c r="B54" i="8"/>
  <c r="B53" i="8"/>
  <c r="B52" i="8"/>
  <c r="B51" i="8"/>
  <c r="J50" i="8"/>
  <c r="I50" i="8"/>
  <c r="H50" i="8"/>
  <c r="G50" i="8"/>
  <c r="F50" i="8"/>
  <c r="B47" i="8"/>
  <c r="B46" i="8"/>
  <c r="B45" i="8"/>
  <c r="B44" i="8"/>
  <c r="B43" i="8"/>
  <c r="B42" i="8"/>
  <c r="B41" i="8"/>
  <c r="B40" i="8"/>
  <c r="B39" i="8"/>
  <c r="B38" i="8"/>
  <c r="B37" i="8"/>
  <c r="J36" i="8"/>
  <c r="I36" i="8"/>
  <c r="H36" i="8"/>
  <c r="G36" i="8"/>
  <c r="F36" i="8"/>
  <c r="B31" i="8"/>
  <c r="B30" i="8"/>
  <c r="B29" i="8"/>
  <c r="B28" i="8"/>
  <c r="B27" i="8"/>
  <c r="B26" i="8"/>
  <c r="B25" i="8"/>
  <c r="B24" i="8"/>
  <c r="B23" i="8"/>
  <c r="B22" i="8"/>
  <c r="B21" i="8"/>
  <c r="J20" i="8"/>
  <c r="I20" i="8"/>
  <c r="H20" i="8"/>
  <c r="G20" i="8"/>
  <c r="F20" i="8"/>
  <c r="B18" i="8"/>
  <c r="B17" i="8"/>
  <c r="B16" i="8"/>
  <c r="B15" i="8"/>
  <c r="B14" i="8"/>
  <c r="X32" i="13" s="1"/>
  <c r="Z32" i="13" s="1"/>
  <c r="B13" i="8"/>
  <c r="B12" i="8"/>
  <c r="B11" i="8"/>
  <c r="B10" i="8"/>
  <c r="B9" i="8"/>
  <c r="Q32" i="9" s="1"/>
  <c r="S32" i="9" s="1"/>
  <c r="B8" i="8"/>
  <c r="J7" i="8"/>
  <c r="I7" i="8"/>
  <c r="H7" i="8"/>
  <c r="G7" i="8"/>
  <c r="F7" i="8"/>
  <c r="D526" i="7"/>
  <c r="D525" i="7"/>
  <c r="D524" i="7"/>
  <c r="D523" i="7"/>
  <c r="A519" i="7"/>
  <c r="A518" i="7"/>
  <c r="A517" i="7"/>
  <c r="A516" i="7"/>
  <c r="A515" i="7"/>
  <c r="A514" i="7"/>
  <c r="D512" i="7"/>
  <c r="D509" i="7"/>
  <c r="D508" i="7"/>
  <c r="D503" i="7"/>
  <c r="D502" i="7"/>
  <c r="D500" i="7"/>
  <c r="D499" i="7"/>
  <c r="D498" i="7"/>
  <c r="D497" i="7"/>
  <c r="D496" i="7"/>
  <c r="A483" i="7"/>
  <c r="A482" i="7"/>
  <c r="A481" i="7"/>
  <c r="A480" i="7"/>
  <c r="A479" i="7"/>
  <c r="A478" i="7"/>
  <c r="D476" i="7"/>
  <c r="D475" i="7"/>
  <c r="D474" i="7"/>
  <c r="D473" i="7"/>
  <c r="D472" i="7"/>
  <c r="D471" i="7"/>
  <c r="D468" i="7"/>
  <c r="D467" i="7"/>
  <c r="D466" i="7"/>
  <c r="D465" i="7"/>
  <c r="D464" i="7"/>
  <c r="D461" i="7"/>
  <c r="D460" i="7"/>
  <c r="D459" i="7"/>
  <c r="D458" i="7"/>
  <c r="D457" i="7"/>
  <c r="D456" i="7"/>
  <c r="D455" i="7"/>
  <c r="D454" i="7"/>
  <c r="D453" i="7"/>
  <c r="A441" i="7"/>
  <c r="A440" i="7"/>
  <c r="A439" i="7"/>
  <c r="A438" i="7"/>
  <c r="A437" i="7"/>
  <c r="A436" i="7"/>
  <c r="D431" i="7"/>
  <c r="A415" i="7"/>
  <c r="A414" i="7"/>
  <c r="A413" i="7"/>
  <c r="A412" i="7"/>
  <c r="A411" i="7"/>
  <c r="A410" i="7"/>
  <c r="D408" i="7"/>
  <c r="A392" i="7"/>
  <c r="A391" i="7"/>
  <c r="A390" i="7"/>
  <c r="A389" i="7"/>
  <c r="A388" i="7"/>
  <c r="A387" i="7"/>
  <c r="D385" i="7"/>
  <c r="A369" i="7"/>
  <c r="A368" i="7"/>
  <c r="A367" i="7"/>
  <c r="A366" i="7"/>
  <c r="A365" i="7"/>
  <c r="A364" i="7"/>
  <c r="D362" i="7"/>
  <c r="A346" i="7"/>
  <c r="A345" i="7"/>
  <c r="A344" i="7"/>
  <c r="A343" i="7"/>
  <c r="A342" i="7"/>
  <c r="A341" i="7"/>
  <c r="D339" i="7"/>
  <c r="D338" i="7"/>
  <c r="D336" i="7"/>
  <c r="D332" i="7"/>
  <c r="D331" i="7"/>
  <c r="D330" i="7"/>
  <c r="D329" i="7"/>
  <c r="D328" i="7"/>
  <c r="D327" i="7"/>
  <c r="D326" i="7"/>
  <c r="D325" i="7"/>
  <c r="D324" i="7"/>
  <c r="A308" i="7"/>
  <c r="A307" i="7"/>
  <c r="A306" i="7"/>
  <c r="A305" i="7"/>
  <c r="A304" i="7"/>
  <c r="A303" i="7"/>
  <c r="D301" i="7"/>
  <c r="D300" i="7"/>
  <c r="D298" i="7"/>
  <c r="D294" i="7"/>
  <c r="D293" i="7"/>
  <c r="D292" i="7"/>
  <c r="D291" i="7"/>
  <c r="D290" i="7"/>
  <c r="D289" i="7"/>
  <c r="D288" i="7"/>
  <c r="D287" i="7"/>
  <c r="A271" i="7"/>
  <c r="A270" i="7"/>
  <c r="A269" i="7"/>
  <c r="A268" i="7"/>
  <c r="A267" i="7"/>
  <c r="A266" i="7"/>
  <c r="D264" i="7"/>
  <c r="D263" i="7"/>
  <c r="D262" i="7"/>
  <c r="D261" i="7"/>
  <c r="A245" i="7"/>
  <c r="A244" i="7"/>
  <c r="A243" i="7"/>
  <c r="A242" i="7"/>
  <c r="A241" i="7"/>
  <c r="A240" i="7"/>
  <c r="D238" i="7"/>
  <c r="D237" i="7"/>
  <c r="D235" i="7"/>
  <c r="D231" i="7"/>
  <c r="D230" i="7"/>
  <c r="D229" i="7"/>
  <c r="D228" i="7"/>
  <c r="D227" i="7"/>
  <c r="D226" i="7"/>
  <c r="D225" i="7"/>
  <c r="D224" i="7"/>
  <c r="A208" i="7"/>
  <c r="A207" i="7"/>
  <c r="A206" i="7"/>
  <c r="A205" i="7"/>
  <c r="A204" i="7"/>
  <c r="A203" i="7"/>
  <c r="D201" i="7"/>
  <c r="D200" i="7"/>
  <c r="D199" i="7"/>
  <c r="D198" i="7"/>
  <c r="D194" i="7"/>
  <c r="D193" i="7"/>
  <c r="D192" i="7"/>
  <c r="D191" i="7"/>
  <c r="D190" i="7"/>
  <c r="D189" i="7"/>
  <c r="D188" i="7"/>
  <c r="D187" i="7"/>
  <c r="D186" i="7"/>
  <c r="A167" i="7"/>
  <c r="A166" i="7"/>
  <c r="A165" i="7"/>
  <c r="A164" i="7"/>
  <c r="A163" i="7"/>
  <c r="A162" i="7"/>
  <c r="D160" i="7"/>
  <c r="D159" i="7"/>
  <c r="D157" i="7"/>
  <c r="D153" i="7"/>
  <c r="D152" i="7"/>
  <c r="D151" i="7"/>
  <c r="D150" i="7"/>
  <c r="D149" i="7"/>
  <c r="D148" i="7"/>
  <c r="D147" i="7"/>
  <c r="D146" i="7"/>
  <c r="D145" i="7"/>
  <c r="D144" i="7"/>
  <c r="A125" i="7"/>
  <c r="A124" i="7"/>
  <c r="A123" i="7"/>
  <c r="A122" i="7"/>
  <c r="A121" i="7"/>
  <c r="A120" i="7"/>
  <c r="D118" i="7"/>
  <c r="D117" i="7"/>
  <c r="D115" i="7"/>
  <c r="D111" i="7"/>
  <c r="D110" i="7"/>
  <c r="D109" i="7"/>
  <c r="D108" i="7"/>
  <c r="D107" i="7"/>
  <c r="D106" i="7"/>
  <c r="D105" i="7"/>
  <c r="D104" i="7"/>
  <c r="D103" i="7"/>
  <c r="D102" i="7"/>
  <c r="A83" i="7"/>
  <c r="A82" i="7"/>
  <c r="A81" i="7"/>
  <c r="A80" i="7"/>
  <c r="A79" i="7"/>
  <c r="A78" i="7"/>
  <c r="D76" i="7"/>
  <c r="D75" i="7"/>
  <c r="D73" i="7"/>
  <c r="D69" i="7"/>
  <c r="D68" i="7"/>
  <c r="D67" i="7"/>
  <c r="D66" i="7"/>
  <c r="D65" i="7"/>
  <c r="D64" i="7"/>
  <c r="D63" i="7"/>
  <c r="D62" i="7"/>
  <c r="D61" i="7"/>
  <c r="D60" i="7"/>
  <c r="A44" i="7"/>
  <c r="A43" i="7"/>
  <c r="A42" i="7"/>
  <c r="A41" i="7"/>
  <c r="A40" i="7"/>
  <c r="A39" i="7"/>
  <c r="D37" i="7"/>
  <c r="D36" i="7"/>
  <c r="D35" i="7"/>
  <c r="D30" i="7"/>
  <c r="D29" i="7"/>
  <c r="D28" i="7"/>
  <c r="D27" i="7"/>
  <c r="D26" i="7"/>
  <c r="D25" i="7"/>
  <c r="D24" i="7"/>
  <c r="D23" i="7"/>
  <c r="D22" i="7"/>
  <c r="D526" i="6"/>
  <c r="D525" i="6"/>
  <c r="D524" i="6"/>
  <c r="D523" i="6"/>
  <c r="A519" i="6"/>
  <c r="A518" i="6"/>
  <c r="A517" i="6"/>
  <c r="A516" i="6"/>
  <c r="A515" i="6"/>
  <c r="A514" i="6"/>
  <c r="D512" i="6"/>
  <c r="D509" i="6"/>
  <c r="D508" i="6"/>
  <c r="D503" i="6"/>
  <c r="D502" i="6"/>
  <c r="D500" i="6"/>
  <c r="D499" i="6"/>
  <c r="D498" i="6"/>
  <c r="D497" i="6"/>
  <c r="D496" i="6"/>
  <c r="A483" i="6"/>
  <c r="A482" i="6"/>
  <c r="A481" i="6"/>
  <c r="A480" i="6"/>
  <c r="A479" i="6"/>
  <c r="A478" i="6"/>
  <c r="D476" i="6"/>
  <c r="D475" i="6"/>
  <c r="D474" i="6"/>
  <c r="D473" i="6"/>
  <c r="D472" i="6"/>
  <c r="D471" i="6"/>
  <c r="D468" i="6"/>
  <c r="D467" i="6"/>
  <c r="D466" i="6"/>
  <c r="D465" i="6"/>
  <c r="D464" i="6"/>
  <c r="D461" i="6"/>
  <c r="D460" i="6"/>
  <c r="D459" i="6"/>
  <c r="D458" i="6"/>
  <c r="D457" i="6"/>
  <c r="D456" i="6"/>
  <c r="D455" i="6"/>
  <c r="D454" i="6"/>
  <c r="D453" i="6"/>
  <c r="A441" i="6"/>
  <c r="A440" i="6"/>
  <c r="A439" i="6"/>
  <c r="A438" i="6"/>
  <c r="A437" i="6"/>
  <c r="A436" i="6"/>
  <c r="D431" i="6"/>
  <c r="A415" i="6"/>
  <c r="A414" i="6"/>
  <c r="A413" i="6"/>
  <c r="A412" i="6"/>
  <c r="A411" i="6"/>
  <c r="A410" i="6"/>
  <c r="D408" i="6"/>
  <c r="D385" i="6"/>
  <c r="A369" i="6"/>
  <c r="A368" i="6"/>
  <c r="A367" i="6"/>
  <c r="A366" i="6"/>
  <c r="A365" i="6"/>
  <c r="A364" i="6"/>
  <c r="D362" i="6"/>
  <c r="A346" i="6"/>
  <c r="A345" i="6"/>
  <c r="A344" i="6"/>
  <c r="A343" i="6"/>
  <c r="A342" i="6"/>
  <c r="A341" i="6"/>
  <c r="D339" i="6"/>
  <c r="D338" i="6"/>
  <c r="D336" i="6"/>
  <c r="D332" i="6"/>
  <c r="D331" i="6"/>
  <c r="D330" i="6"/>
  <c r="D329" i="6"/>
  <c r="D328" i="6"/>
  <c r="D327" i="6"/>
  <c r="D326" i="6"/>
  <c r="D325" i="6"/>
  <c r="D324" i="6"/>
  <c r="A308" i="6"/>
  <c r="A307" i="6"/>
  <c r="A306" i="6"/>
  <c r="A305" i="6"/>
  <c r="A304" i="6"/>
  <c r="A303" i="6"/>
  <c r="D301" i="6"/>
  <c r="D300" i="6"/>
  <c r="D298" i="6"/>
  <c r="D294" i="6"/>
  <c r="D293" i="6"/>
  <c r="D292" i="6"/>
  <c r="D291" i="6"/>
  <c r="D290" i="6"/>
  <c r="D289" i="6"/>
  <c r="D288" i="6"/>
  <c r="D287" i="6"/>
  <c r="A271" i="6"/>
  <c r="A270" i="6"/>
  <c r="A269" i="6"/>
  <c r="A268" i="6"/>
  <c r="A267" i="6"/>
  <c r="A266" i="6"/>
  <c r="D264" i="6"/>
  <c r="D263" i="6"/>
  <c r="D262" i="6"/>
  <c r="D261" i="6"/>
  <c r="A245" i="6"/>
  <c r="A244" i="6"/>
  <c r="A243" i="6"/>
  <c r="A242" i="6"/>
  <c r="A241" i="6"/>
  <c r="A240" i="6"/>
  <c r="D238" i="6"/>
  <c r="D237" i="6"/>
  <c r="D235" i="6"/>
  <c r="D231" i="6"/>
  <c r="D230" i="6"/>
  <c r="D229" i="6"/>
  <c r="D228" i="6"/>
  <c r="D227" i="6"/>
  <c r="D226" i="6"/>
  <c r="D225" i="6"/>
  <c r="D224" i="6"/>
  <c r="A208" i="6"/>
  <c r="A207" i="6"/>
  <c r="A206" i="6"/>
  <c r="A205" i="6"/>
  <c r="A204" i="6"/>
  <c r="A203" i="6"/>
  <c r="D201" i="6"/>
  <c r="D200" i="6"/>
  <c r="D199" i="6"/>
  <c r="D198" i="6"/>
  <c r="D194" i="6"/>
  <c r="D193" i="6"/>
  <c r="D192" i="6"/>
  <c r="D191" i="6"/>
  <c r="D190" i="6"/>
  <c r="D189" i="6"/>
  <c r="D188" i="6"/>
  <c r="D187" i="6"/>
  <c r="D186" i="6"/>
  <c r="A167" i="6"/>
  <c r="A166" i="6"/>
  <c r="A165" i="6"/>
  <c r="A164" i="6"/>
  <c r="A163" i="6"/>
  <c r="A162" i="6"/>
  <c r="D160" i="6"/>
  <c r="D159" i="6"/>
  <c r="D157" i="6"/>
  <c r="D153" i="6"/>
  <c r="D152" i="6"/>
  <c r="D151" i="6"/>
  <c r="D150" i="6"/>
  <c r="D149" i="6"/>
  <c r="D148" i="6"/>
  <c r="D147" i="6"/>
  <c r="D146" i="6"/>
  <c r="D145" i="6"/>
  <c r="D144" i="6"/>
  <c r="A125" i="6"/>
  <c r="A124" i="6"/>
  <c r="A123" i="6"/>
  <c r="A122" i="6"/>
  <c r="A121" i="6"/>
  <c r="A120" i="6"/>
  <c r="D118" i="6"/>
  <c r="D117" i="6"/>
  <c r="D115" i="6"/>
  <c r="D111" i="6"/>
  <c r="D110" i="6"/>
  <c r="D109" i="6"/>
  <c r="D108" i="6"/>
  <c r="D107" i="6"/>
  <c r="D106" i="6"/>
  <c r="D105" i="6"/>
  <c r="D104" i="6"/>
  <c r="D103" i="6"/>
  <c r="D102" i="6"/>
  <c r="A83" i="6"/>
  <c r="A82" i="6"/>
  <c r="A81" i="6"/>
  <c r="A80" i="6"/>
  <c r="A79" i="6"/>
  <c r="A78" i="6"/>
  <c r="D76" i="6"/>
  <c r="D75" i="6"/>
  <c r="D73" i="6"/>
  <c r="D69" i="6"/>
  <c r="D68" i="6"/>
  <c r="D67" i="6"/>
  <c r="D66" i="6"/>
  <c r="D65" i="6"/>
  <c r="D64" i="6"/>
  <c r="D63" i="6"/>
  <c r="D62" i="6"/>
  <c r="D61" i="6"/>
  <c r="D60" i="6"/>
  <c r="A44" i="6"/>
  <c r="A43" i="6"/>
  <c r="A42" i="6"/>
  <c r="A41" i="6"/>
  <c r="A40" i="6"/>
  <c r="A39" i="6"/>
  <c r="D37" i="6"/>
  <c r="D36" i="6"/>
  <c r="D35" i="6"/>
  <c r="D30" i="6"/>
  <c r="D29" i="6"/>
  <c r="D28" i="6"/>
  <c r="D27" i="6"/>
  <c r="D26" i="6"/>
  <c r="D25" i="6"/>
  <c r="D24" i="6"/>
  <c r="D23" i="6"/>
  <c r="D22" i="6"/>
  <c r="D525" i="5"/>
  <c r="D524" i="5"/>
  <c r="D523" i="5"/>
  <c r="D522" i="5"/>
  <c r="A518" i="5"/>
  <c r="A517" i="5"/>
  <c r="A516" i="5"/>
  <c r="A515" i="5"/>
  <c r="A514" i="5"/>
  <c r="A513" i="5"/>
  <c r="D511" i="5"/>
  <c r="D508" i="5"/>
  <c r="D507" i="5"/>
  <c r="D502" i="5"/>
  <c r="D501" i="5"/>
  <c r="D499" i="5"/>
  <c r="D498" i="5"/>
  <c r="D497" i="5"/>
  <c r="D496" i="5"/>
  <c r="D495" i="5"/>
  <c r="A483" i="5"/>
  <c r="A482" i="5"/>
  <c r="A481" i="5"/>
  <c r="A480" i="5"/>
  <c r="A479" i="5"/>
  <c r="A478" i="5"/>
  <c r="D476" i="5"/>
  <c r="D475" i="5"/>
  <c r="D474" i="5"/>
  <c r="D473" i="5"/>
  <c r="D472" i="5"/>
  <c r="D471" i="5"/>
  <c r="D468" i="5"/>
  <c r="D467" i="5"/>
  <c r="D466" i="5"/>
  <c r="D465" i="5"/>
  <c r="D464" i="5"/>
  <c r="D461" i="5"/>
  <c r="D460" i="5"/>
  <c r="D459" i="5"/>
  <c r="D458" i="5"/>
  <c r="D457" i="5"/>
  <c r="D456" i="5"/>
  <c r="D455" i="5"/>
  <c r="D454" i="5"/>
  <c r="D453" i="5"/>
  <c r="A441" i="5"/>
  <c r="A440" i="5"/>
  <c r="A439" i="5"/>
  <c r="A438" i="5"/>
  <c r="A437" i="5"/>
  <c r="A436" i="5"/>
  <c r="D431" i="5"/>
  <c r="A415" i="5"/>
  <c r="A414" i="5"/>
  <c r="A413" i="5"/>
  <c r="A412" i="5"/>
  <c r="A411" i="5"/>
  <c r="A410" i="5"/>
  <c r="D408" i="5"/>
  <c r="A392" i="5"/>
  <c r="A391" i="5"/>
  <c r="A390" i="5"/>
  <c r="A389" i="5"/>
  <c r="A388" i="5"/>
  <c r="A387" i="5"/>
  <c r="D385" i="5"/>
  <c r="A369" i="5"/>
  <c r="A368" i="5"/>
  <c r="A367" i="5"/>
  <c r="A366" i="5"/>
  <c r="A365" i="5"/>
  <c r="A364" i="5"/>
  <c r="D362" i="5"/>
  <c r="A346" i="5"/>
  <c r="A345" i="5"/>
  <c r="A344" i="5"/>
  <c r="A343" i="5"/>
  <c r="A342" i="5"/>
  <c r="A341" i="5"/>
  <c r="D339" i="5"/>
  <c r="D338" i="5"/>
  <c r="D336" i="5"/>
  <c r="D332" i="5"/>
  <c r="D331" i="5"/>
  <c r="D330" i="5"/>
  <c r="D329" i="5"/>
  <c r="D328" i="5"/>
  <c r="D327" i="5"/>
  <c r="D326" i="5"/>
  <c r="D325" i="5"/>
  <c r="D324" i="5"/>
  <c r="A308" i="5"/>
  <c r="A307" i="5"/>
  <c r="A306" i="5"/>
  <c r="A305" i="5"/>
  <c r="A304" i="5"/>
  <c r="A303" i="5"/>
  <c r="D301" i="5"/>
  <c r="D300" i="5"/>
  <c r="D298" i="5"/>
  <c r="D294" i="5"/>
  <c r="D293" i="5"/>
  <c r="D292" i="5"/>
  <c r="D291" i="5"/>
  <c r="D290" i="5"/>
  <c r="D289" i="5"/>
  <c r="D288" i="5"/>
  <c r="D287" i="5"/>
  <c r="A271" i="5"/>
  <c r="A270" i="5"/>
  <c r="A269" i="5"/>
  <c r="A268" i="5"/>
  <c r="A267" i="5"/>
  <c r="A266" i="5"/>
  <c r="D264" i="5"/>
  <c r="D263" i="5"/>
  <c r="D262" i="5"/>
  <c r="D261" i="5"/>
  <c r="A245" i="5"/>
  <c r="A244" i="5"/>
  <c r="A243" i="5"/>
  <c r="A242" i="5"/>
  <c r="A241" i="5"/>
  <c r="A240" i="5"/>
  <c r="D238" i="5"/>
  <c r="D237" i="5"/>
  <c r="D235" i="5"/>
  <c r="D231" i="5"/>
  <c r="D230" i="5"/>
  <c r="D229" i="5"/>
  <c r="D228" i="5"/>
  <c r="D227" i="5"/>
  <c r="D226" i="5"/>
  <c r="D225" i="5"/>
  <c r="D224" i="5"/>
  <c r="A208" i="5"/>
  <c r="A207" i="5"/>
  <c r="A206" i="5"/>
  <c r="A205" i="5"/>
  <c r="A204" i="5"/>
  <c r="A203" i="5"/>
  <c r="D201" i="5"/>
  <c r="D200" i="5"/>
  <c r="D199" i="5"/>
  <c r="D198" i="5"/>
  <c r="D194" i="5"/>
  <c r="D193" i="5"/>
  <c r="D192" i="5"/>
  <c r="D191" i="5"/>
  <c r="D190" i="5"/>
  <c r="D189" i="5"/>
  <c r="D188" i="5"/>
  <c r="D187" i="5"/>
  <c r="D186" i="5"/>
  <c r="A167" i="5"/>
  <c r="A166" i="5"/>
  <c r="A165" i="5"/>
  <c r="A164" i="5"/>
  <c r="A163" i="5"/>
  <c r="A162" i="5"/>
  <c r="D160" i="5"/>
  <c r="D159" i="5"/>
  <c r="D158" i="5"/>
  <c r="D157" i="5"/>
  <c r="D153" i="5"/>
  <c r="D152" i="5"/>
  <c r="D151" i="5"/>
  <c r="D150" i="5"/>
  <c r="D149" i="5"/>
  <c r="D148" i="5"/>
  <c r="D147" i="5"/>
  <c r="D146" i="5"/>
  <c r="D145" i="5"/>
  <c r="D144" i="5"/>
  <c r="A125" i="5"/>
  <c r="A124" i="5"/>
  <c r="A123" i="5"/>
  <c r="A122" i="5"/>
  <c r="A121" i="5"/>
  <c r="A120" i="5"/>
  <c r="D118" i="5"/>
  <c r="D117" i="5"/>
  <c r="D115" i="5"/>
  <c r="D111" i="5"/>
  <c r="D110" i="5"/>
  <c r="D109" i="5"/>
  <c r="D108" i="5"/>
  <c r="D107" i="5"/>
  <c r="D106" i="5"/>
  <c r="D105" i="5"/>
  <c r="D104" i="5"/>
  <c r="D103" i="5"/>
  <c r="D102" i="5"/>
  <c r="A83" i="5"/>
  <c r="A82" i="5"/>
  <c r="A81" i="5"/>
  <c r="A80" i="5"/>
  <c r="A79" i="5"/>
  <c r="A78" i="5"/>
  <c r="D76" i="5"/>
  <c r="D75" i="5"/>
  <c r="D73" i="5"/>
  <c r="D69" i="5"/>
  <c r="D68" i="5"/>
  <c r="D67" i="5"/>
  <c r="D66" i="5"/>
  <c r="D65" i="5"/>
  <c r="D64" i="5"/>
  <c r="D63" i="5"/>
  <c r="D62" i="5"/>
  <c r="D61" i="5"/>
  <c r="D60" i="5"/>
  <c r="A44" i="5"/>
  <c r="A43" i="5"/>
  <c r="A42" i="5"/>
  <c r="A41" i="5"/>
  <c r="A40" i="5"/>
  <c r="A39" i="5"/>
  <c r="D37" i="5"/>
  <c r="D36" i="5"/>
  <c r="D35" i="5"/>
  <c r="D30" i="5"/>
  <c r="D29" i="5"/>
  <c r="D28" i="5"/>
  <c r="D27" i="5"/>
  <c r="D26" i="5"/>
  <c r="D25" i="5"/>
  <c r="D24" i="5"/>
  <c r="D23" i="5"/>
  <c r="D22" i="5"/>
  <c r="D523" i="4"/>
  <c r="D522" i="4"/>
  <c r="D521" i="4"/>
  <c r="D520" i="4"/>
  <c r="A516" i="4"/>
  <c r="A515" i="4"/>
  <c r="A514" i="4"/>
  <c r="A513" i="4"/>
  <c r="A512" i="4"/>
  <c r="A511" i="4"/>
  <c r="D509" i="4"/>
  <c r="D506" i="4"/>
  <c r="D505" i="4"/>
  <c r="D500" i="4"/>
  <c r="D499" i="4"/>
  <c r="D497" i="4"/>
  <c r="D496" i="4"/>
  <c r="D495" i="4"/>
  <c r="D494" i="4"/>
  <c r="D493" i="4"/>
  <c r="A480" i="4"/>
  <c r="A479" i="4"/>
  <c r="A478" i="4"/>
  <c r="A477" i="4"/>
  <c r="A476" i="4"/>
  <c r="A475" i="4"/>
  <c r="D473" i="4"/>
  <c r="D472" i="4"/>
  <c r="D471" i="4"/>
  <c r="D470" i="4"/>
  <c r="D469" i="4"/>
  <c r="D468" i="4"/>
  <c r="D465" i="4"/>
  <c r="D464" i="4"/>
  <c r="D463" i="4"/>
  <c r="D462" i="4"/>
  <c r="D461" i="4"/>
  <c r="D458" i="4"/>
  <c r="D457" i="4"/>
  <c r="D456" i="4"/>
  <c r="D455" i="4"/>
  <c r="D454" i="4"/>
  <c r="D453" i="4"/>
  <c r="D452" i="4"/>
  <c r="D451" i="4"/>
  <c r="D450" i="4"/>
  <c r="A438" i="4"/>
  <c r="A437" i="4"/>
  <c r="A436" i="4"/>
  <c r="A435" i="4"/>
  <c r="A434" i="4"/>
  <c r="A433" i="4"/>
  <c r="D428" i="4"/>
  <c r="A412" i="4"/>
  <c r="A411" i="4"/>
  <c r="A410" i="4"/>
  <c r="A409" i="4"/>
  <c r="A408" i="4"/>
  <c r="A407" i="4"/>
  <c r="D405" i="4"/>
  <c r="A389" i="4"/>
  <c r="A388" i="4"/>
  <c r="A387" i="4"/>
  <c r="A386" i="4"/>
  <c r="A385" i="4"/>
  <c r="A384" i="4"/>
  <c r="D382" i="4"/>
  <c r="A366" i="4"/>
  <c r="A365" i="4"/>
  <c r="A364" i="4"/>
  <c r="A363" i="4"/>
  <c r="A362" i="4"/>
  <c r="A361" i="4"/>
  <c r="D359" i="4"/>
  <c r="A343" i="4"/>
  <c r="A342" i="4"/>
  <c r="A341" i="4"/>
  <c r="A340" i="4"/>
  <c r="A339" i="4"/>
  <c r="A338" i="4"/>
  <c r="D336" i="4"/>
  <c r="D335" i="4"/>
  <c r="D333" i="4"/>
  <c r="D329" i="4"/>
  <c r="D328" i="4"/>
  <c r="D327" i="4"/>
  <c r="D326" i="4"/>
  <c r="D325" i="4"/>
  <c r="D324" i="4"/>
  <c r="D323" i="4"/>
  <c r="D322" i="4"/>
  <c r="A306" i="4"/>
  <c r="A305" i="4"/>
  <c r="A304" i="4"/>
  <c r="A303" i="4"/>
  <c r="A302" i="4"/>
  <c r="A301" i="4"/>
  <c r="D299" i="4"/>
  <c r="D298" i="4"/>
  <c r="D297" i="4"/>
  <c r="D296" i="4"/>
  <c r="D292" i="4"/>
  <c r="D291" i="4"/>
  <c r="D290" i="4"/>
  <c r="D289" i="4"/>
  <c r="D288" i="4"/>
  <c r="D287" i="4"/>
  <c r="D286" i="4"/>
  <c r="D285" i="4"/>
  <c r="A269" i="4"/>
  <c r="A268" i="4"/>
  <c r="A267" i="4"/>
  <c r="A266" i="4"/>
  <c r="A265" i="4"/>
  <c r="A264" i="4"/>
  <c r="D262" i="4"/>
  <c r="D261" i="4"/>
  <c r="D260" i="4"/>
  <c r="D259" i="4"/>
  <c r="A243" i="4"/>
  <c r="A242" i="4"/>
  <c r="A241" i="4"/>
  <c r="A240" i="4"/>
  <c r="A239" i="4"/>
  <c r="A238" i="4"/>
  <c r="D236" i="4"/>
  <c r="D235" i="4"/>
  <c r="D233" i="4"/>
  <c r="D229" i="4"/>
  <c r="D228" i="4"/>
  <c r="D227" i="4"/>
  <c r="D226" i="4"/>
  <c r="D225" i="4"/>
  <c r="D224" i="4"/>
  <c r="D223" i="4"/>
  <c r="A207" i="4"/>
  <c r="A206" i="4"/>
  <c r="A205" i="4"/>
  <c r="A204" i="4"/>
  <c r="A203" i="4"/>
  <c r="A202" i="4"/>
  <c r="D200" i="4"/>
  <c r="D199" i="4"/>
  <c r="D197" i="4"/>
  <c r="D193" i="4"/>
  <c r="D192" i="4"/>
  <c r="D191" i="4"/>
  <c r="D190" i="4"/>
  <c r="D189" i="4"/>
  <c r="D188" i="4"/>
  <c r="D187" i="4"/>
  <c r="D186" i="4"/>
  <c r="A167" i="4"/>
  <c r="A166" i="4"/>
  <c r="A165" i="4"/>
  <c r="A164" i="4"/>
  <c r="A163" i="4"/>
  <c r="A162" i="4"/>
  <c r="D159" i="4"/>
  <c r="D158" i="4"/>
  <c r="D156" i="4"/>
  <c r="D152" i="4"/>
  <c r="D151" i="4"/>
  <c r="D150" i="4"/>
  <c r="D149" i="4"/>
  <c r="D148" i="4"/>
  <c r="D147" i="4"/>
  <c r="D146" i="4"/>
  <c r="D145" i="4"/>
  <c r="D144" i="4"/>
  <c r="A125" i="4"/>
  <c r="A124" i="4"/>
  <c r="A123" i="4"/>
  <c r="A122" i="4"/>
  <c r="A121" i="4"/>
  <c r="A120" i="4"/>
  <c r="D118" i="4"/>
  <c r="D117" i="4"/>
  <c r="D115" i="4"/>
  <c r="D111" i="4"/>
  <c r="D110" i="4"/>
  <c r="D109" i="4"/>
  <c r="D108" i="4"/>
  <c r="D107" i="4"/>
  <c r="D106" i="4"/>
  <c r="D105" i="4"/>
  <c r="D104" i="4"/>
  <c r="D103" i="4"/>
  <c r="D102" i="4"/>
  <c r="D101" i="4"/>
  <c r="A82" i="4"/>
  <c r="A81" i="4"/>
  <c r="A80" i="4"/>
  <c r="A79" i="4"/>
  <c r="A78" i="4"/>
  <c r="A77" i="4"/>
  <c r="D75" i="4"/>
  <c r="D74" i="4"/>
  <c r="D72" i="4"/>
  <c r="D68" i="4"/>
  <c r="D67" i="4"/>
  <c r="D66" i="4"/>
  <c r="D65" i="4"/>
  <c r="D64" i="4"/>
  <c r="D63" i="4"/>
  <c r="D62" i="4"/>
  <c r="D61" i="4"/>
  <c r="D60" i="4"/>
  <c r="A44" i="4"/>
  <c r="A43" i="4"/>
  <c r="A42" i="4"/>
  <c r="A41" i="4"/>
  <c r="A40" i="4"/>
  <c r="A39" i="4"/>
  <c r="D37" i="4"/>
  <c r="D36" i="4"/>
  <c r="D35" i="4"/>
  <c r="D30" i="4"/>
  <c r="D29" i="4"/>
  <c r="D28" i="4"/>
  <c r="D27" i="4"/>
  <c r="D26" i="4"/>
  <c r="D25" i="4"/>
  <c r="D24" i="4"/>
  <c r="D23" i="4"/>
  <c r="D22" i="4"/>
  <c r="U55" i="3"/>
  <c r="N55" i="3"/>
  <c r="S55" i="3" s="1"/>
  <c r="L55" i="3"/>
  <c r="AB54" i="3"/>
  <c r="AA54" i="3"/>
  <c r="X54" i="3"/>
  <c r="W54" i="3"/>
  <c r="Z54" i="3" s="1"/>
  <c r="U53" i="3"/>
  <c r="T53" i="3"/>
  <c r="S53" i="3"/>
  <c r="I53" i="3"/>
  <c r="H53" i="3"/>
  <c r="G53" i="3"/>
  <c r="F53" i="3"/>
  <c r="E53" i="3"/>
  <c r="AC52" i="3"/>
  <c r="AB52" i="3"/>
  <c r="W52" i="3"/>
  <c r="V52" i="3"/>
  <c r="U52" i="3"/>
  <c r="T52" i="3"/>
  <c r="O52" i="3"/>
  <c r="N52" i="3"/>
  <c r="N54" i="3" s="1"/>
  <c r="S54" i="3" s="1"/>
  <c r="L52" i="3"/>
  <c r="X51" i="3"/>
  <c r="V51" i="3"/>
  <c r="U51" i="3"/>
  <c r="T51" i="3"/>
  <c r="U50" i="3"/>
  <c r="R50" i="3"/>
  <c r="N50" i="3"/>
  <c r="S50" i="3" s="1"/>
  <c r="T49" i="3" s="1"/>
  <c r="U49" i="3" s="1"/>
  <c r="L50" i="3"/>
  <c r="AC49" i="3"/>
  <c r="AB49" i="3"/>
  <c r="AA49" i="3"/>
  <c r="X49" i="3"/>
  <c r="V48" i="3"/>
  <c r="U48" i="3"/>
  <c r="T48" i="3"/>
  <c r="S48" i="3"/>
  <c r="W49" i="3" s="1"/>
  <c r="Z49" i="3" s="1"/>
  <c r="AI47" i="3"/>
  <c r="AC47" i="3"/>
  <c r="AB47" i="3"/>
  <c r="X47" i="3"/>
  <c r="W47" i="3"/>
  <c r="W48" i="3" s="1"/>
  <c r="X48" i="3" s="1"/>
  <c r="U47" i="3"/>
  <c r="T47" i="3"/>
  <c r="R47" i="3"/>
  <c r="V47" i="3" s="1"/>
  <c r="Q47" i="3"/>
  <c r="O47" i="3"/>
  <c r="N47" i="3"/>
  <c r="N49" i="3" s="1"/>
  <c r="S49" i="3" s="1"/>
  <c r="L47" i="3"/>
  <c r="S47" i="3" s="1"/>
  <c r="X46" i="3"/>
  <c r="U46" i="3"/>
  <c r="T46" i="3"/>
  <c r="U45" i="3"/>
  <c r="R45" i="3"/>
  <c r="N45" i="3"/>
  <c r="L45" i="3"/>
  <c r="S45" i="3" s="1"/>
  <c r="T44" i="3" s="1"/>
  <c r="U44" i="3" s="1"/>
  <c r="AC44" i="3"/>
  <c r="AB44" i="3"/>
  <c r="AA44" i="3"/>
  <c r="X44" i="3"/>
  <c r="W44" i="3"/>
  <c r="Z44" i="3" s="1"/>
  <c r="W43" i="3"/>
  <c r="X43" i="3" s="1"/>
  <c r="V43" i="3"/>
  <c r="U43" i="3"/>
  <c r="T43" i="3"/>
  <c r="S43" i="3"/>
  <c r="I43" i="3"/>
  <c r="H43" i="3"/>
  <c r="G43" i="3"/>
  <c r="F43" i="3"/>
  <c r="E43" i="3"/>
  <c r="AC42" i="3"/>
  <c r="AB42" i="3"/>
  <c r="X42" i="3"/>
  <c r="W42" i="3"/>
  <c r="V42" i="3"/>
  <c r="U42" i="3"/>
  <c r="T42" i="3"/>
  <c r="S42" i="3"/>
  <c r="R42" i="3"/>
  <c r="O42" i="3"/>
  <c r="N42" i="3"/>
  <c r="N44" i="3" s="1"/>
  <c r="S44" i="3" s="1"/>
  <c r="L42" i="3"/>
  <c r="AI42" i="3" s="1"/>
  <c r="X41" i="3"/>
  <c r="T41" i="3"/>
  <c r="U41" i="3" s="1"/>
  <c r="U40" i="3"/>
  <c r="R40" i="3"/>
  <c r="S40" i="3" s="1"/>
  <c r="N40" i="3"/>
  <c r="L40" i="3"/>
  <c r="AB39" i="3"/>
  <c r="X39" i="3"/>
  <c r="AA39" i="3" s="1"/>
  <c r="W39" i="3"/>
  <c r="Z39" i="3" s="1"/>
  <c r="N39" i="3"/>
  <c r="S39" i="3" s="1"/>
  <c r="W38" i="3"/>
  <c r="X38" i="3" s="1"/>
  <c r="V38" i="3"/>
  <c r="S38" i="3"/>
  <c r="I38" i="3"/>
  <c r="H38" i="3"/>
  <c r="G38" i="3"/>
  <c r="F38" i="3"/>
  <c r="E38" i="3"/>
  <c r="AI37" i="3"/>
  <c r="AC37" i="3"/>
  <c r="AB37" i="3"/>
  <c r="Z37" i="3"/>
  <c r="X37" i="3"/>
  <c r="W37" i="3"/>
  <c r="V37" i="3"/>
  <c r="T37" i="3"/>
  <c r="U37" i="3" s="1"/>
  <c r="S37" i="3"/>
  <c r="O37" i="3"/>
  <c r="N37" i="3"/>
  <c r="L37" i="3"/>
  <c r="X36" i="3"/>
  <c r="U36" i="3"/>
  <c r="T36" i="3"/>
  <c r="N34" i="3"/>
  <c r="S34" i="3" s="1"/>
  <c r="AI32" i="3"/>
  <c r="V32" i="3"/>
  <c r="R32" i="3"/>
  <c r="N32" i="3"/>
  <c r="L32" i="3"/>
  <c r="S32" i="3" s="1"/>
  <c r="N29" i="3"/>
  <c r="S29" i="3" s="1"/>
  <c r="V27" i="3"/>
  <c r="R27" i="3"/>
  <c r="Q27" i="3"/>
  <c r="O27" i="3"/>
  <c r="N27" i="3"/>
  <c r="L27" i="3"/>
  <c r="AI27" i="3" s="1"/>
  <c r="AI22" i="3"/>
  <c r="V22" i="3"/>
  <c r="R22" i="3"/>
  <c r="M22" i="3"/>
  <c r="L22" i="3"/>
  <c r="AI23" i="3" s="1"/>
  <c r="R17" i="3"/>
  <c r="V17" i="3" s="1"/>
  <c r="N15" i="3"/>
  <c r="I15" i="3"/>
  <c r="H15" i="3"/>
  <c r="G15" i="3"/>
  <c r="F15" i="3"/>
  <c r="E15" i="3"/>
  <c r="AA14" i="3"/>
  <c r="I14" i="3"/>
  <c r="H14" i="3"/>
  <c r="G14" i="3"/>
  <c r="F14" i="3"/>
  <c r="E14" i="3"/>
  <c r="O13" i="3"/>
  <c r="N13" i="3"/>
  <c r="L13" i="3"/>
  <c r="X14" i="3" s="1"/>
  <c r="O12" i="3"/>
  <c r="N12" i="3"/>
  <c r="N14" i="3" s="1"/>
  <c r="S14" i="3" s="1"/>
  <c r="I12" i="3"/>
  <c r="I13" i="3" s="1"/>
  <c r="H12" i="3"/>
  <c r="T12" i="3" s="1"/>
  <c r="G12" i="3"/>
  <c r="F12" i="3"/>
  <c r="F13" i="3" s="1"/>
  <c r="E12" i="3"/>
  <c r="I11" i="3"/>
  <c r="H11" i="3"/>
  <c r="G11" i="3"/>
  <c r="E11" i="3"/>
  <c r="D11" i="3"/>
  <c r="E13" i="3" s="1"/>
  <c r="V7" i="3"/>
  <c r="V12" i="3" s="1"/>
  <c r="V13" i="3" s="1"/>
  <c r="R7" i="3"/>
  <c r="R12" i="3" s="1"/>
  <c r="L7" i="3"/>
  <c r="AI7" i="3" s="1"/>
  <c r="D502" i="2"/>
  <c r="D501" i="2"/>
  <c r="D500" i="2"/>
  <c r="D499" i="2"/>
  <c r="A495" i="2"/>
  <c r="A494" i="2"/>
  <c r="A492" i="2"/>
  <c r="D488" i="2"/>
  <c r="D485" i="2"/>
  <c r="D484" i="2"/>
  <c r="D479" i="2"/>
  <c r="D478" i="2"/>
  <c r="D476" i="2"/>
  <c r="D475" i="2"/>
  <c r="D474" i="2"/>
  <c r="D473" i="2"/>
  <c r="D472" i="2"/>
  <c r="A456" i="2"/>
  <c r="A455" i="2"/>
  <c r="A454" i="2"/>
  <c r="D452" i="2"/>
  <c r="D451" i="2"/>
  <c r="D450" i="2"/>
  <c r="D449" i="2"/>
  <c r="D448" i="2"/>
  <c r="D447" i="2"/>
  <c r="D444" i="2"/>
  <c r="D443" i="2"/>
  <c r="D442" i="2"/>
  <c r="D441" i="2"/>
  <c r="D440" i="2"/>
  <c r="D437" i="2"/>
  <c r="D436" i="2"/>
  <c r="D435" i="2"/>
  <c r="D434" i="2"/>
  <c r="D433" i="2"/>
  <c r="D432" i="2"/>
  <c r="D431" i="2"/>
  <c r="D430" i="2"/>
  <c r="D429" i="2"/>
  <c r="A415" i="2"/>
  <c r="A414" i="2"/>
  <c r="A413" i="2"/>
  <c r="A412" i="2"/>
  <c r="D407" i="2"/>
  <c r="A391" i="2"/>
  <c r="A388" i="2"/>
  <c r="D384" i="2"/>
  <c r="A368" i="2"/>
  <c r="A367" i="2"/>
  <c r="A366" i="2"/>
  <c r="A365" i="2"/>
  <c r="A364" i="2"/>
  <c r="A363" i="2"/>
  <c r="D361" i="2"/>
  <c r="A342" i="2"/>
  <c r="A340" i="2"/>
  <c r="D338" i="2"/>
  <c r="D337" i="2"/>
  <c r="D336" i="2"/>
  <c r="D335" i="2"/>
  <c r="D334" i="4" s="1"/>
  <c r="D331" i="2"/>
  <c r="D330" i="2"/>
  <c r="D329" i="2"/>
  <c r="D328" i="2"/>
  <c r="D327" i="2"/>
  <c r="D326" i="2"/>
  <c r="D325" i="2"/>
  <c r="D324" i="2"/>
  <c r="D323" i="2"/>
  <c r="D322" i="2"/>
  <c r="A306" i="2"/>
  <c r="A305" i="2"/>
  <c r="A304" i="2"/>
  <c r="A303" i="2"/>
  <c r="D299" i="2"/>
  <c r="D298" i="2"/>
  <c r="D296" i="2"/>
  <c r="D297" i="2" s="1"/>
  <c r="D292" i="2"/>
  <c r="D291" i="2"/>
  <c r="D290" i="2"/>
  <c r="D289" i="2"/>
  <c r="D288" i="2"/>
  <c r="D287" i="2"/>
  <c r="D286" i="2"/>
  <c r="D285" i="2"/>
  <c r="A266" i="2"/>
  <c r="A265" i="2"/>
  <c r="A264" i="2"/>
  <c r="D262" i="2"/>
  <c r="D261" i="2"/>
  <c r="D260" i="2"/>
  <c r="D259" i="2"/>
  <c r="A240" i="2"/>
  <c r="A238" i="2"/>
  <c r="D236" i="2"/>
  <c r="D235" i="2"/>
  <c r="D234" i="2"/>
  <c r="D233" i="2"/>
  <c r="D236" i="5" s="1"/>
  <c r="D229" i="2"/>
  <c r="D228" i="2"/>
  <c r="D227" i="2"/>
  <c r="D226" i="2"/>
  <c r="D225" i="2"/>
  <c r="D224" i="2"/>
  <c r="D223" i="2"/>
  <c r="D222" i="2"/>
  <c r="A206" i="2"/>
  <c r="A205" i="2"/>
  <c r="A204" i="2"/>
  <c r="A203" i="2"/>
  <c r="A202" i="2"/>
  <c r="D199" i="2"/>
  <c r="D198" i="2"/>
  <c r="D196" i="2"/>
  <c r="D198" i="4" s="1"/>
  <c r="D192" i="2"/>
  <c r="D191" i="2"/>
  <c r="D190" i="2"/>
  <c r="D189" i="2"/>
  <c r="D188" i="2"/>
  <c r="D187" i="2"/>
  <c r="D186" i="2"/>
  <c r="D185" i="2"/>
  <c r="D184" i="2"/>
  <c r="A162" i="2"/>
  <c r="A161" i="2"/>
  <c r="A160" i="2"/>
  <c r="D158" i="2"/>
  <c r="D157" i="2"/>
  <c r="D155" i="2"/>
  <c r="D157" i="4" s="1"/>
  <c r="D151" i="2"/>
  <c r="D150" i="2"/>
  <c r="D149" i="2"/>
  <c r="D148" i="2"/>
  <c r="D147" i="2"/>
  <c r="D146" i="2"/>
  <c r="D145" i="2"/>
  <c r="D144" i="2"/>
  <c r="D143" i="2"/>
  <c r="A124" i="2"/>
  <c r="A123" i="2"/>
  <c r="A122" i="2"/>
  <c r="A121" i="2"/>
  <c r="D117" i="2"/>
  <c r="D116" i="2"/>
  <c r="D114" i="2"/>
  <c r="D115" i="2" s="1"/>
  <c r="D110" i="2"/>
  <c r="D109" i="2"/>
  <c r="D108" i="2"/>
  <c r="D107" i="2"/>
  <c r="D106" i="2"/>
  <c r="D105" i="2"/>
  <c r="D104" i="2"/>
  <c r="D103" i="2"/>
  <c r="D102" i="2"/>
  <c r="A81" i="2"/>
  <c r="A80" i="2"/>
  <c r="A79" i="2"/>
  <c r="A78" i="2"/>
  <c r="D76" i="2"/>
  <c r="D75" i="2"/>
  <c r="D74" i="2"/>
  <c r="D73" i="2"/>
  <c r="D74" i="7" s="1"/>
  <c r="D69" i="2"/>
  <c r="D68" i="2"/>
  <c r="D67" i="2"/>
  <c r="D66" i="2"/>
  <c r="D65" i="2"/>
  <c r="D64" i="2"/>
  <c r="D63" i="2"/>
  <c r="D62" i="2"/>
  <c r="D61" i="2"/>
  <c r="D60" i="2"/>
  <c r="A44" i="2"/>
  <c r="A345" i="2" s="1"/>
  <c r="A43" i="2"/>
  <c r="A344" i="2" s="1"/>
  <c r="A42" i="2"/>
  <c r="A389" i="2" s="1"/>
  <c r="A41" i="2"/>
  <c r="A40" i="2"/>
  <c r="A302" i="2" s="1"/>
  <c r="A39" i="2"/>
  <c r="A301" i="2" s="1"/>
  <c r="D37" i="2"/>
  <c r="D36" i="2"/>
  <c r="D35" i="2"/>
  <c r="D30" i="2"/>
  <c r="D29" i="2"/>
  <c r="D28" i="2"/>
  <c r="D27" i="2"/>
  <c r="D26" i="2"/>
  <c r="D25" i="2"/>
  <c r="D24" i="2"/>
  <c r="D23" i="2"/>
  <c r="D22" i="2"/>
  <c r="B93" i="1"/>
  <c r="B92" i="1"/>
  <c r="B83" i="1"/>
  <c r="B82" i="1"/>
  <c r="B79" i="1"/>
  <c r="B74" i="1"/>
  <c r="B73" i="1"/>
  <c r="B72" i="1"/>
  <c r="A70" i="1"/>
  <c r="B69" i="1"/>
  <c r="B68" i="1"/>
  <c r="B67" i="1"/>
  <c r="E64" i="1"/>
  <c r="E79" i="1" s="1"/>
  <c r="D64" i="1"/>
  <c r="D79" i="1" s="1"/>
  <c r="C64" i="1"/>
  <c r="C79" i="1" s="1"/>
  <c r="G7" i="1"/>
  <c r="G64" i="1" s="1"/>
  <c r="G79" i="1" s="1"/>
  <c r="F7" i="1"/>
  <c r="F64" i="1" s="1"/>
  <c r="F79" i="1" s="1"/>
  <c r="E7" i="1"/>
  <c r="D7" i="1"/>
  <c r="C7" i="1"/>
  <c r="B7" i="1"/>
  <c r="G4" i="1"/>
  <c r="F4" i="1"/>
  <c r="E4" i="1"/>
  <c r="D4" i="1"/>
  <c r="C4" i="1"/>
  <c r="B4" i="1"/>
  <c r="O35" i="9" l="1"/>
  <c r="AG36" i="9"/>
  <c r="O46" i="9"/>
  <c r="AG33" i="10"/>
  <c r="AI46" i="11"/>
  <c r="AJ46" i="11" s="1"/>
  <c r="T54" i="3"/>
  <c r="U54" i="3" s="1"/>
  <c r="AC54" i="3"/>
  <c r="AJ32" i="13"/>
  <c r="J20" i="9"/>
  <c r="J36" i="10"/>
  <c r="Q36" i="23"/>
  <c r="Q18" i="11"/>
  <c r="S18" i="11" s="1"/>
  <c r="AE24" i="10"/>
  <c r="AG24" i="10" s="1"/>
  <c r="X25" i="9"/>
  <c r="Z25" i="9" s="1"/>
  <c r="AE24" i="14"/>
  <c r="F18" i="12"/>
  <c r="H18" i="12" s="1"/>
  <c r="O18" i="12" s="1"/>
  <c r="AL42" i="10"/>
  <c r="Q41" i="15"/>
  <c r="J33" i="13"/>
  <c r="L33" i="13" s="1"/>
  <c r="X38" i="11"/>
  <c r="F23" i="11"/>
  <c r="F39" i="23"/>
  <c r="Q27" i="14"/>
  <c r="S27" i="14" s="1"/>
  <c r="AE42" i="12"/>
  <c r="AG42" i="12" s="1"/>
  <c r="Q26" i="10"/>
  <c r="S26" i="10" s="1"/>
  <c r="F23" i="9"/>
  <c r="AE36" i="12"/>
  <c r="X25" i="12"/>
  <c r="Z25" i="12" s="1"/>
  <c r="AE33" i="10"/>
  <c r="AE34" i="9"/>
  <c r="X28" i="13"/>
  <c r="Z28" i="13" s="1"/>
  <c r="X20" i="12"/>
  <c r="F24" i="11"/>
  <c r="X34" i="10"/>
  <c r="Z34" i="10" s="1"/>
  <c r="J27" i="9"/>
  <c r="L27" i="9" s="1"/>
  <c r="AE36" i="14"/>
  <c r="X36" i="11"/>
  <c r="Z36" i="11" s="1"/>
  <c r="X39" i="10"/>
  <c r="AE17" i="9"/>
  <c r="AG17" i="9" s="1"/>
  <c r="AL28" i="9"/>
  <c r="AE16" i="11"/>
  <c r="AG16" i="11" s="1"/>
  <c r="J27" i="10"/>
  <c r="F18" i="10"/>
  <c r="J23" i="9"/>
  <c r="Q26" i="9"/>
  <c r="S26" i="9" s="1"/>
  <c r="AL23" i="10"/>
  <c r="AN23" i="10" s="1"/>
  <c r="AP23" i="10" s="1"/>
  <c r="AE24" i="9"/>
  <c r="AG24" i="9" s="1"/>
  <c r="S18" i="10"/>
  <c r="F38" i="9"/>
  <c r="H38" i="9" s="1"/>
  <c r="X42" i="10"/>
  <c r="Z42" i="10" s="1"/>
  <c r="U45" i="10"/>
  <c r="V45" i="10" s="1"/>
  <c r="N46" i="10"/>
  <c r="O46" i="10" s="1"/>
  <c r="V46" i="10"/>
  <c r="AN18" i="9"/>
  <c r="AP18" i="9" s="1"/>
  <c r="X33" i="11"/>
  <c r="L31" i="10"/>
  <c r="AN42" i="10"/>
  <c r="AP42" i="10" s="1"/>
  <c r="L22" i="11"/>
  <c r="L36" i="10"/>
  <c r="N47" i="11"/>
  <c r="AC39" i="3"/>
  <c r="T39" i="3"/>
  <c r="U39" i="3" s="1"/>
  <c r="AN18" i="14"/>
  <c r="AP18" i="14" s="1"/>
  <c r="AB14" i="3"/>
  <c r="AC12" i="3"/>
  <c r="AB12" i="3"/>
  <c r="Z39" i="10"/>
  <c r="H15" i="14"/>
  <c r="AQ46" i="9"/>
  <c r="AI46" i="9"/>
  <c r="AJ46" i="9" s="1"/>
  <c r="J26" i="13"/>
  <c r="U45" i="9"/>
  <c r="V45" i="9" s="1"/>
  <c r="Z25" i="10"/>
  <c r="AN30" i="11"/>
  <c r="AP30" i="11" s="1"/>
  <c r="Z35" i="9"/>
  <c r="J23" i="10"/>
  <c r="X23" i="10"/>
  <c r="Z23" i="10" s="1"/>
  <c r="F23" i="10"/>
  <c r="H23" i="10" s="1"/>
  <c r="O23" i="10" s="1"/>
  <c r="AE23" i="10"/>
  <c r="AG23" i="10" s="1"/>
  <c r="AL24" i="12"/>
  <c r="A201" i="2"/>
  <c r="A390" i="2"/>
  <c r="A493" i="2"/>
  <c r="U15" i="9"/>
  <c r="Q18" i="9"/>
  <c r="S18" i="9" s="1"/>
  <c r="Q24" i="9"/>
  <c r="S24" i="9" s="1"/>
  <c r="J25" i="9"/>
  <c r="L25" i="9" s="1"/>
  <c r="Q30" i="9"/>
  <c r="S30" i="9" s="1"/>
  <c r="F41" i="9"/>
  <c r="H41" i="9" s="1"/>
  <c r="AM39" i="9"/>
  <c r="AM34" i="9"/>
  <c r="AM42" i="9"/>
  <c r="Q17" i="10"/>
  <c r="S17" i="10" s="1"/>
  <c r="AL30" i="10"/>
  <c r="AN30" i="10" s="1"/>
  <c r="X38" i="10"/>
  <c r="Z38" i="10" s="1"/>
  <c r="Z44" i="10"/>
  <c r="AI45" i="10"/>
  <c r="AJ45" i="10" s="1"/>
  <c r="Q16" i="11"/>
  <c r="S16" i="11" s="1"/>
  <c r="AE20" i="11"/>
  <c r="AG20" i="11" s="1"/>
  <c r="J20" i="11"/>
  <c r="AL20" i="11"/>
  <c r="AN20" i="11" s="1"/>
  <c r="AP20" i="11" s="1"/>
  <c r="Q20" i="11"/>
  <c r="S20" i="11" s="1"/>
  <c r="AE22" i="11"/>
  <c r="AG22" i="11" s="1"/>
  <c r="AG24" i="11"/>
  <c r="X30" i="11"/>
  <c r="Z30" i="11" s="1"/>
  <c r="H36" i="11"/>
  <c r="AL18" i="12"/>
  <c r="AN24" i="12"/>
  <c r="U45" i="12"/>
  <c r="V45" i="12" s="1"/>
  <c r="AE21" i="13"/>
  <c r="AG21" i="13" s="1"/>
  <c r="X21" i="13"/>
  <c r="Q34" i="13"/>
  <c r="AJ35" i="13"/>
  <c r="Q39" i="13"/>
  <c r="S39" i="13" s="1"/>
  <c r="AL31" i="14"/>
  <c r="AL34" i="14"/>
  <c r="J24" i="11"/>
  <c r="L24" i="11" s="1"/>
  <c r="H23" i="9"/>
  <c r="O23" i="9" s="1"/>
  <c r="AN19" i="10"/>
  <c r="AL41" i="10"/>
  <c r="AN41" i="10" s="1"/>
  <c r="S52" i="3"/>
  <c r="D234" i="4"/>
  <c r="X31" i="15"/>
  <c r="Z31" i="15" s="1"/>
  <c r="F18" i="9"/>
  <c r="H18" i="9" s="1"/>
  <c r="O18" i="9" s="1"/>
  <c r="AE20" i="9"/>
  <c r="AG20" i="9" s="1"/>
  <c r="AL22" i="9"/>
  <c r="AN22" i="9" s="1"/>
  <c r="J26" i="9"/>
  <c r="L26" i="9" s="1"/>
  <c r="AE39" i="9"/>
  <c r="J42" i="9"/>
  <c r="L42" i="9" s="1"/>
  <c r="AJ44" i="9"/>
  <c r="AB44" i="9"/>
  <c r="AC44" i="9" s="1"/>
  <c r="O47" i="9"/>
  <c r="AG47" i="9"/>
  <c r="Q16" i="10"/>
  <c r="S16" i="10" s="1"/>
  <c r="AE27" i="10"/>
  <c r="AG27" i="10" s="1"/>
  <c r="Q27" i="10"/>
  <c r="S27" i="10" s="1"/>
  <c r="AL27" i="10"/>
  <c r="AN27" i="10" s="1"/>
  <c r="AP27" i="10" s="1"/>
  <c r="J30" i="10"/>
  <c r="L30" i="10" s="1"/>
  <c r="F30" i="10"/>
  <c r="H30" i="10" s="1"/>
  <c r="Q30" i="10"/>
  <c r="S30" i="10" s="1"/>
  <c r="AE30" i="10"/>
  <c r="AG30" i="10" s="1"/>
  <c r="AE31" i="10"/>
  <c r="AG31" i="10" s="1"/>
  <c r="X32" i="10"/>
  <c r="Z32" i="10" s="1"/>
  <c r="Z15" i="11"/>
  <c r="F20" i="11"/>
  <c r="H20" i="11" s="1"/>
  <c r="O20" i="11" s="1"/>
  <c r="AE25" i="11"/>
  <c r="AE38" i="11"/>
  <c r="J38" i="11"/>
  <c r="L38" i="11" s="1"/>
  <c r="AL38" i="11"/>
  <c r="AN38" i="11" s="1"/>
  <c r="AP38" i="11" s="1"/>
  <c r="Q38" i="11"/>
  <c r="S38" i="11" s="1"/>
  <c r="F38" i="11"/>
  <c r="N46" i="11"/>
  <c r="O46" i="11" s="1"/>
  <c r="J32" i="12"/>
  <c r="L32" i="12" s="1"/>
  <c r="N46" i="12"/>
  <c r="O46" i="12" s="1"/>
  <c r="F59" i="12"/>
  <c r="Q18" i="13"/>
  <c r="S18" i="13" s="1"/>
  <c r="Q24" i="13"/>
  <c r="S24" i="13" s="1"/>
  <c r="AL26" i="13"/>
  <c r="AN26" i="13" s="1"/>
  <c r="X31" i="13"/>
  <c r="Z31" i="13" s="1"/>
  <c r="J39" i="13"/>
  <c r="X41" i="13"/>
  <c r="Z41" i="13" s="1"/>
  <c r="N45" i="14"/>
  <c r="O45" i="14" s="1"/>
  <c r="U45" i="14"/>
  <c r="V45" i="14" s="1"/>
  <c r="H19" i="15"/>
  <c r="O19" i="15" s="1"/>
  <c r="Q34" i="15"/>
  <c r="AE34" i="15"/>
  <c r="AL34" i="15"/>
  <c r="X34" i="15"/>
  <c r="Z34" i="15" s="1"/>
  <c r="J34" i="15"/>
  <c r="F34" i="15"/>
  <c r="H34" i="15" s="1"/>
  <c r="AB46" i="15"/>
  <c r="D156" i="2"/>
  <c r="D74" i="5"/>
  <c r="D116" i="6"/>
  <c r="X16" i="9"/>
  <c r="Q17" i="9"/>
  <c r="S17" i="9" s="1"/>
  <c r="J19" i="9"/>
  <c r="L19" i="9" s="1"/>
  <c r="X19" i="9"/>
  <c r="Z19" i="9" s="1"/>
  <c r="F19" i="9"/>
  <c r="H19" i="9" s="1"/>
  <c r="O19" i="9" s="1"/>
  <c r="AE19" i="9"/>
  <c r="AG19" i="9" s="1"/>
  <c r="AN19" i="9"/>
  <c r="F26" i="9"/>
  <c r="N35" i="9"/>
  <c r="AG39" i="9"/>
  <c r="Q41" i="9"/>
  <c r="S41" i="9" s="1"/>
  <c r="N45" i="9"/>
  <c r="O45" i="9" s="1"/>
  <c r="AB15" i="10"/>
  <c r="F27" i="10"/>
  <c r="AE28" i="10"/>
  <c r="AG28" i="10" s="1"/>
  <c r="Q33" i="10"/>
  <c r="S33" i="10" s="1"/>
  <c r="J34" i="10"/>
  <c r="J39" i="10"/>
  <c r="AI44" i="10"/>
  <c r="AJ46" i="10"/>
  <c r="J19" i="11"/>
  <c r="L19" i="11" s="1"/>
  <c r="X21" i="11"/>
  <c r="Z21" i="11" s="1"/>
  <c r="AL21" i="11"/>
  <c r="AN21" i="11" s="1"/>
  <c r="AE21" i="11"/>
  <c r="AG21" i="11" s="1"/>
  <c r="AL24" i="11"/>
  <c r="AN24" i="11" s="1"/>
  <c r="AP24" i="11" s="1"/>
  <c r="AG25" i="11"/>
  <c r="AL28" i="11"/>
  <c r="S36" i="11"/>
  <c r="H38" i="11"/>
  <c r="AL21" i="13"/>
  <c r="S34" i="13"/>
  <c r="AL43" i="15"/>
  <c r="AN43" i="15" s="1"/>
  <c r="S34" i="9"/>
  <c r="X28" i="10"/>
  <c r="Z28" i="10" s="1"/>
  <c r="AL32" i="10"/>
  <c r="AN32" i="10" s="1"/>
  <c r="AP32" i="10" s="1"/>
  <c r="Z17" i="11"/>
  <c r="K42" i="13"/>
  <c r="L42" i="13" s="1"/>
  <c r="K39" i="13"/>
  <c r="L39" i="13" s="1"/>
  <c r="K34" i="13"/>
  <c r="K41" i="13"/>
  <c r="K38" i="13"/>
  <c r="K35" i="13"/>
  <c r="H31" i="9"/>
  <c r="O31" i="9" s="1"/>
  <c r="H23" i="11"/>
  <c r="O23" i="11" s="1"/>
  <c r="D337" i="5"/>
  <c r="Z16" i="9"/>
  <c r="Q20" i="9"/>
  <c r="S20" i="9" s="1"/>
  <c r="AE23" i="9"/>
  <c r="AG23" i="9" s="1"/>
  <c r="Q23" i="9"/>
  <c r="S23" i="9" s="1"/>
  <c r="AL23" i="9"/>
  <c r="AN23" i="9" s="1"/>
  <c r="AP23" i="9" s="1"/>
  <c r="H26" i="9"/>
  <c r="O26" i="9" s="1"/>
  <c r="AL27" i="9"/>
  <c r="AN27" i="9" s="1"/>
  <c r="J30" i="9"/>
  <c r="L30" i="9" s="1"/>
  <c r="Q36" i="9"/>
  <c r="AL38" i="9"/>
  <c r="AQ35" i="9"/>
  <c r="AI35" i="9"/>
  <c r="U47" i="9"/>
  <c r="V47" i="9" s="1"/>
  <c r="AC15" i="10"/>
  <c r="J17" i="10"/>
  <c r="L17" i="10" s="1"/>
  <c r="J18" i="10"/>
  <c r="L18" i="10" s="1"/>
  <c r="X18" i="10"/>
  <c r="Z18" i="10" s="1"/>
  <c r="AL18" i="10"/>
  <c r="AE18" i="10"/>
  <c r="AG18" i="10" s="1"/>
  <c r="Q22" i="10"/>
  <c r="X25" i="10"/>
  <c r="H27" i="10"/>
  <c r="O27" i="10" s="1"/>
  <c r="AL31" i="10"/>
  <c r="AN31" i="10" s="1"/>
  <c r="AP31" i="10" s="1"/>
  <c r="AL36" i="10"/>
  <c r="AN36" i="10"/>
  <c r="AP36" i="10" s="1"/>
  <c r="Q38" i="10"/>
  <c r="S38" i="10" s="1"/>
  <c r="AE41" i="10"/>
  <c r="AG41" i="10" s="1"/>
  <c r="Q43" i="10"/>
  <c r="S43" i="10" s="1"/>
  <c r="AE28" i="11"/>
  <c r="AG28" i="11" s="1"/>
  <c r="AE39" i="11"/>
  <c r="N44" i="11"/>
  <c r="O44" i="11" s="1"/>
  <c r="AI45" i="11"/>
  <c r="AJ45" i="11" s="1"/>
  <c r="AQ45" i="11"/>
  <c r="U46" i="11"/>
  <c r="V46" i="11" s="1"/>
  <c r="Q20" i="12"/>
  <c r="S32" i="12"/>
  <c r="F35" i="12"/>
  <c r="H23" i="13"/>
  <c r="O23" i="13" s="1"/>
  <c r="X24" i="13"/>
  <c r="Z24" i="13" s="1"/>
  <c r="AE31" i="13"/>
  <c r="AG31" i="13" s="1"/>
  <c r="Q43" i="13"/>
  <c r="S43" i="13" s="1"/>
  <c r="AP15" i="9"/>
  <c r="S36" i="9"/>
  <c r="AE23" i="11"/>
  <c r="AG23" i="11" s="1"/>
  <c r="AG39" i="11"/>
  <c r="AL20" i="13"/>
  <c r="AN20" i="13" s="1"/>
  <c r="AE27" i="13"/>
  <c r="AG27" i="13" s="1"/>
  <c r="S28" i="13"/>
  <c r="AQ35" i="13"/>
  <c r="L44" i="10"/>
  <c r="AE33" i="11"/>
  <c r="AG33" i="11" s="1"/>
  <c r="J33" i="11"/>
  <c r="L33" i="11" s="1"/>
  <c r="F33" i="11"/>
  <c r="H33" i="11" s="1"/>
  <c r="O33" i="11" s="1"/>
  <c r="AL33" i="11"/>
  <c r="AN33" i="11" s="1"/>
  <c r="Q33" i="11"/>
  <c r="S33" i="11" s="1"/>
  <c r="AI35" i="13"/>
  <c r="A82" i="2"/>
  <c r="A239" i="2"/>
  <c r="A267" i="2"/>
  <c r="A341" i="2"/>
  <c r="A416" i="2"/>
  <c r="L12" i="3"/>
  <c r="H13" i="3"/>
  <c r="W53" i="3"/>
  <c r="X53" i="3" s="1"/>
  <c r="X52" i="3"/>
  <c r="Q16" i="9"/>
  <c r="S16" i="9" s="1"/>
  <c r="X18" i="9"/>
  <c r="Z18" i="9" s="1"/>
  <c r="S19" i="9"/>
  <c r="L20" i="9"/>
  <c r="S22" i="9"/>
  <c r="L23" i="9"/>
  <c r="X24" i="9"/>
  <c r="Z24" i="9" s="1"/>
  <c r="X30" i="9"/>
  <c r="Z30" i="9" s="1"/>
  <c r="AG34" i="9"/>
  <c r="Z45" i="9"/>
  <c r="Z48" i="9"/>
  <c r="Q18" i="10"/>
  <c r="J19" i="10"/>
  <c r="L19" i="10" s="1"/>
  <c r="AE20" i="10"/>
  <c r="AG20" i="10" s="1"/>
  <c r="J20" i="10"/>
  <c r="L20" i="10" s="1"/>
  <c r="X20" i="10"/>
  <c r="Z20" i="10" s="1"/>
  <c r="Q20" i="10"/>
  <c r="S20" i="10" s="1"/>
  <c r="AL20" i="10"/>
  <c r="L23" i="10"/>
  <c r="X30" i="10"/>
  <c r="Z30" i="10" s="1"/>
  <c r="AE38" i="10"/>
  <c r="AG38" i="10" s="1"/>
  <c r="AE42" i="10"/>
  <c r="AG42" i="10" s="1"/>
  <c r="Q42" i="10"/>
  <c r="S42" i="10" s="1"/>
  <c r="AE43" i="10"/>
  <c r="AG43" i="10" s="1"/>
  <c r="AB45" i="10"/>
  <c r="AC45" i="10" s="1"/>
  <c r="AG48" i="10"/>
  <c r="F16" i="11"/>
  <c r="AL17" i="11"/>
  <c r="AE18" i="11"/>
  <c r="X20" i="11"/>
  <c r="Z20" i="11" s="1"/>
  <c r="V21" i="11"/>
  <c r="N21" i="11"/>
  <c r="O21" i="11" s="1"/>
  <c r="L23" i="11"/>
  <c r="S27" i="11"/>
  <c r="Q28" i="11"/>
  <c r="S28" i="11" s="1"/>
  <c r="Q30" i="11"/>
  <c r="F32" i="11"/>
  <c r="H32" i="11" s="1"/>
  <c r="N45" i="11"/>
  <c r="O45" i="11" s="1"/>
  <c r="X19" i="12"/>
  <c r="Z19" i="12" s="1"/>
  <c r="U31" i="12"/>
  <c r="L34" i="12"/>
  <c r="AB47" i="12"/>
  <c r="AC47" i="12" s="1"/>
  <c r="Q33" i="13"/>
  <c r="S33" i="13" s="1"/>
  <c r="N45" i="13"/>
  <c r="O45" i="13" s="1"/>
  <c r="AN19" i="14"/>
  <c r="AP19" i="14" s="1"/>
  <c r="A83" i="2"/>
  <c r="A163" i="2"/>
  <c r="A268" i="2"/>
  <c r="A386" i="2"/>
  <c r="A417" i="2"/>
  <c r="A457" i="2"/>
  <c r="S27" i="3"/>
  <c r="V15" i="9"/>
  <c r="F16" i="9"/>
  <c r="H16" i="9" s="1"/>
  <c r="O16" i="9" s="1"/>
  <c r="O21" i="9"/>
  <c r="N21" i="9"/>
  <c r="AI21" i="9"/>
  <c r="Q31" i="9"/>
  <c r="S31" i="9" s="1"/>
  <c r="J32" i="9"/>
  <c r="L32" i="9" s="1"/>
  <c r="AE33" i="9"/>
  <c r="AG33" i="9" s="1"/>
  <c r="J33" i="9"/>
  <c r="L33" i="9" s="1"/>
  <c r="X33" i="9"/>
  <c r="Z33" i="9" s="1"/>
  <c r="Q33" i="9"/>
  <c r="S33" i="9" s="1"/>
  <c r="AL33" i="9"/>
  <c r="AN33" i="9" s="1"/>
  <c r="AP33" i="9" s="1"/>
  <c r="N44" i="9"/>
  <c r="O44" i="9" s="1"/>
  <c r="N46" i="9"/>
  <c r="K41" i="9"/>
  <c r="K38" i="9"/>
  <c r="K39" i="9"/>
  <c r="K34" i="9"/>
  <c r="F20" i="10"/>
  <c r="H20" i="10" s="1"/>
  <c r="O20" i="10" s="1"/>
  <c r="AN20" i="10"/>
  <c r="AP20" i="10" s="1"/>
  <c r="U21" i="10"/>
  <c r="S22" i="10"/>
  <c r="AL25" i="10"/>
  <c r="AN25" i="10" s="1"/>
  <c r="AP25" i="10" s="1"/>
  <c r="Q31" i="10"/>
  <c r="F42" i="10"/>
  <c r="H42" i="10" s="1"/>
  <c r="AP46" i="10"/>
  <c r="AN47" i="10"/>
  <c r="H16" i="11"/>
  <c r="O16" i="11" s="1"/>
  <c r="AN17" i="11"/>
  <c r="AG18" i="11"/>
  <c r="Q22" i="11"/>
  <c r="S22" i="11" s="1"/>
  <c r="F31" i="11"/>
  <c r="Q27" i="12"/>
  <c r="S27" i="12" s="1"/>
  <c r="S28" i="12"/>
  <c r="Z31" i="12"/>
  <c r="Q34" i="12"/>
  <c r="S34" i="12" s="1"/>
  <c r="N44" i="12"/>
  <c r="O44" i="12" s="1"/>
  <c r="U44" i="12"/>
  <c r="V44" i="12" s="1"/>
  <c r="G41" i="12"/>
  <c r="G35" i="12"/>
  <c r="H35" i="12" s="1"/>
  <c r="G42" i="12"/>
  <c r="G39" i="12"/>
  <c r="H39" i="12" s="1"/>
  <c r="G34" i="12"/>
  <c r="G38" i="12"/>
  <c r="H38" i="12" s="1"/>
  <c r="AN28" i="13"/>
  <c r="AP28" i="13" s="1"/>
  <c r="L17" i="14"/>
  <c r="Q22" i="14"/>
  <c r="S22" i="14" s="1"/>
  <c r="AE23" i="14"/>
  <c r="S26" i="14"/>
  <c r="AB35" i="14"/>
  <c r="AC35" i="14" s="1"/>
  <c r="L21" i="15"/>
  <c r="U21" i="15" s="1"/>
  <c r="G13" i="3"/>
  <c r="AG19" i="10"/>
  <c r="U48" i="10"/>
  <c r="AC48" i="10"/>
  <c r="AP22" i="11"/>
  <c r="U48" i="12"/>
  <c r="AC48" i="12"/>
  <c r="AE38" i="9"/>
  <c r="AG38" i="9" s="1"/>
  <c r="J38" i="9"/>
  <c r="X38" i="9"/>
  <c r="Z38" i="9" s="1"/>
  <c r="Q38" i="9"/>
  <c r="H18" i="10"/>
  <c r="O18" i="10" s="1"/>
  <c r="L27" i="10"/>
  <c r="AE32" i="10"/>
  <c r="AG32" i="10" s="1"/>
  <c r="Q32" i="10"/>
  <c r="S32" i="10" s="1"/>
  <c r="U48" i="11"/>
  <c r="AJ31" i="14"/>
  <c r="AE15" i="15"/>
  <c r="AG15" i="15" s="1"/>
  <c r="Q15" i="15"/>
  <c r="S15" i="15" s="1"/>
  <c r="AL15" i="15"/>
  <c r="AN15" i="15" s="1"/>
  <c r="J15" i="15"/>
  <c r="X15" i="15"/>
  <c r="Z15" i="15" s="1"/>
  <c r="F15" i="15"/>
  <c r="H15" i="15" s="1"/>
  <c r="D116" i="5"/>
  <c r="D116" i="7"/>
  <c r="AI46" i="10"/>
  <c r="AQ46" i="10"/>
  <c r="J15" i="11"/>
  <c r="L15" i="11" s="1"/>
  <c r="F15" i="11"/>
  <c r="H15" i="11" s="1"/>
  <c r="Q15" i="11"/>
  <c r="S15" i="11" s="1"/>
  <c r="AE15" i="11"/>
  <c r="AG15" i="11" s="1"/>
  <c r="AP15" i="11" s="1"/>
  <c r="H24" i="11"/>
  <c r="O24" i="11" s="1"/>
  <c r="A164" i="2"/>
  <c r="D197" i="2"/>
  <c r="A241" i="2"/>
  <c r="A269" i="2"/>
  <c r="A343" i="2"/>
  <c r="A387" i="2"/>
  <c r="A458" i="2"/>
  <c r="A490" i="2"/>
  <c r="L15" i="3"/>
  <c r="D116" i="4"/>
  <c r="D337" i="6"/>
  <c r="D337" i="7"/>
  <c r="X17" i="9"/>
  <c r="Z17" i="9" s="1"/>
  <c r="F17" i="9"/>
  <c r="H17" i="9" s="1"/>
  <c r="O17" i="9" s="1"/>
  <c r="AL17" i="9"/>
  <c r="AN17" i="9" s="1"/>
  <c r="AP17" i="9" s="1"/>
  <c r="J17" i="9"/>
  <c r="L17" i="9" s="1"/>
  <c r="Q25" i="9"/>
  <c r="S25" i="9" s="1"/>
  <c r="F33" i="9"/>
  <c r="H33" i="9" s="1"/>
  <c r="O33" i="9" s="1"/>
  <c r="AN46" i="9"/>
  <c r="AP46" i="9" s="1"/>
  <c r="O48" i="9"/>
  <c r="N48" i="9"/>
  <c r="R42" i="9"/>
  <c r="R38" i="9"/>
  <c r="R35" i="9"/>
  <c r="S35" i="9" s="1"/>
  <c r="J16" i="10"/>
  <c r="L16" i="10" s="1"/>
  <c r="Q23" i="10"/>
  <c r="J24" i="10"/>
  <c r="L24" i="10" s="1"/>
  <c r="J25" i="10"/>
  <c r="L25" i="10" s="1"/>
  <c r="F25" i="10"/>
  <c r="Q25" i="10"/>
  <c r="S25" i="10" s="1"/>
  <c r="AE25" i="10"/>
  <c r="AG25" i="10" s="1"/>
  <c r="AE26" i="10"/>
  <c r="AG26" i="10" s="1"/>
  <c r="X27" i="10"/>
  <c r="Z27" i="10" s="1"/>
  <c r="S31" i="10"/>
  <c r="L32" i="10"/>
  <c r="X33" i="10"/>
  <c r="Z33" i="10" s="1"/>
  <c r="AE17" i="11"/>
  <c r="J17" i="11"/>
  <c r="L17" i="11" s="1"/>
  <c r="X17" i="11"/>
  <c r="Q17" i="11"/>
  <c r="S17" i="11" s="1"/>
  <c r="AE19" i="11"/>
  <c r="AG19" i="11" s="1"/>
  <c r="S21" i="11"/>
  <c r="X23" i="11"/>
  <c r="Z23" i="11" s="1"/>
  <c r="S26" i="11"/>
  <c r="Z34" i="11"/>
  <c r="AN48" i="11"/>
  <c r="X21" i="12"/>
  <c r="Z21" i="12" s="1"/>
  <c r="X28" i="12"/>
  <c r="X30" i="12"/>
  <c r="Z30" i="12" s="1"/>
  <c r="AG31" i="12"/>
  <c r="AL38" i="12"/>
  <c r="AN38" i="12" s="1"/>
  <c r="AP38" i="12" s="1"/>
  <c r="Z39" i="12"/>
  <c r="AL41" i="12"/>
  <c r="AN41" i="12" s="1"/>
  <c r="J19" i="13"/>
  <c r="L19" i="13" s="1"/>
  <c r="J25" i="13"/>
  <c r="Q32" i="13"/>
  <c r="S32" i="13" s="1"/>
  <c r="AI44" i="13"/>
  <c r="AJ44" i="13" s="1"/>
  <c r="Q17" i="14"/>
  <c r="S17" i="14" s="1"/>
  <c r="AG18" i="14"/>
  <c r="F30" i="14"/>
  <c r="H30" i="14" s="1"/>
  <c r="X33" i="14"/>
  <c r="AQ46" i="14"/>
  <c r="F17" i="15"/>
  <c r="H17" i="15" s="1"/>
  <c r="O17" i="15" s="1"/>
  <c r="AE36" i="15"/>
  <c r="AL43" i="16"/>
  <c r="AN43" i="16" s="1"/>
  <c r="AN28" i="9"/>
  <c r="AP28" i="9" s="1"/>
  <c r="AG36" i="12"/>
  <c r="A119" i="2"/>
  <c r="A165" i="2"/>
  <c r="A242" i="2"/>
  <c r="A459" i="2"/>
  <c r="A491" i="2"/>
  <c r="T11" i="3"/>
  <c r="U11" i="3" s="1"/>
  <c r="AI52" i="3"/>
  <c r="D158" i="6"/>
  <c r="D158" i="7"/>
  <c r="AL21" i="9"/>
  <c r="AN21" i="9" s="1"/>
  <c r="AP21" i="9" s="1"/>
  <c r="AL36" i="9"/>
  <c r="AE43" i="9"/>
  <c r="AG43" i="9" s="1"/>
  <c r="J43" i="9"/>
  <c r="L43" i="9" s="1"/>
  <c r="X43" i="9"/>
  <c r="Z43" i="9" s="1"/>
  <c r="Q43" i="9"/>
  <c r="S43" i="9" s="1"/>
  <c r="AL43" i="9"/>
  <c r="Y41" i="9"/>
  <c r="Y42" i="9"/>
  <c r="Y39" i="9"/>
  <c r="Z39" i="9" s="1"/>
  <c r="Y34" i="9"/>
  <c r="V15" i="10"/>
  <c r="F16" i="10"/>
  <c r="H16" i="10" s="1"/>
  <c r="O16" i="10" s="1"/>
  <c r="AE17" i="10"/>
  <c r="AG17" i="10" s="1"/>
  <c r="AL21" i="10"/>
  <c r="AN21" i="10" s="1"/>
  <c r="X22" i="10"/>
  <c r="S23" i="10"/>
  <c r="H25" i="10"/>
  <c r="O25" i="10" s="1"/>
  <c r="Q28" i="10"/>
  <c r="S28" i="10" s="1"/>
  <c r="Q41" i="10"/>
  <c r="J42" i="10"/>
  <c r="X43" i="10"/>
  <c r="Z43" i="10" s="1"/>
  <c r="AB35" i="10"/>
  <c r="AC35" i="10" s="1"/>
  <c r="H38" i="10"/>
  <c r="F17" i="11"/>
  <c r="H17" i="11" s="1"/>
  <c r="O17" i="11" s="1"/>
  <c r="Q25" i="11"/>
  <c r="AN34" i="11"/>
  <c r="F39" i="11"/>
  <c r="AL41" i="11"/>
  <c r="AN41" i="11" s="1"/>
  <c r="AE24" i="12"/>
  <c r="AG24" i="12" s="1"/>
  <c r="Z28" i="12"/>
  <c r="AN35" i="12"/>
  <c r="AP35" i="12" s="1"/>
  <c r="AQ35" i="12" s="1"/>
  <c r="U45" i="13"/>
  <c r="V45" i="13" s="1"/>
  <c r="F16" i="14"/>
  <c r="AE26" i="14"/>
  <c r="AG26" i="14" s="1"/>
  <c r="F37" i="37"/>
  <c r="H35" i="15"/>
  <c r="Q33" i="16"/>
  <c r="S33" i="16" s="1"/>
  <c r="AQ15" i="9"/>
  <c r="L18" i="9"/>
  <c r="AN38" i="9"/>
  <c r="AQ44" i="9"/>
  <c r="AP44" i="9"/>
  <c r="AN18" i="10"/>
  <c r="AP18" i="10" s="1"/>
  <c r="AE27" i="11"/>
  <c r="AG27" i="11" s="1"/>
  <c r="J27" i="11"/>
  <c r="L27" i="11" s="1"/>
  <c r="X27" i="11"/>
  <c r="Z27" i="11" s="1"/>
  <c r="F27" i="11"/>
  <c r="AL27" i="11"/>
  <c r="AN27" i="11" s="1"/>
  <c r="Q27" i="11"/>
  <c r="AG22" i="12"/>
  <c r="AN27" i="12"/>
  <c r="AP27" i="12" s="1"/>
  <c r="AG33" i="12"/>
  <c r="X38" i="13"/>
  <c r="Z38" i="13" s="1"/>
  <c r="AE28" i="9"/>
  <c r="AG28" i="9" s="1"/>
  <c r="J28" i="9"/>
  <c r="L28" i="9" s="1"/>
  <c r="X28" i="9"/>
  <c r="Z28" i="9" s="1"/>
  <c r="Q28" i="9"/>
  <c r="S28" i="9" s="1"/>
  <c r="AG32" i="9"/>
  <c r="N21" i="10"/>
  <c r="O21" i="10" s="1"/>
  <c r="F25" i="11"/>
  <c r="H25" i="11" s="1"/>
  <c r="O25" i="11" s="1"/>
  <c r="H27" i="11"/>
  <c r="O27" i="11" s="1"/>
  <c r="X34" i="11"/>
  <c r="AE34" i="11"/>
  <c r="J34" i="11"/>
  <c r="L34" i="11" s="1"/>
  <c r="F34" i="11"/>
  <c r="AL34" i="11"/>
  <c r="Q34" i="11"/>
  <c r="S34" i="11" s="1"/>
  <c r="Q26" i="13"/>
  <c r="S26" i="13" s="1"/>
  <c r="AE26" i="13"/>
  <c r="AG26" i="13" s="1"/>
  <c r="X26" i="13"/>
  <c r="Z26" i="13" s="1"/>
  <c r="F26" i="13"/>
  <c r="H26" i="13" s="1"/>
  <c r="O26" i="13" s="1"/>
  <c r="V31" i="15"/>
  <c r="D299" i="7"/>
  <c r="D299" i="6"/>
  <c r="D299" i="5"/>
  <c r="Z21" i="9"/>
  <c r="AL39" i="9"/>
  <c r="Q24" i="10"/>
  <c r="S24" i="10" s="1"/>
  <c r="F32" i="10"/>
  <c r="H32" i="10" s="1"/>
  <c r="AG17" i="11"/>
  <c r="Z38" i="11"/>
  <c r="AG43" i="14"/>
  <c r="AG18" i="16"/>
  <c r="D74" i="6"/>
  <c r="D73" i="4"/>
  <c r="A120" i="2"/>
  <c r="A243" i="2"/>
  <c r="U12" i="3"/>
  <c r="U38" i="3"/>
  <c r="T38" i="3"/>
  <c r="D236" i="6"/>
  <c r="D236" i="7"/>
  <c r="L16" i="9"/>
  <c r="AE22" i="9"/>
  <c r="AG22" i="9" s="1"/>
  <c r="X23" i="9"/>
  <c r="Z23" i="9" s="1"/>
  <c r="V31" i="9"/>
  <c r="AL34" i="9"/>
  <c r="J36" i="9"/>
  <c r="L36" i="9" s="1"/>
  <c r="X36" i="9"/>
  <c r="Z36" i="9" s="1"/>
  <c r="F36" i="9"/>
  <c r="H36" i="9" s="1"/>
  <c r="AE36" i="9"/>
  <c r="AN36" i="9"/>
  <c r="J41" i="9"/>
  <c r="AL42" i="9"/>
  <c r="F43" i="9"/>
  <c r="H43" i="9" s="1"/>
  <c r="AN43" i="9"/>
  <c r="AP43" i="9" s="1"/>
  <c r="U44" i="9"/>
  <c r="V44" i="9" s="1"/>
  <c r="S46" i="9"/>
  <c r="AB47" i="9"/>
  <c r="AC47" i="9" s="1"/>
  <c r="AE21" i="10"/>
  <c r="AG21" i="10" s="1"/>
  <c r="Z22" i="10"/>
  <c r="AL26" i="10"/>
  <c r="AN26" i="10" s="1"/>
  <c r="Q34" i="10"/>
  <c r="S34" i="10" s="1"/>
  <c r="Q39" i="10"/>
  <c r="S39" i="10" s="1"/>
  <c r="S41" i="10"/>
  <c r="H45" i="10"/>
  <c r="AQ45" i="10"/>
  <c r="U46" i="10"/>
  <c r="K35" i="10"/>
  <c r="L35" i="10" s="1"/>
  <c r="K42" i="10"/>
  <c r="K39" i="10"/>
  <c r="L39" i="10" s="1"/>
  <c r="K34" i="10"/>
  <c r="L34" i="10" s="1"/>
  <c r="K38" i="10"/>
  <c r="F18" i="11"/>
  <c r="H18" i="11" s="1"/>
  <c r="O18" i="11" s="1"/>
  <c r="AL19" i="11"/>
  <c r="AN19" i="11" s="1"/>
  <c r="AP19" i="11" s="1"/>
  <c r="S25" i="11"/>
  <c r="S30" i="11"/>
  <c r="J39" i="11"/>
  <c r="L39" i="11" s="1"/>
  <c r="X43" i="11"/>
  <c r="AG44" i="11"/>
  <c r="AP46" i="11"/>
  <c r="AQ46" i="11" s="1"/>
  <c r="AF38" i="11"/>
  <c r="AG38" i="11" s="1"/>
  <c r="AF41" i="11"/>
  <c r="AF35" i="11"/>
  <c r="AG35" i="11" s="1"/>
  <c r="AP35" i="11" s="1"/>
  <c r="AF42" i="11"/>
  <c r="AG42" i="11" s="1"/>
  <c r="AF34" i="11"/>
  <c r="AG34" i="11" s="1"/>
  <c r="F16" i="12"/>
  <c r="H16" i="12" s="1"/>
  <c r="O16" i="12" s="1"/>
  <c r="S17" i="12"/>
  <c r="AG18" i="12"/>
  <c r="Q32" i="12"/>
  <c r="AE17" i="13"/>
  <c r="AG17" i="13" s="1"/>
  <c r="AE22" i="13"/>
  <c r="H24" i="13"/>
  <c r="O24" i="13" s="1"/>
  <c r="Q25" i="13"/>
  <c r="AB45" i="13"/>
  <c r="AC45" i="13" s="1"/>
  <c r="H16" i="14"/>
  <c r="O16" i="14" s="1"/>
  <c r="X36" i="14"/>
  <c r="Z36" i="14" s="1"/>
  <c r="N45" i="17"/>
  <c r="O45" i="17" s="1"/>
  <c r="AL20" i="9"/>
  <c r="AN20" i="9" s="1"/>
  <c r="X22" i="9"/>
  <c r="Z22" i="9" s="1"/>
  <c r="J24" i="9"/>
  <c r="L24" i="9" s="1"/>
  <c r="F27" i="9"/>
  <c r="H27" i="9" s="1"/>
  <c r="O27" i="9" s="1"/>
  <c r="F32" i="9"/>
  <c r="H32" i="9" s="1"/>
  <c r="F42" i="9"/>
  <c r="H42" i="9" s="1"/>
  <c r="AL17" i="10"/>
  <c r="AN17" i="10" s="1"/>
  <c r="F19" i="10"/>
  <c r="H19" i="10" s="1"/>
  <c r="O19" i="10" s="1"/>
  <c r="AL24" i="10"/>
  <c r="AN24" i="10" s="1"/>
  <c r="X26" i="10"/>
  <c r="Z26" i="10" s="1"/>
  <c r="J28" i="10"/>
  <c r="L28" i="10" s="1"/>
  <c r="X31" i="10"/>
  <c r="Z31" i="10" s="1"/>
  <c r="J33" i="10"/>
  <c r="L33" i="10" s="1"/>
  <c r="F36" i="10"/>
  <c r="H36" i="10" s="1"/>
  <c r="J38" i="10"/>
  <c r="X41" i="10"/>
  <c r="Z41" i="10" s="1"/>
  <c r="J43" i="10"/>
  <c r="L43" i="10" s="1"/>
  <c r="AF47" i="10"/>
  <c r="AG47" i="10" s="1"/>
  <c r="Y48" i="10"/>
  <c r="Z48" i="10" s="1"/>
  <c r="Y48" i="11"/>
  <c r="Z48" i="11" s="1"/>
  <c r="AF47" i="11"/>
  <c r="AG47" i="11" s="1"/>
  <c r="X16" i="11"/>
  <c r="Z16" i="11" s="1"/>
  <c r="X18" i="11"/>
  <c r="Z18" i="11" s="1"/>
  <c r="F22" i="11"/>
  <c r="H22" i="11" s="1"/>
  <c r="O22" i="11" s="1"/>
  <c r="X22" i="11"/>
  <c r="Z22" i="11" s="1"/>
  <c r="X25" i="11"/>
  <c r="Z25" i="11" s="1"/>
  <c r="J28" i="11"/>
  <c r="L28" i="11" s="1"/>
  <c r="AG32" i="11"/>
  <c r="J41" i="11"/>
  <c r="L41" i="11" s="1"/>
  <c r="G48" i="11"/>
  <c r="H48" i="11" s="1"/>
  <c r="O48" i="11" s="1"/>
  <c r="AF48" i="11"/>
  <c r="AG48" i="11" s="1"/>
  <c r="AL15" i="12"/>
  <c r="AE20" i="12"/>
  <c r="AG20" i="12" s="1"/>
  <c r="J23" i="12"/>
  <c r="L23" i="12" s="1"/>
  <c r="X23" i="12"/>
  <c r="F23" i="12"/>
  <c r="H23" i="12" s="1"/>
  <c r="O23" i="12" s="1"/>
  <c r="Q23" i="12"/>
  <c r="S23" i="12" s="1"/>
  <c r="L25" i="12"/>
  <c r="X26" i="12"/>
  <c r="Z26" i="12" s="1"/>
  <c r="F26" i="12"/>
  <c r="H26" i="12" s="1"/>
  <c r="O26" i="12" s="1"/>
  <c r="AE26" i="12"/>
  <c r="AG26" i="12" s="1"/>
  <c r="AL31" i="12"/>
  <c r="AN31" i="12" s="1"/>
  <c r="AE34" i="12"/>
  <c r="AG34" i="12" s="1"/>
  <c r="J34" i="12"/>
  <c r="X34" i="12"/>
  <c r="Q39" i="12"/>
  <c r="S39" i="12" s="1"/>
  <c r="AL43" i="12"/>
  <c r="AN43" i="12" s="1"/>
  <c r="S17" i="13"/>
  <c r="F28" i="13"/>
  <c r="H28" i="13" s="1"/>
  <c r="O28" i="13" s="1"/>
  <c r="Q30" i="13"/>
  <c r="S30" i="13" s="1"/>
  <c r="J31" i="13"/>
  <c r="F32" i="13"/>
  <c r="H32" i="13" s="1"/>
  <c r="F42" i="13"/>
  <c r="AL16" i="14"/>
  <c r="X23" i="14"/>
  <c r="Z23" i="14" s="1"/>
  <c r="X25" i="14"/>
  <c r="Z25" i="14" s="1"/>
  <c r="X39" i="14"/>
  <c r="Z39" i="14" s="1"/>
  <c r="J39" i="14"/>
  <c r="L39" i="14" s="1"/>
  <c r="Q39" i="14"/>
  <c r="S39" i="14" s="1"/>
  <c r="AL39" i="14"/>
  <c r="AE39" i="14"/>
  <c r="AG39" i="14" s="1"/>
  <c r="F39" i="14"/>
  <c r="AB45" i="14"/>
  <c r="X21" i="15"/>
  <c r="AE21" i="15"/>
  <c r="AG21" i="15" s="1"/>
  <c r="AL21" i="15"/>
  <c r="AN21" i="15" s="1"/>
  <c r="AP21" i="15" s="1"/>
  <c r="AE24" i="15"/>
  <c r="AG24" i="15" s="1"/>
  <c r="J24" i="15"/>
  <c r="X24" i="15"/>
  <c r="Z24" i="15" s="1"/>
  <c r="Q24" i="15"/>
  <c r="F24" i="15"/>
  <c r="AG34" i="15"/>
  <c r="H16" i="16"/>
  <c r="O16" i="16" s="1"/>
  <c r="AG23" i="16"/>
  <c r="F20" i="9"/>
  <c r="H20" i="9" s="1"/>
  <c r="O20" i="9" s="1"/>
  <c r="AL25" i="9"/>
  <c r="AN25" i="9" s="1"/>
  <c r="AP25" i="9" s="1"/>
  <c r="AE26" i="9"/>
  <c r="AG26" i="9" s="1"/>
  <c r="X27" i="9"/>
  <c r="Z27" i="9" s="1"/>
  <c r="AL30" i="9"/>
  <c r="AN30" i="9" s="1"/>
  <c r="AE31" i="9"/>
  <c r="AG31" i="9" s="1"/>
  <c r="X32" i="9"/>
  <c r="Z32" i="9" s="1"/>
  <c r="J34" i="9"/>
  <c r="J39" i="9"/>
  <c r="AE41" i="9"/>
  <c r="AG41" i="9" s="1"/>
  <c r="X42" i="9"/>
  <c r="AL15" i="10"/>
  <c r="AN15" i="10" s="1"/>
  <c r="AE16" i="10"/>
  <c r="AG16" i="10" s="1"/>
  <c r="F17" i="10"/>
  <c r="H17" i="10" s="1"/>
  <c r="O17" i="10" s="1"/>
  <c r="X19" i="10"/>
  <c r="Z19" i="10" s="1"/>
  <c r="F24" i="10"/>
  <c r="H24" i="10" s="1"/>
  <c r="O24" i="10" s="1"/>
  <c r="AL34" i="10"/>
  <c r="AN34" i="10" s="1"/>
  <c r="AE35" i="10"/>
  <c r="AG35" i="10" s="1"/>
  <c r="X36" i="10"/>
  <c r="Z36" i="10" s="1"/>
  <c r="AL39" i="10"/>
  <c r="AN39" i="10" s="1"/>
  <c r="AE24" i="11"/>
  <c r="AL30" i="11"/>
  <c r="Q36" i="11"/>
  <c r="AL36" i="11"/>
  <c r="AN36" i="11" s="1"/>
  <c r="AP36" i="11" s="1"/>
  <c r="AB46" i="11"/>
  <c r="AC46" i="11" s="1"/>
  <c r="G47" i="11"/>
  <c r="H47" i="11" s="1"/>
  <c r="G39" i="11"/>
  <c r="H39" i="11" s="1"/>
  <c r="G34" i="11"/>
  <c r="H34" i="11" s="1"/>
  <c r="G41" i="11"/>
  <c r="H41" i="11" s="1"/>
  <c r="AN15" i="12"/>
  <c r="X24" i="12"/>
  <c r="Z24" i="12" s="1"/>
  <c r="AL26" i="12"/>
  <c r="AN26" i="12" s="1"/>
  <c r="AP26" i="12" s="1"/>
  <c r="Q30" i="12"/>
  <c r="S30" i="12" s="1"/>
  <c r="F34" i="12"/>
  <c r="AL34" i="12"/>
  <c r="H43" i="12"/>
  <c r="X35" i="12"/>
  <c r="Z35" i="12" s="1"/>
  <c r="AI35" i="12" s="1"/>
  <c r="AN45" i="12"/>
  <c r="Z46" i="12"/>
  <c r="AE15" i="13"/>
  <c r="AG15" i="13" s="1"/>
  <c r="X17" i="13"/>
  <c r="J18" i="13"/>
  <c r="L18" i="13" s="1"/>
  <c r="Q19" i="13"/>
  <c r="S19" i="13" s="1"/>
  <c r="AE24" i="13"/>
  <c r="AG24" i="13" s="1"/>
  <c r="L31" i="13"/>
  <c r="V31" i="13" s="1"/>
  <c r="X33" i="13"/>
  <c r="Z33" i="13" s="1"/>
  <c r="H42" i="13"/>
  <c r="AN46" i="13"/>
  <c r="AP46" i="13" s="1"/>
  <c r="AQ46" i="13" s="1"/>
  <c r="AN16" i="14"/>
  <c r="AP16" i="14" s="1"/>
  <c r="X30" i="14"/>
  <c r="X38" i="14"/>
  <c r="AL41" i="14"/>
  <c r="S46" i="14"/>
  <c r="U47" i="14"/>
  <c r="H24" i="15"/>
  <c r="O24" i="15" s="1"/>
  <c r="AB44" i="15"/>
  <c r="O21" i="16"/>
  <c r="AL16" i="9"/>
  <c r="AN16" i="9" s="1"/>
  <c r="AL18" i="9"/>
  <c r="X20" i="9"/>
  <c r="Z20" i="9" s="1"/>
  <c r="J22" i="9"/>
  <c r="L22" i="9" s="1"/>
  <c r="F25" i="9"/>
  <c r="H25" i="9" s="1"/>
  <c r="O25" i="9" s="1"/>
  <c r="F30" i="9"/>
  <c r="H30" i="9" s="1"/>
  <c r="F15" i="10"/>
  <c r="H15" i="10" s="1"/>
  <c r="X17" i="10"/>
  <c r="Z17" i="10" s="1"/>
  <c r="AL22" i="10"/>
  <c r="AN22" i="10" s="1"/>
  <c r="X24" i="10"/>
  <c r="Z24" i="10" s="1"/>
  <c r="J26" i="10"/>
  <c r="L26" i="10" s="1"/>
  <c r="J31" i="10"/>
  <c r="F34" i="10"/>
  <c r="H34" i="10" s="1"/>
  <c r="F39" i="10"/>
  <c r="H39" i="10" s="1"/>
  <c r="J41" i="10"/>
  <c r="L41" i="10" s="1"/>
  <c r="R47" i="10"/>
  <c r="S47" i="10" s="1"/>
  <c r="AB47" i="10" s="1"/>
  <c r="K48" i="10"/>
  <c r="L48" i="10" s="1"/>
  <c r="J16" i="11"/>
  <c r="L16" i="11" s="1"/>
  <c r="J18" i="11"/>
  <c r="L18" i="11" s="1"/>
  <c r="F19" i="11"/>
  <c r="H19" i="11" s="1"/>
  <c r="O19" i="11" s="1"/>
  <c r="X19" i="11"/>
  <c r="Z19" i="11" s="1"/>
  <c r="AL23" i="11"/>
  <c r="AN23" i="11" s="1"/>
  <c r="AP23" i="11" s="1"/>
  <c r="J25" i="11"/>
  <c r="L25" i="11" s="1"/>
  <c r="AL26" i="11"/>
  <c r="AN26" i="11" s="1"/>
  <c r="Q31" i="11"/>
  <c r="S31" i="11" s="1"/>
  <c r="AE43" i="11"/>
  <c r="AG43" i="11" s="1"/>
  <c r="J43" i="11"/>
  <c r="L43" i="11" s="1"/>
  <c r="Z43" i="11"/>
  <c r="K48" i="11"/>
  <c r="L48" i="11" s="1"/>
  <c r="AL23" i="12"/>
  <c r="AN23" i="12" s="1"/>
  <c r="Q25" i="12"/>
  <c r="S25" i="12" s="1"/>
  <c r="J31" i="12"/>
  <c r="L31" i="12" s="1"/>
  <c r="AE32" i="12"/>
  <c r="AG32" i="12" s="1"/>
  <c r="AN34" i="12"/>
  <c r="AP34" i="12" s="1"/>
  <c r="X36" i="12"/>
  <c r="V48" i="12"/>
  <c r="N48" i="12"/>
  <c r="F15" i="13"/>
  <c r="Z17" i="13"/>
  <c r="S31" i="13"/>
  <c r="J43" i="13"/>
  <c r="L43" i="13" s="1"/>
  <c r="AI45" i="13"/>
  <c r="AE19" i="14"/>
  <c r="AG19" i="14" s="1"/>
  <c r="AE20" i="14"/>
  <c r="AG20" i="14" s="1"/>
  <c r="J22" i="14"/>
  <c r="L22" i="14" s="1"/>
  <c r="J23" i="14"/>
  <c r="L23" i="14" s="1"/>
  <c r="J25" i="14"/>
  <c r="L25" i="14" s="1"/>
  <c r="J27" i="14"/>
  <c r="L27" i="14" s="1"/>
  <c r="F28" i="14"/>
  <c r="H28" i="14" s="1"/>
  <c r="O28" i="14" s="1"/>
  <c r="Z30" i="14"/>
  <c r="AQ45" i="14"/>
  <c r="AI45" i="14"/>
  <c r="AJ45" i="14" s="1"/>
  <c r="J23" i="15"/>
  <c r="F23" i="15"/>
  <c r="H23" i="15" s="1"/>
  <c r="O23" i="15" s="1"/>
  <c r="Q23" i="15"/>
  <c r="S23" i="15" s="1"/>
  <c r="AL23" i="15"/>
  <c r="AN23" i="15" s="1"/>
  <c r="AP23" i="15" s="1"/>
  <c r="X23" i="15"/>
  <c r="Z23" i="15" s="1"/>
  <c r="L24" i="15"/>
  <c r="Q25" i="15"/>
  <c r="AE27" i="15"/>
  <c r="AG27" i="15" s="1"/>
  <c r="F32" i="15"/>
  <c r="AI46" i="16"/>
  <c r="J22" i="11"/>
  <c r="Q24" i="11"/>
  <c r="S24" i="11" s="1"/>
  <c r="F26" i="11"/>
  <c r="H26" i="11" s="1"/>
  <c r="O26" i="11" s="1"/>
  <c r="X26" i="11"/>
  <c r="Z26" i="11" s="1"/>
  <c r="F30" i="11"/>
  <c r="H30" i="11" s="1"/>
  <c r="X39" i="11"/>
  <c r="Z39" i="11" s="1"/>
  <c r="AL39" i="11"/>
  <c r="Q41" i="11"/>
  <c r="S41" i="11" s="1"/>
  <c r="X42" i="11"/>
  <c r="Z42" i="11" s="1"/>
  <c r="F43" i="11"/>
  <c r="H43" i="11" s="1"/>
  <c r="F59" i="11"/>
  <c r="R35" i="11"/>
  <c r="S35" i="11" s="1"/>
  <c r="AB35" i="11" s="1"/>
  <c r="R42" i="11"/>
  <c r="Q15" i="12"/>
  <c r="S15" i="12" s="1"/>
  <c r="X16" i="12"/>
  <c r="Z16" i="12" s="1"/>
  <c r="Q16" i="12"/>
  <c r="AE16" i="12"/>
  <c r="AG16" i="12" s="1"/>
  <c r="X18" i="12"/>
  <c r="Z18" i="12" s="1"/>
  <c r="Q18" i="12"/>
  <c r="AE18" i="12"/>
  <c r="J26" i="12"/>
  <c r="L26" i="12" s="1"/>
  <c r="AE27" i="12"/>
  <c r="AG27" i="12" s="1"/>
  <c r="X33" i="12"/>
  <c r="Z33" i="12" s="1"/>
  <c r="Z36" i="12"/>
  <c r="AB44" i="12"/>
  <c r="AC44" i="12" s="1"/>
  <c r="AG46" i="12"/>
  <c r="H15" i="13"/>
  <c r="X16" i="13"/>
  <c r="Z16" i="13" s="1"/>
  <c r="Z21" i="13"/>
  <c r="X25" i="13"/>
  <c r="Z25" i="13" s="1"/>
  <c r="Q42" i="13"/>
  <c r="S42" i="13" s="1"/>
  <c r="F35" i="13"/>
  <c r="AJ45" i="13"/>
  <c r="J59" i="13"/>
  <c r="F17" i="14"/>
  <c r="H17" i="14" s="1"/>
  <c r="O17" i="14" s="1"/>
  <c r="AE17" i="14"/>
  <c r="AG17" i="14" s="1"/>
  <c r="J17" i="14"/>
  <c r="AL17" i="14"/>
  <c r="AN17" i="14" s="1"/>
  <c r="AP17" i="14" s="1"/>
  <c r="Q26" i="14"/>
  <c r="L38" i="14"/>
  <c r="X41" i="14"/>
  <c r="F41" i="14"/>
  <c r="J41" i="14"/>
  <c r="L41" i="14" s="1"/>
  <c r="O44" i="14"/>
  <c r="AE20" i="15"/>
  <c r="J20" i="15"/>
  <c r="L20" i="15" s="1"/>
  <c r="AL20" i="15"/>
  <c r="AN20" i="15" s="1"/>
  <c r="Q20" i="15"/>
  <c r="S20" i="15" s="1"/>
  <c r="F20" i="15"/>
  <c r="H20" i="15" s="1"/>
  <c r="O20" i="15" s="1"/>
  <c r="X20" i="15"/>
  <c r="S25" i="15"/>
  <c r="X26" i="15"/>
  <c r="Z26" i="15" s="1"/>
  <c r="H32" i="15"/>
  <c r="S42" i="15"/>
  <c r="AL41" i="19"/>
  <c r="J16" i="9"/>
  <c r="J18" i="9"/>
  <c r="AL26" i="9"/>
  <c r="AN26" i="9" s="1"/>
  <c r="AP26" i="9" s="1"/>
  <c r="AE27" i="9"/>
  <c r="AG27" i="9" s="1"/>
  <c r="AL31" i="9"/>
  <c r="AN31" i="9" s="1"/>
  <c r="AE32" i="9"/>
  <c r="Q34" i="9"/>
  <c r="Q39" i="9"/>
  <c r="S39" i="9" s="1"/>
  <c r="AL41" i="9"/>
  <c r="AN41" i="9" s="1"/>
  <c r="AE42" i="9"/>
  <c r="AG42" i="9" s="1"/>
  <c r="AL16" i="10"/>
  <c r="AN16" i="10" s="1"/>
  <c r="AP16" i="10" s="1"/>
  <c r="AE19" i="10"/>
  <c r="J22" i="10"/>
  <c r="L22" i="10" s="1"/>
  <c r="AE36" i="10"/>
  <c r="AG36" i="10" s="1"/>
  <c r="G47" i="10"/>
  <c r="H47" i="10" s="1"/>
  <c r="J23" i="11"/>
  <c r="J26" i="11"/>
  <c r="L26" i="11" s="1"/>
  <c r="J30" i="11"/>
  <c r="L30" i="11" s="1"/>
  <c r="AL31" i="11"/>
  <c r="AN31" i="11" s="1"/>
  <c r="X31" i="11"/>
  <c r="Z31" i="11" s="1"/>
  <c r="AL32" i="11"/>
  <c r="AN32" i="11" s="1"/>
  <c r="AP32" i="11" s="1"/>
  <c r="X32" i="11"/>
  <c r="Z32" i="11" s="1"/>
  <c r="J36" i="11"/>
  <c r="L36" i="11" s="1"/>
  <c r="F36" i="11"/>
  <c r="AL42" i="11"/>
  <c r="AN42" i="11" s="1"/>
  <c r="AM47" i="11"/>
  <c r="AN47" i="11" s="1"/>
  <c r="J16" i="12"/>
  <c r="L16" i="12" s="1"/>
  <c r="AL16" i="12"/>
  <c r="AN16" i="12" s="1"/>
  <c r="AP16" i="12" s="1"/>
  <c r="X17" i="12"/>
  <c r="Z17" i="12" s="1"/>
  <c r="J18" i="12"/>
  <c r="L18" i="12" s="1"/>
  <c r="AN18" i="12"/>
  <c r="AE19" i="12"/>
  <c r="AG19" i="12" s="1"/>
  <c r="S20" i="12"/>
  <c r="F24" i="12"/>
  <c r="H24" i="12" s="1"/>
  <c r="O24" i="12" s="1"/>
  <c r="Q26" i="12"/>
  <c r="S26" i="12" s="1"/>
  <c r="AL36" i="12"/>
  <c r="AN36" i="12" s="1"/>
  <c r="AP36" i="12" s="1"/>
  <c r="X41" i="12"/>
  <c r="Z41" i="12" s="1"/>
  <c r="F41" i="12"/>
  <c r="AE41" i="12"/>
  <c r="AG41" i="12" s="1"/>
  <c r="X43" i="12"/>
  <c r="Z43" i="12" s="1"/>
  <c r="AI44" i="12"/>
  <c r="AJ44" i="12" s="1"/>
  <c r="AQ44" i="12"/>
  <c r="K35" i="12"/>
  <c r="L35" i="12" s="1"/>
  <c r="K42" i="12"/>
  <c r="L42" i="12" s="1"/>
  <c r="K41" i="12"/>
  <c r="Q15" i="13"/>
  <c r="S15" i="13" s="1"/>
  <c r="J16" i="13"/>
  <c r="L16" i="13" s="1"/>
  <c r="O21" i="13"/>
  <c r="X23" i="13"/>
  <c r="Z23" i="13" s="1"/>
  <c r="L25" i="13"/>
  <c r="J34" i="13"/>
  <c r="J38" i="13"/>
  <c r="X42" i="13"/>
  <c r="J35" i="13"/>
  <c r="L44" i="13"/>
  <c r="AL35" i="13"/>
  <c r="AN35" i="13" s="1"/>
  <c r="AP35" i="13" s="1"/>
  <c r="AP45" i="13"/>
  <c r="AQ45" i="13" s="1"/>
  <c r="AJ46" i="13"/>
  <c r="S48" i="13"/>
  <c r="G38" i="13"/>
  <c r="G35" i="13"/>
  <c r="G39" i="13"/>
  <c r="G34" i="13"/>
  <c r="AE21" i="14"/>
  <c r="AG21" i="14" s="1"/>
  <c r="Z22" i="14"/>
  <c r="AL30" i="14"/>
  <c r="AN30" i="14" s="1"/>
  <c r="Q41" i="14"/>
  <c r="S41" i="14" s="1"/>
  <c r="J42" i="14"/>
  <c r="L42" i="14" s="1"/>
  <c r="N44" i="14"/>
  <c r="AP46" i="14"/>
  <c r="J19" i="15"/>
  <c r="L19" i="15" s="1"/>
  <c r="AL26" i="15"/>
  <c r="AN26" i="15" s="1"/>
  <c r="F30" i="15"/>
  <c r="H30" i="15" s="1"/>
  <c r="X32" i="15"/>
  <c r="Z32" i="15" s="1"/>
  <c r="X30" i="16"/>
  <c r="Q38" i="17"/>
  <c r="S38" i="17" s="1"/>
  <c r="AL24" i="9"/>
  <c r="AN24" i="9" s="1"/>
  <c r="AE25" i="9"/>
  <c r="AG25" i="9" s="1"/>
  <c r="X26" i="9"/>
  <c r="Z26" i="9" s="1"/>
  <c r="Q27" i="9"/>
  <c r="S27" i="9" s="1"/>
  <c r="AE30" i="9"/>
  <c r="AG30" i="9" s="1"/>
  <c r="X31" i="9"/>
  <c r="Z31" i="9" s="1"/>
  <c r="X41" i="9"/>
  <c r="Q42" i="9"/>
  <c r="AE15" i="10"/>
  <c r="AG15" i="10" s="1"/>
  <c r="X16" i="10"/>
  <c r="Z16" i="10" s="1"/>
  <c r="Q19" i="10"/>
  <c r="S19" i="10" s="1"/>
  <c r="AL28" i="10"/>
  <c r="AN28" i="10" s="1"/>
  <c r="AP28" i="10" s="1"/>
  <c r="AL33" i="10"/>
  <c r="AN33" i="10" s="1"/>
  <c r="AE34" i="10"/>
  <c r="Q36" i="10"/>
  <c r="S36" i="10" s="1"/>
  <c r="AL38" i="10"/>
  <c r="AN38" i="10" s="1"/>
  <c r="AP38" i="10" s="1"/>
  <c r="AE39" i="10"/>
  <c r="AG39" i="10" s="1"/>
  <c r="AL43" i="10"/>
  <c r="AN43" i="10" s="1"/>
  <c r="X24" i="11"/>
  <c r="Z24" i="11" s="1"/>
  <c r="AE26" i="11"/>
  <c r="AG26" i="11" s="1"/>
  <c r="X28" i="11"/>
  <c r="Z28" i="11" s="1"/>
  <c r="AN28" i="11"/>
  <c r="AP28" i="11" s="1"/>
  <c r="AE30" i="11"/>
  <c r="AG30" i="11" s="1"/>
  <c r="H31" i="11"/>
  <c r="O31" i="11" s="1"/>
  <c r="Z33" i="11"/>
  <c r="AE36" i="11"/>
  <c r="AG36" i="11" s="1"/>
  <c r="AN39" i="11"/>
  <c r="AE42" i="11"/>
  <c r="Q43" i="11"/>
  <c r="S43" i="11" s="1"/>
  <c r="AL43" i="11"/>
  <c r="AN43" i="11" s="1"/>
  <c r="AP43" i="11" s="1"/>
  <c r="AC45" i="11"/>
  <c r="R47" i="11"/>
  <c r="S47" i="11" s="1"/>
  <c r="AL19" i="12"/>
  <c r="AN19" i="12" s="1"/>
  <c r="AP19" i="12" s="1"/>
  <c r="Z20" i="12"/>
  <c r="L21" i="12"/>
  <c r="Q22" i="12"/>
  <c r="S22" i="12" s="1"/>
  <c r="AE22" i="12"/>
  <c r="X22" i="12"/>
  <c r="Z22" i="12" s="1"/>
  <c r="F22" i="12"/>
  <c r="J27" i="12"/>
  <c r="L27" i="12" s="1"/>
  <c r="AG28" i="12"/>
  <c r="AE30" i="12"/>
  <c r="AG30" i="12" s="1"/>
  <c r="Z34" i="12"/>
  <c r="S35" i="12"/>
  <c r="AE39" i="12"/>
  <c r="AG39" i="12" s="1"/>
  <c r="J39" i="12"/>
  <c r="L39" i="12" s="1"/>
  <c r="X39" i="12"/>
  <c r="J41" i="12"/>
  <c r="AN44" i="12"/>
  <c r="AP44" i="12" s="1"/>
  <c r="AN21" i="13"/>
  <c r="AP21" i="13" s="1"/>
  <c r="AG22" i="13"/>
  <c r="AE23" i="13"/>
  <c r="S25" i="13"/>
  <c r="L26" i="13"/>
  <c r="J27" i="13"/>
  <c r="L27" i="13" s="1"/>
  <c r="X27" i="13"/>
  <c r="Z27" i="13" s="1"/>
  <c r="F27" i="13"/>
  <c r="H27" i="13" s="1"/>
  <c r="O27" i="13" s="1"/>
  <c r="Q27" i="13"/>
  <c r="S27" i="13" s="1"/>
  <c r="X30" i="13"/>
  <c r="Z30" i="13" s="1"/>
  <c r="Q36" i="13"/>
  <c r="S36" i="13" s="1"/>
  <c r="AE36" i="13"/>
  <c r="AG36" i="13" s="1"/>
  <c r="J36" i="13"/>
  <c r="L36" i="13" s="1"/>
  <c r="X36" i="13"/>
  <c r="Z36" i="13" s="1"/>
  <c r="AL36" i="13"/>
  <c r="Q38" i="13"/>
  <c r="S38" i="13" s="1"/>
  <c r="AE41" i="13"/>
  <c r="O46" i="13"/>
  <c r="Z48" i="13"/>
  <c r="J19" i="14"/>
  <c r="AE22" i="14"/>
  <c r="AG22" i="14" s="1"/>
  <c r="AG23" i="14"/>
  <c r="AG24" i="14"/>
  <c r="AE25" i="14"/>
  <c r="AG25" i="14" s="1"/>
  <c r="S44" i="14"/>
  <c r="O46" i="14"/>
  <c r="Z20" i="15"/>
  <c r="Z21" i="15"/>
  <c r="X27" i="15"/>
  <c r="Z27" i="15" s="1"/>
  <c r="J28" i="15"/>
  <c r="Z34" i="19"/>
  <c r="AE16" i="41"/>
  <c r="J38" i="41"/>
  <c r="L38" i="41" s="1"/>
  <c r="AL32" i="41"/>
  <c r="F31" i="41"/>
  <c r="H31" i="41" s="1"/>
  <c r="O31" i="41" s="1"/>
  <c r="F26" i="41"/>
  <c r="Q35" i="41"/>
  <c r="S35" i="41" s="1"/>
  <c r="J32" i="41"/>
  <c r="L32" i="41" s="1"/>
  <c r="Q31" i="41"/>
  <c r="J27" i="41"/>
  <c r="Q26" i="41"/>
  <c r="AE24" i="41"/>
  <c r="F45" i="41"/>
  <c r="H45" i="41" s="1"/>
  <c r="X38" i="41"/>
  <c r="Z38" i="41" s="1"/>
  <c r="J31" i="41"/>
  <c r="L31" i="41" s="1"/>
  <c r="Q24" i="41"/>
  <c r="S24" i="41" s="1"/>
  <c r="Q16" i="41"/>
  <c r="Q38" i="41"/>
  <c r="S38" i="41" s="1"/>
  <c r="F34" i="41"/>
  <c r="J26" i="41"/>
  <c r="L26" i="41" s="1"/>
  <c r="AE31" i="41"/>
  <c r="AG31" i="41" s="1"/>
  <c r="X27" i="41"/>
  <c r="Z27" i="41" s="1"/>
  <c r="X22" i="41"/>
  <c r="X43" i="41"/>
  <c r="X34" i="41"/>
  <c r="Z34" i="41" s="1"/>
  <c r="Q19" i="41"/>
  <c r="S19" i="41" s="1"/>
  <c r="J15" i="41"/>
  <c r="L15" i="41" s="1"/>
  <c r="AE34" i="41"/>
  <c r="AG34" i="41" s="1"/>
  <c r="AE26" i="41"/>
  <c r="AG26" i="41" s="1"/>
  <c r="AL19" i="41"/>
  <c r="AL27" i="40"/>
  <c r="AN27" i="40" s="1"/>
  <c r="AP27" i="40" s="1"/>
  <c r="F38" i="41"/>
  <c r="H38" i="41" s="1"/>
  <c r="O38" i="41" s="1"/>
  <c r="Q44" i="40"/>
  <c r="Q34" i="41"/>
  <c r="AL22" i="41"/>
  <c r="AN22" i="41" s="1"/>
  <c r="AE38" i="41"/>
  <c r="AG38" i="41" s="1"/>
  <c r="X23" i="41"/>
  <c r="Z23" i="41" s="1"/>
  <c r="J31" i="40"/>
  <c r="X28" i="40"/>
  <c r="F28" i="40"/>
  <c r="X23" i="40"/>
  <c r="Z23" i="40" s="1"/>
  <c r="F23" i="40"/>
  <c r="H23" i="40" s="1"/>
  <c r="O23" i="40" s="1"/>
  <c r="J22" i="40"/>
  <c r="Q44" i="41"/>
  <c r="S44" i="41" s="1"/>
  <c r="Q22" i="41"/>
  <c r="X15" i="41"/>
  <c r="F44" i="40"/>
  <c r="X43" i="40"/>
  <c r="Z43" i="40" s="1"/>
  <c r="F41" i="40"/>
  <c r="H41" i="40" s="1"/>
  <c r="AE38" i="40"/>
  <c r="AG38" i="40" s="1"/>
  <c r="F27" i="41"/>
  <c r="AL25" i="41"/>
  <c r="AN25" i="41" s="1"/>
  <c r="J16" i="41"/>
  <c r="X41" i="40"/>
  <c r="Z41" i="40" s="1"/>
  <c r="AL28" i="40"/>
  <c r="AN28" i="40" s="1"/>
  <c r="X27" i="40"/>
  <c r="Z27" i="40" s="1"/>
  <c r="F27" i="40"/>
  <c r="H27" i="40" s="1"/>
  <c r="O27" i="40" s="1"/>
  <c r="X24" i="41"/>
  <c r="Z24" i="41" s="1"/>
  <c r="Q23" i="41"/>
  <c r="J18" i="41"/>
  <c r="Q45" i="40"/>
  <c r="J38" i="40"/>
  <c r="AL32" i="40"/>
  <c r="AN32" i="40" s="1"/>
  <c r="X31" i="40"/>
  <c r="Z31" i="40" s="1"/>
  <c r="F31" i="40"/>
  <c r="H31" i="40" s="1"/>
  <c r="O31" i="40" s="1"/>
  <c r="X26" i="40"/>
  <c r="Z26" i="40" s="1"/>
  <c r="F26" i="40"/>
  <c r="H26" i="40" s="1"/>
  <c r="O26" i="40" s="1"/>
  <c r="AL23" i="40"/>
  <c r="X22" i="40"/>
  <c r="Z22" i="40" s="1"/>
  <c r="F22" i="40"/>
  <c r="H22" i="40" s="1"/>
  <c r="O22" i="40" s="1"/>
  <c r="F28" i="41"/>
  <c r="H28" i="41" s="1"/>
  <c r="O28" i="41" s="1"/>
  <c r="F16" i="41"/>
  <c r="H16" i="41" s="1"/>
  <c r="O16" i="41" s="1"/>
  <c r="J25" i="41"/>
  <c r="L25" i="41" s="1"/>
  <c r="AE43" i="40"/>
  <c r="J43" i="40"/>
  <c r="AE35" i="40"/>
  <c r="AE32" i="40"/>
  <c r="AG32" i="40" s="1"/>
  <c r="Q31" i="40"/>
  <c r="S31" i="40" s="1"/>
  <c r="Q26" i="40"/>
  <c r="J20" i="40"/>
  <c r="L20" i="40" s="1"/>
  <c r="F15" i="41"/>
  <c r="AL41" i="40"/>
  <c r="Q40" i="40"/>
  <c r="Q35" i="40"/>
  <c r="S35" i="40" s="1"/>
  <c r="J27" i="40"/>
  <c r="AE17" i="40"/>
  <c r="AG17" i="40" s="1"/>
  <c r="J40" i="39"/>
  <c r="J35" i="39"/>
  <c r="L35" i="39" s="1"/>
  <c r="J19" i="39"/>
  <c r="L19" i="39" s="1"/>
  <c r="Q38" i="40"/>
  <c r="S38" i="40" s="1"/>
  <c r="AE36" i="40"/>
  <c r="AG36" i="40" s="1"/>
  <c r="F36" i="40"/>
  <c r="F45" i="39"/>
  <c r="H45" i="39" s="1"/>
  <c r="AL31" i="40"/>
  <c r="F17" i="40"/>
  <c r="F43" i="40"/>
  <c r="Q28" i="40"/>
  <c r="S28" i="40" s="1"/>
  <c r="AE27" i="40"/>
  <c r="AG27" i="40" s="1"/>
  <c r="AL26" i="40"/>
  <c r="Q23" i="40"/>
  <c r="S23" i="40" s="1"/>
  <c r="AE22" i="40"/>
  <c r="X40" i="39"/>
  <c r="Z40" i="39" s="1"/>
  <c r="F40" i="39"/>
  <c r="H40" i="39" s="1"/>
  <c r="F35" i="39"/>
  <c r="H35" i="39" s="1"/>
  <c r="Q33" i="39"/>
  <c r="S33" i="39" s="1"/>
  <c r="AL32" i="39"/>
  <c r="AN32" i="39" s="1"/>
  <c r="J45" i="40"/>
  <c r="L45" i="40" s="1"/>
  <c r="AE41" i="40"/>
  <c r="AL38" i="40"/>
  <c r="AN38" i="40" s="1"/>
  <c r="AP38" i="40" s="1"/>
  <c r="F38" i="40"/>
  <c r="J35" i="40"/>
  <c r="AE20" i="40"/>
  <c r="AG20" i="40" s="1"/>
  <c r="F20" i="40"/>
  <c r="AE35" i="39"/>
  <c r="AL40" i="40"/>
  <c r="AN40" i="40" s="1"/>
  <c r="AP40" i="40" s="1"/>
  <c r="X36" i="40"/>
  <c r="Z36" i="40" s="1"/>
  <c r="Q32" i="40"/>
  <c r="S32" i="40" s="1"/>
  <c r="Q19" i="40"/>
  <c r="S19" i="40" s="1"/>
  <c r="X17" i="40"/>
  <c r="Z17" i="40" s="1"/>
  <c r="AL28" i="41"/>
  <c r="X16" i="41"/>
  <c r="Q41" i="40"/>
  <c r="AE40" i="40"/>
  <c r="Q27" i="40"/>
  <c r="Q22" i="40"/>
  <c r="S22" i="40" s="1"/>
  <c r="X20" i="40"/>
  <c r="Z20" i="40" s="1"/>
  <c r="AE28" i="40"/>
  <c r="AG28" i="40" s="1"/>
  <c r="J45" i="39"/>
  <c r="L45" i="39" s="1"/>
  <c r="AE41" i="39"/>
  <c r="F38" i="39"/>
  <c r="H38" i="39" s="1"/>
  <c r="J36" i="39"/>
  <c r="L36" i="39" s="1"/>
  <c r="J26" i="39"/>
  <c r="L26" i="39" s="1"/>
  <c r="J22" i="39"/>
  <c r="AE31" i="40"/>
  <c r="Q35" i="39"/>
  <c r="S35" i="39" s="1"/>
  <c r="F33" i="39"/>
  <c r="H33" i="39" s="1"/>
  <c r="X32" i="39"/>
  <c r="Z32" i="39" s="1"/>
  <c r="F27" i="39"/>
  <c r="H27" i="39" s="1"/>
  <c r="O27" i="39" s="1"/>
  <c r="AE19" i="39"/>
  <c r="AG19" i="39" s="1"/>
  <c r="Q25" i="41"/>
  <c r="S25" i="41" s="1"/>
  <c r="F15" i="40"/>
  <c r="H15" i="40" s="1"/>
  <c r="AE38" i="39"/>
  <c r="AG38" i="39" s="1"/>
  <c r="F36" i="39"/>
  <c r="F34" i="39"/>
  <c r="H34" i="39" s="1"/>
  <c r="O34" i="39" s="1"/>
  <c r="X27" i="39"/>
  <c r="Z27" i="39" s="1"/>
  <c r="F25" i="39"/>
  <c r="H25" i="39" s="1"/>
  <c r="O25" i="39" s="1"/>
  <c r="X38" i="40"/>
  <c r="X21" i="40"/>
  <c r="AL45" i="39"/>
  <c r="AN45" i="39" s="1"/>
  <c r="AP45" i="39" s="1"/>
  <c r="Q40" i="39"/>
  <c r="S40" i="39" s="1"/>
  <c r="X33" i="39"/>
  <c r="AL30" i="41"/>
  <c r="AN30" i="41" s="1"/>
  <c r="X15" i="40"/>
  <c r="AL33" i="39"/>
  <c r="AN33" i="39" s="1"/>
  <c r="AE32" i="39"/>
  <c r="AL28" i="39"/>
  <c r="Q28" i="39"/>
  <c r="S28" i="39" s="1"/>
  <c r="Q25" i="39"/>
  <c r="S25" i="39" s="1"/>
  <c r="J23" i="40"/>
  <c r="L23" i="40" s="1"/>
  <c r="J17" i="40"/>
  <c r="L17" i="40" s="1"/>
  <c r="Q45" i="39"/>
  <c r="S45" i="39" s="1"/>
  <c r="AE40" i="39"/>
  <c r="AG40" i="39" s="1"/>
  <c r="J38" i="39"/>
  <c r="L38" i="39" s="1"/>
  <c r="Q34" i="39"/>
  <c r="S34" i="39" s="1"/>
  <c r="F32" i="39"/>
  <c r="H32" i="39" s="1"/>
  <c r="AE27" i="39"/>
  <c r="AG27" i="39" s="1"/>
  <c r="Q19" i="39"/>
  <c r="S19" i="39" s="1"/>
  <c r="F32" i="41"/>
  <c r="J28" i="40"/>
  <c r="L28" i="40" s="1"/>
  <c r="J41" i="39"/>
  <c r="AL36" i="39"/>
  <c r="Q26" i="39"/>
  <c r="S26" i="39" s="1"/>
  <c r="X19" i="39"/>
  <c r="Z19" i="39" s="1"/>
  <c r="AL15" i="39"/>
  <c r="AN15" i="39" s="1"/>
  <c r="J46" i="38"/>
  <c r="J35" i="41"/>
  <c r="AL38" i="39"/>
  <c r="AN38" i="39" s="1"/>
  <c r="AL35" i="39"/>
  <c r="AN35" i="39" s="1"/>
  <c r="AE31" i="39"/>
  <c r="AG31" i="39" s="1"/>
  <c r="AE24" i="39"/>
  <c r="AL23" i="39"/>
  <c r="AN23" i="39" s="1"/>
  <c r="AP23" i="39" s="1"/>
  <c r="AL18" i="39"/>
  <c r="AN18" i="39" s="1"/>
  <c r="J32" i="38"/>
  <c r="L32" i="38" s="1"/>
  <c r="J24" i="41"/>
  <c r="AL34" i="39"/>
  <c r="AN34" i="39" s="1"/>
  <c r="AP34" i="39" s="1"/>
  <c r="F18" i="39"/>
  <c r="H18" i="39" s="1"/>
  <c r="O18" i="39" s="1"/>
  <c r="X17" i="39"/>
  <c r="F15" i="39"/>
  <c r="X36" i="39"/>
  <c r="Z36" i="39" s="1"/>
  <c r="J33" i="39"/>
  <c r="L33" i="39" s="1"/>
  <c r="X24" i="39"/>
  <c r="Z24" i="39" s="1"/>
  <c r="F20" i="39"/>
  <c r="H20" i="39" s="1"/>
  <c r="O20" i="39" s="1"/>
  <c r="F45" i="40"/>
  <c r="H45" i="40" s="1"/>
  <c r="AL40" i="39"/>
  <c r="AL26" i="39"/>
  <c r="AN26" i="39" s="1"/>
  <c r="AE23" i="39"/>
  <c r="AG23" i="39" s="1"/>
  <c r="AL25" i="40"/>
  <c r="AN25" i="40" s="1"/>
  <c r="AP25" i="40" s="1"/>
  <c r="AL21" i="40"/>
  <c r="AN21" i="40" s="1"/>
  <c r="AP21" i="40" s="1"/>
  <c r="AE19" i="40"/>
  <c r="AG19" i="40" s="1"/>
  <c r="X35" i="39"/>
  <c r="X34" i="39"/>
  <c r="J32" i="39"/>
  <c r="L32" i="39" s="1"/>
  <c r="N32" i="39" s="1"/>
  <c r="J25" i="39"/>
  <c r="AL22" i="39"/>
  <c r="AN22" i="39" s="1"/>
  <c r="X44" i="40"/>
  <c r="AE26" i="40"/>
  <c r="AE16" i="40"/>
  <c r="Q38" i="39"/>
  <c r="AE22" i="39"/>
  <c r="AG22" i="39" s="1"/>
  <c r="F46" i="38"/>
  <c r="AE43" i="38"/>
  <c r="J26" i="38"/>
  <c r="L26" i="38" s="1"/>
  <c r="X24" i="38"/>
  <c r="Q43" i="39"/>
  <c r="J31" i="39"/>
  <c r="L31" i="39" s="1"/>
  <c r="AL24" i="39"/>
  <c r="AN24" i="39" s="1"/>
  <c r="J15" i="39"/>
  <c r="F45" i="38"/>
  <c r="H45" i="38" s="1"/>
  <c r="X43" i="38"/>
  <c r="AE35" i="38"/>
  <c r="J35" i="38"/>
  <c r="L35" i="38" s="1"/>
  <c r="X33" i="38"/>
  <c r="Z33" i="38" s="1"/>
  <c r="Q32" i="38"/>
  <c r="S32" i="38" s="1"/>
  <c r="Q28" i="38"/>
  <c r="S28" i="38" s="1"/>
  <c r="F24" i="38"/>
  <c r="H24" i="38" s="1"/>
  <c r="O24" i="38" s="1"/>
  <c r="AE16" i="38"/>
  <c r="AG16" i="38" s="1"/>
  <c r="J32" i="40"/>
  <c r="AL25" i="39"/>
  <c r="X22" i="39"/>
  <c r="Z22" i="39" s="1"/>
  <c r="X20" i="39"/>
  <c r="X18" i="39"/>
  <c r="F43" i="39"/>
  <c r="AE17" i="39"/>
  <c r="AG17" i="39" s="1"/>
  <c r="J44" i="38"/>
  <c r="X38" i="38"/>
  <c r="Z38" i="38" s="1"/>
  <c r="F26" i="38"/>
  <c r="H26" i="38" s="1"/>
  <c r="O26" i="38" s="1"/>
  <c r="Q22" i="38"/>
  <c r="S22" i="38" s="1"/>
  <c r="AE15" i="41"/>
  <c r="J36" i="40"/>
  <c r="L36" i="40" s="1"/>
  <c r="AE26" i="39"/>
  <c r="AE25" i="39"/>
  <c r="AG25" i="39" s="1"/>
  <c r="X46" i="38"/>
  <c r="X37" i="38" s="1"/>
  <c r="AL45" i="38"/>
  <c r="AN45" i="38" s="1"/>
  <c r="Q43" i="38"/>
  <c r="AL40" i="38"/>
  <c r="Q33" i="38"/>
  <c r="X15" i="39"/>
  <c r="Z15" i="39" s="1"/>
  <c r="F43" i="38"/>
  <c r="J22" i="38"/>
  <c r="AE33" i="39"/>
  <c r="AG33" i="39" s="1"/>
  <c r="J17" i="39"/>
  <c r="L17" i="39" s="1"/>
  <c r="Q45" i="38"/>
  <c r="S45" i="38" s="1"/>
  <c r="AE26" i="38"/>
  <c r="AG26" i="38" s="1"/>
  <c r="F34" i="40"/>
  <c r="J27" i="39"/>
  <c r="L27" i="39" s="1"/>
  <c r="AL46" i="38"/>
  <c r="AL37" i="38" s="1"/>
  <c r="J41" i="38"/>
  <c r="AL38" i="38"/>
  <c r="AL35" i="38"/>
  <c r="J34" i="38"/>
  <c r="F33" i="38"/>
  <c r="X32" i="38"/>
  <c r="J24" i="38"/>
  <c r="X22" i="38"/>
  <c r="AE44" i="38"/>
  <c r="F16" i="38"/>
  <c r="J45" i="37"/>
  <c r="J32" i="37"/>
  <c r="J27" i="37"/>
  <c r="L27" i="37" s="1"/>
  <c r="J44" i="36"/>
  <c r="J41" i="40"/>
  <c r="Q23" i="39"/>
  <c r="S23" i="39" s="1"/>
  <c r="F28" i="38"/>
  <c r="H28" i="38" s="1"/>
  <c r="O28" i="38" s="1"/>
  <c r="AE24" i="38"/>
  <c r="AG24" i="38" s="1"/>
  <c r="AL23" i="38"/>
  <c r="AN23" i="38" s="1"/>
  <c r="F22" i="38"/>
  <c r="J22" i="37"/>
  <c r="L22" i="37" s="1"/>
  <c r="Q27" i="39"/>
  <c r="S27" i="39" s="1"/>
  <c r="AL21" i="39"/>
  <c r="F19" i="39"/>
  <c r="H19" i="39" s="1"/>
  <c r="Q46" i="38"/>
  <c r="Q37" i="38" s="1"/>
  <c r="S37" i="38" s="1"/>
  <c r="AL34" i="38"/>
  <c r="AE32" i="38"/>
  <c r="J27" i="38"/>
  <c r="Q26" i="38"/>
  <c r="X25" i="38"/>
  <c r="X32" i="37"/>
  <c r="X27" i="37"/>
  <c r="F20" i="37"/>
  <c r="AL28" i="38"/>
  <c r="AE22" i="38"/>
  <c r="AG22" i="38" s="1"/>
  <c r="X45" i="37"/>
  <c r="F45" i="37"/>
  <c r="F32" i="37"/>
  <c r="F27" i="37"/>
  <c r="Q23" i="37"/>
  <c r="X22" i="37"/>
  <c r="Q24" i="39"/>
  <c r="Q24" i="38"/>
  <c r="S24" i="38" s="1"/>
  <c r="X23" i="38"/>
  <c r="Z23" i="38" s="1"/>
  <c r="F35" i="36"/>
  <c r="AL43" i="38"/>
  <c r="J25" i="38"/>
  <c r="L25" i="38" s="1"/>
  <c r="X16" i="38"/>
  <c r="Q18" i="39"/>
  <c r="S18" i="39" s="1"/>
  <c r="X41" i="38"/>
  <c r="Z41" i="38" s="1"/>
  <c r="J33" i="38"/>
  <c r="Q18" i="38"/>
  <c r="Q16" i="38"/>
  <c r="Q45" i="37"/>
  <c r="S45" i="37" s="1"/>
  <c r="J23" i="37"/>
  <c r="L23" i="37" s="1"/>
  <c r="Q22" i="37"/>
  <c r="J45" i="38"/>
  <c r="L45" i="38" s="1"/>
  <c r="J40" i="37"/>
  <c r="L40" i="37" s="1"/>
  <c r="J35" i="37"/>
  <c r="L35" i="37" s="1"/>
  <c r="AE32" i="37"/>
  <c r="AG32" i="37" s="1"/>
  <c r="AE27" i="37"/>
  <c r="AG27" i="37" s="1"/>
  <c r="J18" i="39"/>
  <c r="L18" i="39" s="1"/>
  <c r="F17" i="39"/>
  <c r="H17" i="39" s="1"/>
  <c r="O17" i="39" s="1"/>
  <c r="X15" i="38"/>
  <c r="J30" i="37"/>
  <c r="F41" i="37"/>
  <c r="Q27" i="37"/>
  <c r="AE16" i="37"/>
  <c r="F40" i="36"/>
  <c r="Q36" i="36"/>
  <c r="Q35" i="36"/>
  <c r="J30" i="36"/>
  <c r="X23" i="36"/>
  <c r="X22" i="36"/>
  <c r="Z22" i="36" s="1"/>
  <c r="F22" i="36"/>
  <c r="Q19" i="36"/>
  <c r="S19" i="36" s="1"/>
  <c r="AE40" i="38"/>
  <c r="AE15" i="38"/>
  <c r="AE35" i="37"/>
  <c r="F23" i="38"/>
  <c r="X36" i="37"/>
  <c r="J25" i="37"/>
  <c r="X23" i="37"/>
  <c r="AE22" i="37"/>
  <c r="AE44" i="36"/>
  <c r="F43" i="36"/>
  <c r="X40" i="36"/>
  <c r="Z40" i="36" s="1"/>
  <c r="Q25" i="36"/>
  <c r="S25" i="36" s="1"/>
  <c r="AE30" i="37"/>
  <c r="F19" i="37"/>
  <c r="J36" i="36"/>
  <c r="Q23" i="36"/>
  <c r="AL45" i="37"/>
  <c r="AN45" i="37" s="1"/>
  <c r="J38" i="37"/>
  <c r="X35" i="37"/>
  <c r="Q20" i="37"/>
  <c r="F44" i="36"/>
  <c r="AE35" i="36"/>
  <c r="AG35" i="36" s="1"/>
  <c r="X40" i="37"/>
  <c r="F36" i="37"/>
  <c r="H36" i="37" s="1"/>
  <c r="Q32" i="37"/>
  <c r="F23" i="37"/>
  <c r="J20" i="37"/>
  <c r="X36" i="36"/>
  <c r="Z36" i="36" s="1"/>
  <c r="J23" i="36"/>
  <c r="L23" i="36" s="1"/>
  <c r="AE15" i="36"/>
  <c r="AG15" i="36" s="1"/>
  <c r="AE45" i="38"/>
  <c r="AG45" i="38" s="1"/>
  <c r="F31" i="38"/>
  <c r="Q41" i="37"/>
  <c r="S41" i="37" s="1"/>
  <c r="J18" i="37"/>
  <c r="L18" i="37" s="1"/>
  <c r="J15" i="37"/>
  <c r="AE46" i="36"/>
  <c r="Q44" i="36"/>
  <c r="AL43" i="36"/>
  <c r="AN43" i="36" s="1"/>
  <c r="J40" i="36"/>
  <c r="AE38" i="36"/>
  <c r="AG38" i="36" s="1"/>
  <c r="X35" i="36"/>
  <c r="Z35" i="36" s="1"/>
  <c r="X34" i="36"/>
  <c r="Z34" i="36" s="1"/>
  <c r="F34" i="36"/>
  <c r="H34" i="36" s="1"/>
  <c r="O34" i="36" s="1"/>
  <c r="AE31" i="36"/>
  <c r="AG31" i="36" s="1"/>
  <c r="Q41" i="39"/>
  <c r="S41" i="39" s="1"/>
  <c r="J33" i="37"/>
  <c r="X26" i="37"/>
  <c r="AL19" i="38"/>
  <c r="AN19" i="38" s="1"/>
  <c r="Q19" i="37"/>
  <c r="AE18" i="37"/>
  <c r="J16" i="37"/>
  <c r="AE15" i="37"/>
  <c r="F38" i="36"/>
  <c r="X33" i="36"/>
  <c r="Z33" i="36" s="1"/>
  <c r="F33" i="36"/>
  <c r="H33" i="36" s="1"/>
  <c r="F32" i="36"/>
  <c r="AE30" i="36"/>
  <c r="AG30" i="36" s="1"/>
  <c r="AL28" i="37"/>
  <c r="AN28" i="37" s="1"/>
  <c r="AP28" i="37" s="1"/>
  <c r="X41" i="37"/>
  <c r="X19" i="37"/>
  <c r="Z19" i="37" s="1"/>
  <c r="AL40" i="36"/>
  <c r="AN40" i="36" s="1"/>
  <c r="Q32" i="36"/>
  <c r="S32" i="36" s="1"/>
  <c r="Q34" i="38"/>
  <c r="AL15" i="37"/>
  <c r="AL41" i="36"/>
  <c r="AN41" i="36" s="1"/>
  <c r="Q30" i="36"/>
  <c r="F23" i="36"/>
  <c r="H23" i="36" s="1"/>
  <c r="O23" i="36" s="1"/>
  <c r="AL21" i="36"/>
  <c r="X19" i="36"/>
  <c r="Z19" i="36" s="1"/>
  <c r="Q43" i="35"/>
  <c r="J40" i="38"/>
  <c r="L40" i="38" s="1"/>
  <c r="Q36" i="37"/>
  <c r="AE25" i="37"/>
  <c r="Q34" i="35"/>
  <c r="S34" i="35" s="1"/>
  <c r="J46" i="36"/>
  <c r="Q38" i="36"/>
  <c r="AL31" i="36"/>
  <c r="AN31" i="36" s="1"/>
  <c r="AP31" i="36" s="1"/>
  <c r="AL30" i="36"/>
  <c r="AL19" i="36"/>
  <c r="J19" i="36"/>
  <c r="L19" i="36" s="1"/>
  <c r="J34" i="35"/>
  <c r="L34" i="35" s="1"/>
  <c r="AE31" i="35"/>
  <c r="AG31" i="35" s="1"/>
  <c r="F30" i="38"/>
  <c r="H30" i="38" s="1"/>
  <c r="AE27" i="38"/>
  <c r="AG27" i="38" s="1"/>
  <c r="AE40" i="37"/>
  <c r="X31" i="37"/>
  <c r="X21" i="36"/>
  <c r="Z21" i="36" s="1"/>
  <c r="AE33" i="36"/>
  <c r="X44" i="37"/>
  <c r="X44" i="36"/>
  <c r="AE34" i="36"/>
  <c r="F27" i="36"/>
  <c r="AE22" i="36"/>
  <c r="AG22" i="36" s="1"/>
  <c r="F19" i="36"/>
  <c r="H19" i="36" s="1"/>
  <c r="J15" i="36"/>
  <c r="L15" i="36" s="1"/>
  <c r="F34" i="35"/>
  <c r="H34" i="35" s="1"/>
  <c r="O34" i="35" s="1"/>
  <c r="J31" i="35"/>
  <c r="L31" i="35" s="1"/>
  <c r="J34" i="36"/>
  <c r="L34" i="36" s="1"/>
  <c r="J41" i="35"/>
  <c r="L41" i="35" s="1"/>
  <c r="X34" i="35"/>
  <c r="F22" i="34"/>
  <c r="J19" i="34"/>
  <c r="F46" i="33"/>
  <c r="X27" i="36"/>
  <c r="AL22" i="36"/>
  <c r="AN22" i="36" s="1"/>
  <c r="AP22" i="36" s="1"/>
  <c r="F15" i="36"/>
  <c r="H15" i="36" s="1"/>
  <c r="AE43" i="35"/>
  <c r="F31" i="35"/>
  <c r="J19" i="38"/>
  <c r="X28" i="36"/>
  <c r="AE21" i="36"/>
  <c r="X45" i="35"/>
  <c r="X36" i="34"/>
  <c r="Z36" i="34" s="1"/>
  <c r="X19" i="34"/>
  <c r="Z19" i="34" s="1"/>
  <c r="AE45" i="37"/>
  <c r="J43" i="37"/>
  <c r="J35" i="36"/>
  <c r="L35" i="36" s="1"/>
  <c r="AE41" i="35"/>
  <c r="AG41" i="35" s="1"/>
  <c r="F41" i="35"/>
  <c r="H41" i="35" s="1"/>
  <c r="J36" i="35"/>
  <c r="X31" i="35"/>
  <c r="Z31" i="35" s="1"/>
  <c r="AE28" i="35"/>
  <c r="Q26" i="35"/>
  <c r="Q38" i="34"/>
  <c r="F36" i="34"/>
  <c r="Q32" i="34"/>
  <c r="Q27" i="34"/>
  <c r="Q40" i="36"/>
  <c r="AE23" i="36"/>
  <c r="AG23" i="36" s="1"/>
  <c r="Q43" i="34"/>
  <c r="Q41" i="36"/>
  <c r="S41" i="36" s="1"/>
  <c r="F36" i="36"/>
  <c r="Q24" i="36"/>
  <c r="S24" i="36" s="1"/>
  <c r="F44" i="35"/>
  <c r="J43" i="35"/>
  <c r="L43" i="35" s="1"/>
  <c r="AL40" i="35"/>
  <c r="AN40" i="35" s="1"/>
  <c r="AE34" i="35"/>
  <c r="J26" i="35"/>
  <c r="Q24" i="35"/>
  <c r="S24" i="35" s="1"/>
  <c r="J38" i="34"/>
  <c r="L38" i="34" s="1"/>
  <c r="J32" i="34"/>
  <c r="L32" i="34" s="1"/>
  <c r="J27" i="34"/>
  <c r="L27" i="34" s="1"/>
  <c r="AE25" i="35"/>
  <c r="AG25" i="35" s="1"/>
  <c r="J43" i="34"/>
  <c r="L43" i="34" s="1"/>
  <c r="AE36" i="34"/>
  <c r="AG36" i="34" s="1"/>
  <c r="J22" i="34"/>
  <c r="L22" i="34" s="1"/>
  <c r="X16" i="37"/>
  <c r="J18" i="36"/>
  <c r="J16" i="36"/>
  <c r="L16" i="36" s="1"/>
  <c r="Q15" i="36"/>
  <c r="AL43" i="35"/>
  <c r="F43" i="35"/>
  <c r="J40" i="35"/>
  <c r="L40" i="35" s="1"/>
  <c r="AL35" i="35"/>
  <c r="AL28" i="35"/>
  <c r="AN28" i="35" s="1"/>
  <c r="J25" i="36"/>
  <c r="L25" i="36" s="1"/>
  <c r="J20" i="36"/>
  <c r="L20" i="36" s="1"/>
  <c r="AE45" i="35"/>
  <c r="AE44" i="35"/>
  <c r="AE40" i="35"/>
  <c r="Q36" i="35"/>
  <c r="Q28" i="35"/>
  <c r="X26" i="35"/>
  <c r="Z26" i="35" s="1"/>
  <c r="AE24" i="35"/>
  <c r="Q22" i="35"/>
  <c r="S22" i="35" s="1"/>
  <c r="J44" i="35"/>
  <c r="J25" i="35"/>
  <c r="L25" i="35" s="1"/>
  <c r="X22" i="35"/>
  <c r="Z22" i="35" s="1"/>
  <c r="AE38" i="34"/>
  <c r="AG38" i="34" s="1"/>
  <c r="Q36" i="34"/>
  <c r="S36" i="34" s="1"/>
  <c r="F23" i="34"/>
  <c r="H23" i="34" s="1"/>
  <c r="O23" i="34" s="1"/>
  <c r="J15" i="34"/>
  <c r="F23" i="33"/>
  <c r="AE25" i="36"/>
  <c r="AG25" i="36" s="1"/>
  <c r="AE43" i="34"/>
  <c r="X27" i="34"/>
  <c r="Q45" i="34"/>
  <c r="S45" i="34" s="1"/>
  <c r="X44" i="34"/>
  <c r="X35" i="34"/>
  <c r="Z35" i="34" s="1"/>
  <c r="X32" i="34"/>
  <c r="AE15" i="34"/>
  <c r="X46" i="33"/>
  <c r="F30" i="33"/>
  <c r="H30" i="33" s="1"/>
  <c r="F25" i="33"/>
  <c r="H25" i="33" s="1"/>
  <c r="O25" i="33" s="1"/>
  <c r="Q22" i="36"/>
  <c r="AE18" i="36"/>
  <c r="X41" i="35"/>
  <c r="Q40" i="35"/>
  <c r="S40" i="35" s="1"/>
  <c r="AE26" i="35"/>
  <c r="AG26" i="35" s="1"/>
  <c r="AE34" i="34"/>
  <c r="AE26" i="34"/>
  <c r="AE19" i="34"/>
  <c r="AG19" i="34" s="1"/>
  <c r="F19" i="34"/>
  <c r="AE41" i="33"/>
  <c r="AG41" i="33" s="1"/>
  <c r="J41" i="33"/>
  <c r="Q33" i="33"/>
  <c r="Q28" i="33"/>
  <c r="AE16" i="35"/>
  <c r="X43" i="34"/>
  <c r="X38" i="34"/>
  <c r="AE31" i="34"/>
  <c r="AG31" i="34" s="1"/>
  <c r="Q24" i="34"/>
  <c r="AL45" i="33"/>
  <c r="AN45" i="33" s="1"/>
  <c r="AP45" i="33" s="1"/>
  <c r="Q45" i="33"/>
  <c r="S45" i="33" s="1"/>
  <c r="AL44" i="33"/>
  <c r="AL22" i="35"/>
  <c r="F44" i="34"/>
  <c r="F27" i="34"/>
  <c r="Q23" i="34"/>
  <c r="S23" i="34" s="1"/>
  <c r="Q15" i="34"/>
  <c r="S15" i="34" s="1"/>
  <c r="X41" i="33"/>
  <c r="J33" i="33"/>
  <c r="L33" i="33" s="1"/>
  <c r="J28" i="33"/>
  <c r="L28" i="33" s="1"/>
  <c r="F38" i="35"/>
  <c r="H38" i="35" s="1"/>
  <c r="O38" i="35" s="1"/>
  <c r="J27" i="35"/>
  <c r="L27" i="35" s="1"/>
  <c r="Q25" i="35"/>
  <c r="S25" i="35" s="1"/>
  <c r="X23" i="35"/>
  <c r="Z23" i="35" s="1"/>
  <c r="F32" i="34"/>
  <c r="AE27" i="34"/>
  <c r="AG27" i="34" s="1"/>
  <c r="Q15" i="37"/>
  <c r="AE21" i="35"/>
  <c r="AG21" i="35" s="1"/>
  <c r="J20" i="35"/>
  <c r="J40" i="34"/>
  <c r="AE32" i="34"/>
  <c r="AG32" i="34" s="1"/>
  <c r="X22" i="34"/>
  <c r="Z22" i="34" s="1"/>
  <c r="Q19" i="34"/>
  <c r="S19" i="34" s="1"/>
  <c r="F45" i="36"/>
  <c r="AL46" i="35"/>
  <c r="AE36" i="35"/>
  <c r="AG36" i="35" s="1"/>
  <c r="AL30" i="35"/>
  <c r="AN30" i="35" s="1"/>
  <c r="F28" i="35"/>
  <c r="H28" i="35" s="1"/>
  <c r="O28" i="35" s="1"/>
  <c r="F26" i="35"/>
  <c r="F38" i="34"/>
  <c r="J34" i="34"/>
  <c r="AL26" i="34"/>
  <c r="AN26" i="34" s="1"/>
  <c r="F45" i="33"/>
  <c r="H45" i="33" s="1"/>
  <c r="Q41" i="33"/>
  <c r="F33" i="33"/>
  <c r="H33" i="33" s="1"/>
  <c r="J30" i="33"/>
  <c r="L30" i="33" s="1"/>
  <c r="F28" i="33"/>
  <c r="H28" i="33" s="1"/>
  <c r="O28" i="33" s="1"/>
  <c r="Q31" i="35"/>
  <c r="J35" i="34"/>
  <c r="L35" i="34" s="1"/>
  <c r="AE22" i="34"/>
  <c r="F24" i="33"/>
  <c r="H24" i="33" s="1"/>
  <c r="O24" i="33" s="1"/>
  <c r="X23" i="33"/>
  <c r="Z23" i="33" s="1"/>
  <c r="J15" i="35"/>
  <c r="J38" i="33"/>
  <c r="L38" i="33" s="1"/>
  <c r="J35" i="33"/>
  <c r="F31" i="33"/>
  <c r="H31" i="33" s="1"/>
  <c r="O31" i="33" s="1"/>
  <c r="Q30" i="33"/>
  <c r="S30" i="33" s="1"/>
  <c r="X28" i="33"/>
  <c r="F27" i="33"/>
  <c r="H27" i="33" s="1"/>
  <c r="O27" i="33" s="1"/>
  <c r="F38" i="32"/>
  <c r="H38" i="32" s="1"/>
  <c r="O38" i="32" s="1"/>
  <c r="Q44" i="34"/>
  <c r="AE33" i="33"/>
  <c r="J25" i="33"/>
  <c r="Q23" i="33"/>
  <c r="S23" i="33" s="1"/>
  <c r="F44" i="31"/>
  <c r="F15" i="35"/>
  <c r="X23" i="34"/>
  <c r="AE27" i="33"/>
  <c r="AG27" i="33" s="1"/>
  <c r="X24" i="33"/>
  <c r="Z24" i="33" s="1"/>
  <c r="X38" i="32"/>
  <c r="Z38" i="32" s="1"/>
  <c r="AE35" i="32"/>
  <c r="AG35" i="32" s="1"/>
  <c r="J35" i="32"/>
  <c r="L35" i="32" s="1"/>
  <c r="Q23" i="32"/>
  <c r="S23" i="32" s="1"/>
  <c r="AL24" i="35"/>
  <c r="AN24" i="35" s="1"/>
  <c r="AE19" i="35"/>
  <c r="AL15" i="35"/>
  <c r="AN15" i="35" s="1"/>
  <c r="J41" i="34"/>
  <c r="Q34" i="34"/>
  <c r="S34" i="34" s="1"/>
  <c r="AL21" i="34"/>
  <c r="J44" i="33"/>
  <c r="L44" i="33" s="1"/>
  <c r="AE23" i="33"/>
  <c r="AG23" i="33" s="1"/>
  <c r="Q20" i="33"/>
  <c r="S20" i="33" s="1"/>
  <c r="J23" i="32"/>
  <c r="AE20" i="32"/>
  <c r="AE44" i="31"/>
  <c r="AG44" i="31" s="1"/>
  <c r="F36" i="35"/>
  <c r="H36" i="35" s="1"/>
  <c r="J24" i="34"/>
  <c r="F41" i="33"/>
  <c r="J36" i="33"/>
  <c r="Q35" i="33"/>
  <c r="AE28" i="33"/>
  <c r="J24" i="33"/>
  <c r="L24" i="33" s="1"/>
  <c r="X17" i="33"/>
  <c r="Z17" i="33" s="1"/>
  <c r="AL15" i="33"/>
  <c r="AN15" i="33" s="1"/>
  <c r="X46" i="32"/>
  <c r="AL43" i="32"/>
  <c r="F18" i="35"/>
  <c r="J45" i="34"/>
  <c r="F44" i="33"/>
  <c r="J31" i="33"/>
  <c r="L31" i="33" s="1"/>
  <c r="Q25" i="33"/>
  <c r="AE19" i="33"/>
  <c r="AG19" i="33" s="1"/>
  <c r="AL46" i="34"/>
  <c r="J46" i="33"/>
  <c r="AL31" i="33"/>
  <c r="AL27" i="33"/>
  <c r="AE41" i="32"/>
  <c r="AG41" i="32" s="1"/>
  <c r="J41" i="32"/>
  <c r="F23" i="32"/>
  <c r="J20" i="32"/>
  <c r="Q19" i="32"/>
  <c r="J26" i="33"/>
  <c r="J23" i="33"/>
  <c r="L23" i="33" s="1"/>
  <c r="J18" i="33"/>
  <c r="Q15" i="33"/>
  <c r="S15" i="33" s="1"/>
  <c r="F46" i="32"/>
  <c r="F45" i="32"/>
  <c r="X43" i="32"/>
  <c r="AL41" i="32"/>
  <c r="Q25" i="32"/>
  <c r="J17" i="33"/>
  <c r="L17" i="33" s="1"/>
  <c r="AL40" i="32"/>
  <c r="AN40" i="32" s="1"/>
  <c r="AE30" i="32"/>
  <c r="AG30" i="32" s="1"/>
  <c r="F30" i="32"/>
  <c r="H30" i="32" s="1"/>
  <c r="X23" i="32"/>
  <c r="X20" i="32"/>
  <c r="Z20" i="32" s="1"/>
  <c r="X44" i="31"/>
  <c r="Q43" i="31"/>
  <c r="AL27" i="31"/>
  <c r="AN27" i="31" s="1"/>
  <c r="F22" i="35"/>
  <c r="Q38" i="32"/>
  <c r="S38" i="32" s="1"/>
  <c r="AC38" i="32" s="1"/>
  <c r="J33" i="32"/>
  <c r="L33" i="32" s="1"/>
  <c r="J19" i="32"/>
  <c r="X17" i="32"/>
  <c r="AE44" i="33"/>
  <c r="AE40" i="32"/>
  <c r="X26" i="32"/>
  <c r="J43" i="31"/>
  <c r="Q33" i="31"/>
  <c r="S33" i="31" s="1"/>
  <c r="Q27" i="31"/>
  <c r="S27" i="31" s="1"/>
  <c r="Q24" i="31"/>
  <c r="AE22" i="31"/>
  <c r="AE46" i="30"/>
  <c r="AL25" i="34"/>
  <c r="F17" i="33"/>
  <c r="Q35" i="32"/>
  <c r="AE33" i="32"/>
  <c r="J25" i="32"/>
  <c r="Q20" i="32"/>
  <c r="Q44" i="31"/>
  <c r="Q19" i="31"/>
  <c r="Q43" i="30"/>
  <c r="S43" i="30" s="1"/>
  <c r="AE33" i="35"/>
  <c r="AL30" i="34"/>
  <c r="AN30" i="34" s="1"/>
  <c r="J43" i="33"/>
  <c r="AE18" i="33"/>
  <c r="AG18" i="33" s="1"/>
  <c r="AE16" i="33"/>
  <c r="Q40" i="32"/>
  <c r="X19" i="32"/>
  <c r="Z19" i="32" s="1"/>
  <c r="AL17" i="32"/>
  <c r="AE16" i="32"/>
  <c r="AG16" i="32" s="1"/>
  <c r="AL45" i="31"/>
  <c r="Q45" i="31"/>
  <c r="S45" i="31" s="1"/>
  <c r="J44" i="31"/>
  <c r="AL40" i="31"/>
  <c r="Q40" i="31"/>
  <c r="S40" i="31" s="1"/>
  <c r="F38" i="31"/>
  <c r="H38" i="31" s="1"/>
  <c r="O38" i="31" s="1"/>
  <c r="F35" i="31"/>
  <c r="F34" i="31"/>
  <c r="H34" i="31" s="1"/>
  <c r="O34" i="31" s="1"/>
  <c r="J27" i="31"/>
  <c r="L27" i="31" s="1"/>
  <c r="J24" i="31"/>
  <c r="L24" i="31" s="1"/>
  <c r="F43" i="33"/>
  <c r="Q34" i="33"/>
  <c r="X20" i="33"/>
  <c r="Z20" i="33" s="1"/>
  <c r="J46" i="32"/>
  <c r="AL35" i="32"/>
  <c r="AN35" i="32" s="1"/>
  <c r="AP35" i="32" s="1"/>
  <c r="Q33" i="32"/>
  <c r="S33" i="32" s="1"/>
  <c r="AL26" i="32"/>
  <c r="AN26" i="32" s="1"/>
  <c r="J26" i="32"/>
  <c r="L26" i="32" s="1"/>
  <c r="Q24" i="32"/>
  <c r="AE23" i="32"/>
  <c r="X43" i="31"/>
  <c r="AL41" i="31"/>
  <c r="F33" i="31"/>
  <c r="H33" i="31" s="1"/>
  <c r="AE26" i="31"/>
  <c r="AG26" i="31" s="1"/>
  <c r="F22" i="31"/>
  <c r="AE45" i="33"/>
  <c r="AG45" i="33" s="1"/>
  <c r="J45" i="32"/>
  <c r="L45" i="32" s="1"/>
  <c r="X27" i="31"/>
  <c r="Z27" i="31" s="1"/>
  <c r="X24" i="31"/>
  <c r="Z24" i="31" s="1"/>
  <c r="X38" i="30"/>
  <c r="Z38" i="30" s="1"/>
  <c r="J34" i="30"/>
  <c r="L34" i="30" s="1"/>
  <c r="X33" i="33"/>
  <c r="AE19" i="32"/>
  <c r="AG19" i="32" s="1"/>
  <c r="AL34" i="33"/>
  <c r="F44" i="32"/>
  <c r="Q41" i="32"/>
  <c r="S41" i="32" s="1"/>
  <c r="AL27" i="32"/>
  <c r="AE25" i="32"/>
  <c r="X24" i="32"/>
  <c r="Z24" i="32" s="1"/>
  <c r="X32" i="31"/>
  <c r="Z32" i="31" s="1"/>
  <c r="X28" i="31"/>
  <c r="AE27" i="31"/>
  <c r="AG27" i="31" s="1"/>
  <c r="X46" i="30"/>
  <c r="X41" i="30"/>
  <c r="Z41" i="30" s="1"/>
  <c r="F38" i="30"/>
  <c r="H38" i="30" s="1"/>
  <c r="O38" i="30" s="1"/>
  <c r="Q32" i="30"/>
  <c r="X19" i="30"/>
  <c r="F22" i="33"/>
  <c r="AE28" i="32"/>
  <c r="AG28" i="32" s="1"/>
  <c r="Q17" i="32"/>
  <c r="J40" i="31"/>
  <c r="L40" i="31" s="1"/>
  <c r="J35" i="31"/>
  <c r="L35" i="31" s="1"/>
  <c r="F25" i="31"/>
  <c r="AE34" i="30"/>
  <c r="AG34" i="30" s="1"/>
  <c r="X23" i="30"/>
  <c r="F23" i="30"/>
  <c r="AL20" i="30"/>
  <c r="F19" i="30"/>
  <c r="Q30" i="32"/>
  <c r="Q18" i="32"/>
  <c r="J45" i="31"/>
  <c r="L45" i="31" s="1"/>
  <c r="X38" i="31"/>
  <c r="Z38" i="31" s="1"/>
  <c r="J34" i="31"/>
  <c r="L34" i="31" s="1"/>
  <c r="J33" i="31"/>
  <c r="L33" i="31" s="1"/>
  <c r="J19" i="31"/>
  <c r="L19" i="31" s="1"/>
  <c r="J43" i="30"/>
  <c r="AE27" i="30"/>
  <c r="AG27" i="30" s="1"/>
  <c r="X40" i="33"/>
  <c r="AL19" i="33"/>
  <c r="AN19" i="33" s="1"/>
  <c r="J32" i="31"/>
  <c r="Q28" i="31"/>
  <c r="S28" i="31" s="1"/>
  <c r="F24" i="31"/>
  <c r="H24" i="31" s="1"/>
  <c r="O24" i="31" s="1"/>
  <c r="AE19" i="31"/>
  <c r="J27" i="30"/>
  <c r="L27" i="30" s="1"/>
  <c r="AL23" i="30"/>
  <c r="AN23" i="30" s="1"/>
  <c r="AP23" i="30" s="1"/>
  <c r="AL19" i="30"/>
  <c r="AN19" i="30" s="1"/>
  <c r="AP19" i="30" s="1"/>
  <c r="Q15" i="30"/>
  <c r="S15" i="30" s="1"/>
  <c r="Q20" i="29"/>
  <c r="S20" i="29" s="1"/>
  <c r="Q40" i="34"/>
  <c r="AE22" i="33"/>
  <c r="J28" i="32"/>
  <c r="AE35" i="31"/>
  <c r="AE34" i="31"/>
  <c r="AG34" i="31" s="1"/>
  <c r="F28" i="31"/>
  <c r="X25" i="31"/>
  <c r="AE21" i="31"/>
  <c r="AG21" i="31" s="1"/>
  <c r="Q16" i="31"/>
  <c r="S16" i="31" s="1"/>
  <c r="Q34" i="30"/>
  <c r="S34" i="30" s="1"/>
  <c r="X27" i="30"/>
  <c r="Z27" i="30" s="1"/>
  <c r="J20" i="30"/>
  <c r="L20" i="30" s="1"/>
  <c r="J46" i="29"/>
  <c r="J41" i="29"/>
  <c r="L41" i="29" s="1"/>
  <c r="J30" i="29"/>
  <c r="J25" i="29"/>
  <c r="X19" i="31"/>
  <c r="Z19" i="31" s="1"/>
  <c r="AL16" i="31"/>
  <c r="F46" i="30"/>
  <c r="X43" i="30"/>
  <c r="Z43" i="30" s="1"/>
  <c r="AE41" i="30"/>
  <c r="AG41" i="30" s="1"/>
  <c r="F32" i="30"/>
  <c r="H32" i="30" s="1"/>
  <c r="AE23" i="30"/>
  <c r="AG23" i="30" s="1"/>
  <c r="AE19" i="30"/>
  <c r="AG19" i="30" s="1"/>
  <c r="J15" i="30"/>
  <c r="L15" i="30" s="1"/>
  <c r="AE34" i="29"/>
  <c r="AG34" i="29" s="1"/>
  <c r="AL26" i="33"/>
  <c r="X22" i="33"/>
  <c r="Z22" i="33" s="1"/>
  <c r="F28" i="32"/>
  <c r="AL24" i="32"/>
  <c r="AN24" i="32" s="1"/>
  <c r="AL16" i="32"/>
  <c r="AN16" i="32" s="1"/>
  <c r="AP16" i="32" s="1"/>
  <c r="AL38" i="31"/>
  <c r="AN38" i="31" s="1"/>
  <c r="AE32" i="31"/>
  <c r="Q26" i="31"/>
  <c r="S26" i="31" s="1"/>
  <c r="AL44" i="30"/>
  <c r="AN44" i="30" s="1"/>
  <c r="AP44" i="30" s="1"/>
  <c r="F41" i="30"/>
  <c r="J38" i="30"/>
  <c r="F36" i="30"/>
  <c r="H36" i="30" s="1"/>
  <c r="X35" i="30"/>
  <c r="X32" i="30"/>
  <c r="J17" i="30"/>
  <c r="X46" i="29"/>
  <c r="AE24" i="31"/>
  <c r="AG24" i="31" s="1"/>
  <c r="Q23" i="31"/>
  <c r="S23" i="31" s="1"/>
  <c r="AE38" i="29"/>
  <c r="AE30" i="29"/>
  <c r="AG30" i="29" s="1"/>
  <c r="J27" i="29"/>
  <c r="L27" i="29" s="1"/>
  <c r="Q25" i="29"/>
  <c r="S25" i="29" s="1"/>
  <c r="Q46" i="28"/>
  <c r="Q41" i="28"/>
  <c r="F19" i="28"/>
  <c r="F43" i="27"/>
  <c r="AE46" i="33"/>
  <c r="AE35" i="33"/>
  <c r="AL20" i="33"/>
  <c r="AN20" i="33" s="1"/>
  <c r="F19" i="32"/>
  <c r="J22" i="31"/>
  <c r="L22" i="31" s="1"/>
  <c r="F20" i="31"/>
  <c r="H20" i="31" s="1"/>
  <c r="O20" i="31" s="1"/>
  <c r="AE31" i="30"/>
  <c r="AE30" i="30"/>
  <c r="AG30" i="30" s="1"/>
  <c r="AL21" i="30"/>
  <c r="Q19" i="30"/>
  <c r="F30" i="29"/>
  <c r="H30" i="29" s="1"/>
  <c r="X21" i="33"/>
  <c r="Z21" i="33" s="1"/>
  <c r="AE46" i="32"/>
  <c r="J16" i="32"/>
  <c r="L16" i="32" s="1"/>
  <c r="J38" i="31"/>
  <c r="L38" i="31" s="1"/>
  <c r="Q44" i="30"/>
  <c r="F28" i="30"/>
  <c r="H28" i="30" s="1"/>
  <c r="O28" i="30" s="1"/>
  <c r="AE17" i="30"/>
  <c r="AG17" i="30" s="1"/>
  <c r="F16" i="30"/>
  <c r="H16" i="30" s="1"/>
  <c r="O16" i="30" s="1"/>
  <c r="AL44" i="29"/>
  <c r="AE41" i="29"/>
  <c r="AG41" i="29" s="1"/>
  <c r="F41" i="29"/>
  <c r="Q34" i="29"/>
  <c r="S34" i="29" s="1"/>
  <c r="AE27" i="29"/>
  <c r="AG27" i="29" s="1"/>
  <c r="AL15" i="29"/>
  <c r="AN15" i="29" s="1"/>
  <c r="AE46" i="28"/>
  <c r="AE41" i="28"/>
  <c r="AG41" i="28" s="1"/>
  <c r="F27" i="31"/>
  <c r="H27" i="31" s="1"/>
  <c r="O27" i="31" s="1"/>
  <c r="F44" i="30"/>
  <c r="AE36" i="30"/>
  <c r="AG36" i="30" s="1"/>
  <c r="F27" i="30"/>
  <c r="F26" i="30"/>
  <c r="H26" i="30" s="1"/>
  <c r="O26" i="30" s="1"/>
  <c r="J25" i="30"/>
  <c r="F20" i="30"/>
  <c r="Q32" i="29"/>
  <c r="S32" i="29" s="1"/>
  <c r="Q43" i="28"/>
  <c r="Q24" i="28"/>
  <c r="S24" i="28" s="1"/>
  <c r="Q24" i="33"/>
  <c r="S24" i="33" s="1"/>
  <c r="J38" i="32"/>
  <c r="X28" i="32"/>
  <c r="Z28" i="32" s="1"/>
  <c r="AE22" i="32"/>
  <c r="AG22" i="32" s="1"/>
  <c r="J15" i="31"/>
  <c r="X22" i="30"/>
  <c r="Z22" i="30" s="1"/>
  <c r="J19" i="30"/>
  <c r="Q18" i="30"/>
  <c r="X30" i="29"/>
  <c r="X23" i="29"/>
  <c r="AL21" i="29"/>
  <c r="J20" i="29"/>
  <c r="L20" i="29" s="1"/>
  <c r="AE16" i="29"/>
  <c r="Q15" i="29"/>
  <c r="AL18" i="35"/>
  <c r="F43" i="31"/>
  <c r="H43" i="31" s="1"/>
  <c r="AL23" i="31"/>
  <c r="AN23" i="31" s="1"/>
  <c r="AP23" i="31" s="1"/>
  <c r="J30" i="30"/>
  <c r="F18" i="30"/>
  <c r="H18" i="30" s="1"/>
  <c r="O18" i="30" s="1"/>
  <c r="Q43" i="29"/>
  <c r="Q27" i="29"/>
  <c r="S27" i="29" s="1"/>
  <c r="F46" i="28"/>
  <c r="J43" i="28"/>
  <c r="F41" i="28"/>
  <c r="F32" i="28"/>
  <c r="H32" i="28" s="1"/>
  <c r="F27" i="28"/>
  <c r="H27" i="28" s="1"/>
  <c r="O27" i="28" s="1"/>
  <c r="J24" i="28"/>
  <c r="L24" i="28" s="1"/>
  <c r="J17" i="28"/>
  <c r="L17" i="28" s="1"/>
  <c r="J30" i="32"/>
  <c r="L30" i="32" s="1"/>
  <c r="Q38" i="30"/>
  <c r="X20" i="30"/>
  <c r="Q41" i="29"/>
  <c r="J38" i="29"/>
  <c r="AE32" i="29"/>
  <c r="AG32" i="29" s="1"/>
  <c r="X25" i="29"/>
  <c r="J19" i="28"/>
  <c r="L19" i="28" s="1"/>
  <c r="J43" i="27"/>
  <c r="F25" i="32"/>
  <c r="H25" i="32" s="1"/>
  <c r="O25" i="32" s="1"/>
  <c r="X22" i="31"/>
  <c r="Z22" i="31" s="1"/>
  <c r="Q20" i="31"/>
  <c r="S20" i="31" s="1"/>
  <c r="F35" i="30"/>
  <c r="H35" i="30" s="1"/>
  <c r="O35" i="30" s="1"/>
  <c r="X26" i="30"/>
  <c r="Q16" i="30"/>
  <c r="S16" i="30" s="1"/>
  <c r="X15" i="30"/>
  <c r="AE46" i="29"/>
  <c r="J44" i="29"/>
  <c r="AE40" i="29"/>
  <c r="AE22" i="29"/>
  <c r="AG22" i="29" s="1"/>
  <c r="J22" i="29"/>
  <c r="L22" i="29" s="1"/>
  <c r="X20" i="29"/>
  <c r="Z20" i="29" s="1"/>
  <c r="J45" i="28"/>
  <c r="L45" i="28" s="1"/>
  <c r="X43" i="28"/>
  <c r="J40" i="28"/>
  <c r="L40" i="28" s="1"/>
  <c r="J31" i="28"/>
  <c r="L31" i="28" s="1"/>
  <c r="J26" i="28"/>
  <c r="L26" i="28" s="1"/>
  <c r="X24" i="28"/>
  <c r="Z24" i="28" s="1"/>
  <c r="F31" i="31"/>
  <c r="AL15" i="31"/>
  <c r="AN15" i="31" s="1"/>
  <c r="J41" i="30"/>
  <c r="AE32" i="30"/>
  <c r="AG32" i="30" s="1"/>
  <c r="Q27" i="30"/>
  <c r="J43" i="29"/>
  <c r="AE38" i="33"/>
  <c r="AG38" i="33" s="1"/>
  <c r="X41" i="29"/>
  <c r="Z41" i="29" s="1"/>
  <c r="AL22" i="29"/>
  <c r="AN22" i="29" s="1"/>
  <c r="AP22" i="29" s="1"/>
  <c r="J46" i="28"/>
  <c r="X41" i="28"/>
  <c r="Z41" i="28" s="1"/>
  <c r="AE40" i="28"/>
  <c r="AG40" i="28" s="1"/>
  <c r="X17" i="28"/>
  <c r="Z17" i="28" s="1"/>
  <c r="AE15" i="28"/>
  <c r="J15" i="28"/>
  <c r="L15" i="28" s="1"/>
  <c r="F17" i="32"/>
  <c r="H17" i="32" s="1"/>
  <c r="O17" i="32" s="1"/>
  <c r="Q25" i="31"/>
  <c r="S25" i="31" s="1"/>
  <c r="Q18" i="31"/>
  <c r="S18" i="31" s="1"/>
  <c r="Q23" i="30"/>
  <c r="S23" i="30" s="1"/>
  <c r="AE25" i="29"/>
  <c r="AG25" i="29" s="1"/>
  <c r="AE15" i="29"/>
  <c r="AG15" i="29" s="1"/>
  <c r="J36" i="28"/>
  <c r="J27" i="28"/>
  <c r="L27" i="28" s="1"/>
  <c r="Q26" i="28"/>
  <c r="F24" i="28"/>
  <c r="X23" i="27"/>
  <c r="Z23" i="27" s="1"/>
  <c r="X33" i="26"/>
  <c r="Z33" i="26" s="1"/>
  <c r="X28" i="26"/>
  <c r="Z28" i="26" s="1"/>
  <c r="J35" i="29"/>
  <c r="F34" i="29"/>
  <c r="H34" i="29" s="1"/>
  <c r="X24" i="29"/>
  <c r="X32" i="28"/>
  <c r="Z32" i="28" s="1"/>
  <c r="AE31" i="28"/>
  <c r="AG31" i="28" s="1"/>
  <c r="F30" i="28"/>
  <c r="H30" i="28" s="1"/>
  <c r="AE24" i="28"/>
  <c r="AG24" i="28" s="1"/>
  <c r="X20" i="28"/>
  <c r="F15" i="28"/>
  <c r="H15" i="28" s="1"/>
  <c r="AE43" i="27"/>
  <c r="AL32" i="27"/>
  <c r="AN32" i="27" s="1"/>
  <c r="F31" i="27"/>
  <c r="H31" i="27" s="1"/>
  <c r="O31" i="27" s="1"/>
  <c r="F23" i="27"/>
  <c r="H23" i="27" s="1"/>
  <c r="O23" i="27" s="1"/>
  <c r="J17" i="34"/>
  <c r="J23" i="30"/>
  <c r="AE15" i="30"/>
  <c r="Q38" i="29"/>
  <c r="S38" i="29" s="1"/>
  <c r="X15" i="29"/>
  <c r="J41" i="28"/>
  <c r="Q40" i="28"/>
  <c r="Q17" i="28"/>
  <c r="X16" i="30"/>
  <c r="AL40" i="29"/>
  <c r="AN40" i="29" s="1"/>
  <c r="F25" i="29"/>
  <c r="J23" i="29"/>
  <c r="X18" i="29"/>
  <c r="AE45" i="28"/>
  <c r="AG45" i="28" s="1"/>
  <c r="AL38" i="28"/>
  <c r="AN38" i="28" s="1"/>
  <c r="J38" i="28"/>
  <c r="L38" i="28" s="1"/>
  <c r="AE17" i="28"/>
  <c r="AG17" i="28" s="1"/>
  <c r="AL45" i="27"/>
  <c r="AN45" i="27" s="1"/>
  <c r="AP45" i="27" s="1"/>
  <c r="Q43" i="27"/>
  <c r="AE38" i="27"/>
  <c r="AG38" i="27" s="1"/>
  <c r="AE36" i="27"/>
  <c r="AG36" i="27" s="1"/>
  <c r="X33" i="27"/>
  <c r="F33" i="27"/>
  <c r="J32" i="27"/>
  <c r="J26" i="27"/>
  <c r="L26" i="27" s="1"/>
  <c r="AE23" i="27"/>
  <c r="AG23" i="27" s="1"/>
  <c r="J32" i="30"/>
  <c r="L32" i="30" s="1"/>
  <c r="Q28" i="28"/>
  <c r="S28" i="28" s="1"/>
  <c r="X19" i="28"/>
  <c r="F17" i="28"/>
  <c r="AE31" i="27"/>
  <c r="J45" i="26"/>
  <c r="J40" i="26"/>
  <c r="J31" i="26"/>
  <c r="L31" i="26" s="1"/>
  <c r="AE43" i="31"/>
  <c r="AL26" i="30"/>
  <c r="Q17" i="30"/>
  <c r="F46" i="29"/>
  <c r="F31" i="29"/>
  <c r="H31" i="29" s="1"/>
  <c r="O31" i="29" s="1"/>
  <c r="F15" i="29"/>
  <c r="X46" i="28"/>
  <c r="Z46" i="28" s="1"/>
  <c r="AE43" i="28"/>
  <c r="Q36" i="28"/>
  <c r="S36" i="28" s="1"/>
  <c r="X27" i="28"/>
  <c r="Z27" i="28" s="1"/>
  <c r="AE26" i="28"/>
  <c r="AG26" i="28" s="1"/>
  <c r="F25" i="28"/>
  <c r="H25" i="28" s="1"/>
  <c r="O25" i="28" s="1"/>
  <c r="AL21" i="28"/>
  <c r="F20" i="28"/>
  <c r="H20" i="28" s="1"/>
  <c r="O20" i="28" s="1"/>
  <c r="AL18" i="28"/>
  <c r="AN18" i="28" s="1"/>
  <c r="AL15" i="28"/>
  <c r="AN15" i="28" s="1"/>
  <c r="J45" i="27"/>
  <c r="L45" i="27" s="1"/>
  <c r="X44" i="27"/>
  <c r="J38" i="27"/>
  <c r="L38" i="27" s="1"/>
  <c r="J28" i="27"/>
  <c r="L28" i="27" s="1"/>
  <c r="X26" i="27"/>
  <c r="Z26" i="27" s="1"/>
  <c r="Q36" i="30"/>
  <c r="J33" i="29"/>
  <c r="L33" i="29" s="1"/>
  <c r="J32" i="29"/>
  <c r="Q45" i="28"/>
  <c r="AL34" i="28"/>
  <c r="J34" i="28"/>
  <c r="AL28" i="28"/>
  <c r="Q19" i="28"/>
  <c r="S19" i="28" s="1"/>
  <c r="J36" i="27"/>
  <c r="L36" i="27" s="1"/>
  <c r="AL33" i="27"/>
  <c r="X32" i="27"/>
  <c r="Z32" i="27" s="1"/>
  <c r="F32" i="27"/>
  <c r="J31" i="27"/>
  <c r="F26" i="27"/>
  <c r="J23" i="27"/>
  <c r="X21" i="27"/>
  <c r="Z21" i="27" s="1"/>
  <c r="Q22" i="29"/>
  <c r="J16" i="29"/>
  <c r="F36" i="29"/>
  <c r="H36" i="29" s="1"/>
  <c r="F43" i="28"/>
  <c r="H43" i="28" s="1"/>
  <c r="AE45" i="26"/>
  <c r="Q30" i="29"/>
  <c r="AL23" i="28"/>
  <c r="J44" i="27"/>
  <c r="AL38" i="27"/>
  <c r="AN38" i="27" s="1"/>
  <c r="AP38" i="27" s="1"/>
  <c r="J36" i="26"/>
  <c r="L36" i="26" s="1"/>
  <c r="J33" i="26"/>
  <c r="Q26" i="29"/>
  <c r="J46" i="30"/>
  <c r="X21" i="29"/>
  <c r="Q38" i="27"/>
  <c r="S38" i="27" s="1"/>
  <c r="AE33" i="27"/>
  <c r="AL31" i="27"/>
  <c r="AN31" i="27" s="1"/>
  <c r="AE28" i="27"/>
  <c r="AG28" i="27" s="1"/>
  <c r="J22" i="27"/>
  <c r="L22" i="27" s="1"/>
  <c r="F15" i="27"/>
  <c r="AE28" i="26"/>
  <c r="X33" i="25"/>
  <c r="X28" i="25"/>
  <c r="AE43" i="30"/>
  <c r="Q20" i="28"/>
  <c r="X43" i="27"/>
  <c r="Q36" i="27"/>
  <c r="S36" i="27" s="1"/>
  <c r="AE32" i="27"/>
  <c r="O22" i="3" s="1"/>
  <c r="F30" i="27"/>
  <c r="Q16" i="27"/>
  <c r="S16" i="27" s="1"/>
  <c r="Q36" i="26"/>
  <c r="J28" i="26"/>
  <c r="L28" i="26" s="1"/>
  <c r="AE26" i="27"/>
  <c r="J43" i="26"/>
  <c r="Q33" i="26"/>
  <c r="X33" i="29"/>
  <c r="J32" i="28"/>
  <c r="J20" i="28"/>
  <c r="Q28" i="27"/>
  <c r="F22" i="27"/>
  <c r="H22" i="27" s="1"/>
  <c r="O22" i="27" s="1"/>
  <c r="AL16" i="27"/>
  <c r="AN16" i="27" s="1"/>
  <c r="AL43" i="26"/>
  <c r="AN43" i="26" s="1"/>
  <c r="AE40" i="26"/>
  <c r="AG40" i="26" s="1"/>
  <c r="AE31" i="26"/>
  <c r="AG31" i="26" s="1"/>
  <c r="F28" i="26"/>
  <c r="AL24" i="26"/>
  <c r="AN24" i="26" s="1"/>
  <c r="AL20" i="31"/>
  <c r="AL35" i="29"/>
  <c r="AN35" i="29" s="1"/>
  <c r="AP35" i="29" s="1"/>
  <c r="Q45" i="27"/>
  <c r="F40" i="27"/>
  <c r="H40" i="27" s="1"/>
  <c r="Q31" i="27"/>
  <c r="S31" i="27" s="1"/>
  <c r="AE21" i="27"/>
  <c r="AG21" i="27" s="1"/>
  <c r="X15" i="27"/>
  <c r="F41" i="26"/>
  <c r="AE36" i="26"/>
  <c r="AG36" i="26" s="1"/>
  <c r="F33" i="26"/>
  <c r="X31" i="26"/>
  <c r="Q46" i="25"/>
  <c r="AE44" i="25"/>
  <c r="AE36" i="25"/>
  <c r="J33" i="25"/>
  <c r="AE28" i="25"/>
  <c r="AE27" i="25"/>
  <c r="AG27" i="25" s="1"/>
  <c r="J27" i="25"/>
  <c r="L27" i="25" s="1"/>
  <c r="F22" i="25"/>
  <c r="X20" i="25"/>
  <c r="X42" i="24"/>
  <c r="Z42" i="24" s="1"/>
  <c r="X32" i="24"/>
  <c r="X27" i="24"/>
  <c r="F20" i="24"/>
  <c r="X19" i="29"/>
  <c r="F44" i="28"/>
  <c r="H44" i="28" s="1"/>
  <c r="AE19" i="28"/>
  <c r="AG19" i="28" s="1"/>
  <c r="F34" i="27"/>
  <c r="F27" i="27"/>
  <c r="H27" i="27" s="1"/>
  <c r="O27" i="27" s="1"/>
  <c r="F19" i="27"/>
  <c r="H19" i="27" s="1"/>
  <c r="J17" i="27"/>
  <c r="L17" i="27" s="1"/>
  <c r="F46" i="26"/>
  <c r="H46" i="26" s="1"/>
  <c r="AL34" i="26"/>
  <c r="AN34" i="26" s="1"/>
  <c r="Q28" i="26"/>
  <c r="Q15" i="26"/>
  <c r="S15" i="26" s="1"/>
  <c r="F36" i="25"/>
  <c r="H36" i="25" s="1"/>
  <c r="AE33" i="25"/>
  <c r="Q31" i="25"/>
  <c r="S31" i="25" s="1"/>
  <c r="F25" i="25"/>
  <c r="F24" i="25"/>
  <c r="H24" i="25" s="1"/>
  <c r="O24" i="25" s="1"/>
  <c r="X15" i="25"/>
  <c r="Z15" i="25" s="1"/>
  <c r="F15" i="25"/>
  <c r="H15" i="25" s="1"/>
  <c r="F42" i="24"/>
  <c r="H42" i="24" s="1"/>
  <c r="F32" i="24"/>
  <c r="H32" i="24" s="1"/>
  <c r="F27" i="24"/>
  <c r="H27" i="24" s="1"/>
  <c r="O27" i="24" s="1"/>
  <c r="X22" i="24"/>
  <c r="Z22" i="24" s="1"/>
  <c r="AE38" i="30"/>
  <c r="AG38" i="30" s="1"/>
  <c r="AE43" i="26"/>
  <c r="F24" i="26"/>
  <c r="H24" i="26" s="1"/>
  <c r="O24" i="26" s="1"/>
  <c r="J19" i="26"/>
  <c r="AE41" i="25"/>
  <c r="AG41" i="25" s="1"/>
  <c r="J41" i="25"/>
  <c r="L41" i="25" s="1"/>
  <c r="F33" i="25"/>
  <c r="F28" i="25"/>
  <c r="H28" i="25" s="1"/>
  <c r="O28" i="25" s="1"/>
  <c r="AE20" i="29"/>
  <c r="AG20" i="29" s="1"/>
  <c r="AE46" i="27"/>
  <c r="X22" i="27"/>
  <c r="Z22" i="27" s="1"/>
  <c r="AE19" i="27"/>
  <c r="J15" i="27"/>
  <c r="Q31" i="26"/>
  <c r="S31" i="26" s="1"/>
  <c r="AE24" i="26"/>
  <c r="AG24" i="26" s="1"/>
  <c r="AE30" i="25"/>
  <c r="AG30" i="25" s="1"/>
  <c r="J30" i="25"/>
  <c r="L30" i="25" s="1"/>
  <c r="X25" i="25"/>
  <c r="Z25" i="25" s="1"/>
  <c r="Q20" i="25"/>
  <c r="AL36" i="29"/>
  <c r="AN36" i="29" s="1"/>
  <c r="AP36" i="29" s="1"/>
  <c r="X30" i="28"/>
  <c r="Z30" i="28" s="1"/>
  <c r="AL44" i="26"/>
  <c r="AN44" i="26" s="1"/>
  <c r="AE33" i="26"/>
  <c r="J23" i="26"/>
  <c r="X16" i="26"/>
  <c r="J46" i="25"/>
  <c r="X44" i="25"/>
  <c r="F41" i="25"/>
  <c r="J31" i="25"/>
  <c r="Q19" i="25"/>
  <c r="S19" i="25" s="1"/>
  <c r="AL15" i="25"/>
  <c r="AN15" i="25" s="1"/>
  <c r="X30" i="27"/>
  <c r="Z30" i="27" s="1"/>
  <c r="AL17" i="27"/>
  <c r="AN17" i="27" s="1"/>
  <c r="AP17" i="27" s="1"/>
  <c r="J34" i="26"/>
  <c r="J25" i="26"/>
  <c r="L25" i="26" s="1"/>
  <c r="AL20" i="26"/>
  <c r="J16" i="26"/>
  <c r="L16" i="26" s="1"/>
  <c r="AE32" i="24"/>
  <c r="F26" i="24"/>
  <c r="X25" i="24"/>
  <c r="Z25" i="24" s="1"/>
  <c r="F18" i="24"/>
  <c r="Q23" i="27"/>
  <c r="Q45" i="26"/>
  <c r="S45" i="26" s="1"/>
  <c r="F44" i="26"/>
  <c r="H44" i="26" s="1"/>
  <c r="X40" i="26"/>
  <c r="J24" i="26"/>
  <c r="J43" i="25"/>
  <c r="Q40" i="25"/>
  <c r="S40" i="25" s="1"/>
  <c r="J26" i="25"/>
  <c r="Q25" i="25"/>
  <c r="AE22" i="25"/>
  <c r="AG22" i="25" s="1"/>
  <c r="AL21" i="25"/>
  <c r="AL18" i="25"/>
  <c r="X16" i="25"/>
  <c r="Z16" i="25" s="1"/>
  <c r="X16" i="23"/>
  <c r="X41" i="22"/>
  <c r="Z41" i="22" s="1"/>
  <c r="X31" i="22"/>
  <c r="Z31" i="22" s="1"/>
  <c r="X17" i="27"/>
  <c r="J46" i="26"/>
  <c r="Q40" i="26"/>
  <c r="S40" i="26" s="1"/>
  <c r="AE46" i="25"/>
  <c r="J44" i="25"/>
  <c r="AL38" i="25"/>
  <c r="J38" i="25"/>
  <c r="L38" i="25" s="1"/>
  <c r="F31" i="25"/>
  <c r="J28" i="25"/>
  <c r="AE24" i="25"/>
  <c r="AG24" i="25" s="1"/>
  <c r="J18" i="25"/>
  <c r="Q34" i="24"/>
  <c r="AE30" i="24"/>
  <c r="J27" i="24"/>
  <c r="L27" i="24" s="1"/>
  <c r="J20" i="34"/>
  <c r="AE20" i="30"/>
  <c r="X41" i="26"/>
  <c r="Z41" i="26" s="1"/>
  <c r="AE26" i="26"/>
  <c r="X41" i="25"/>
  <c r="Z41" i="25" s="1"/>
  <c r="AL40" i="25"/>
  <c r="AN40" i="25" s="1"/>
  <c r="J36" i="25"/>
  <c r="L36" i="25" s="1"/>
  <c r="Q27" i="25"/>
  <c r="S27" i="25" s="1"/>
  <c r="AL23" i="25"/>
  <c r="AN23" i="25" s="1"/>
  <c r="AP23" i="25" s="1"/>
  <c r="J23" i="25"/>
  <c r="L23" i="25" s="1"/>
  <c r="AE15" i="25"/>
  <c r="AG15" i="25" s="1"/>
  <c r="Q42" i="24"/>
  <c r="Q39" i="24"/>
  <c r="AE27" i="24"/>
  <c r="AG27" i="24" s="1"/>
  <c r="X20" i="27"/>
  <c r="Z20" i="27" s="1"/>
  <c r="AL23" i="26"/>
  <c r="AN23" i="26" s="1"/>
  <c r="X19" i="26"/>
  <c r="Z19" i="26" s="1"/>
  <c r="X17" i="26"/>
  <c r="X34" i="25"/>
  <c r="Q22" i="25"/>
  <c r="AE18" i="25"/>
  <c r="AG18" i="25" s="1"/>
  <c r="Q18" i="27"/>
  <c r="S18" i="27" s="1"/>
  <c r="F20" i="26"/>
  <c r="X15" i="26"/>
  <c r="AL32" i="25"/>
  <c r="X19" i="25"/>
  <c r="Z19" i="25" s="1"/>
  <c r="AE42" i="24"/>
  <c r="J32" i="24"/>
  <c r="Q24" i="24"/>
  <c r="S24" i="24" s="1"/>
  <c r="J22" i="24"/>
  <c r="F16" i="24"/>
  <c r="H16" i="24" s="1"/>
  <c r="O16" i="24" s="1"/>
  <c r="X25" i="23"/>
  <c r="Z25" i="23" s="1"/>
  <c r="Q41" i="22"/>
  <c r="S41" i="22" s="1"/>
  <c r="J28" i="22"/>
  <c r="L28" i="22" s="1"/>
  <c r="J27" i="22"/>
  <c r="AE26" i="22"/>
  <c r="AG26" i="22" s="1"/>
  <c r="X43" i="21"/>
  <c r="Z43" i="21" s="1"/>
  <c r="X38" i="21"/>
  <c r="X33" i="21"/>
  <c r="Z33" i="21" s="1"/>
  <c r="Q31" i="28"/>
  <c r="J40" i="27"/>
  <c r="L40" i="27" s="1"/>
  <c r="F43" i="26"/>
  <c r="X45" i="25"/>
  <c r="Z45" i="25" s="1"/>
  <c r="F43" i="25"/>
  <c r="Q41" i="25"/>
  <c r="S41" i="25" s="1"/>
  <c r="X31" i="25"/>
  <c r="Z31" i="25" s="1"/>
  <c r="X30" i="25"/>
  <c r="Z30" i="25" s="1"/>
  <c r="AL27" i="25"/>
  <c r="AN27" i="25" s="1"/>
  <c r="AP27" i="25" s="1"/>
  <c r="J25" i="25"/>
  <c r="F16" i="25"/>
  <c r="H16" i="25" s="1"/>
  <c r="O16" i="25" s="1"/>
  <c r="X30" i="24"/>
  <c r="Z30" i="24" s="1"/>
  <c r="F25" i="24"/>
  <c r="H25" i="24" s="1"/>
  <c r="O25" i="24" s="1"/>
  <c r="J43" i="23"/>
  <c r="L43" i="23" s="1"/>
  <c r="J26" i="22"/>
  <c r="L26" i="22" s="1"/>
  <c r="X21" i="22"/>
  <c r="Z21" i="22" s="1"/>
  <c r="F24" i="20"/>
  <c r="H24" i="20" s="1"/>
  <c r="O24" i="20" s="1"/>
  <c r="X34" i="26"/>
  <c r="Z34" i="26" s="1"/>
  <c r="AL30" i="26"/>
  <c r="AN30" i="26" s="1"/>
  <c r="Q27" i="26"/>
  <c r="S27" i="26" s="1"/>
  <c r="F25" i="26"/>
  <c r="H25" i="26" s="1"/>
  <c r="O25" i="26" s="1"/>
  <c r="Q16" i="26"/>
  <c r="F34" i="25"/>
  <c r="AE20" i="24"/>
  <c r="AG20" i="24" s="1"/>
  <c r="Q30" i="23"/>
  <c r="S30" i="23" s="1"/>
  <c r="Q31" i="22"/>
  <c r="X16" i="21"/>
  <c r="Z16" i="21" s="1"/>
  <c r="X41" i="20"/>
  <c r="Z41" i="20" s="1"/>
  <c r="AE16" i="28"/>
  <c r="F35" i="25"/>
  <c r="H35" i="25" s="1"/>
  <c r="O35" i="25" s="1"/>
  <c r="Q32" i="25"/>
  <c r="Q30" i="25"/>
  <c r="J19" i="25"/>
  <c r="L19" i="25" s="1"/>
  <c r="Q18" i="25"/>
  <c r="AE16" i="25"/>
  <c r="AE25" i="24"/>
  <c r="AE22" i="24"/>
  <c r="X18" i="24"/>
  <c r="Z18" i="24" s="1"/>
  <c r="AE43" i="23"/>
  <c r="Q25" i="23"/>
  <c r="S25" i="23" s="1"/>
  <c r="AE16" i="23"/>
  <c r="J16" i="23"/>
  <c r="L16" i="23" s="1"/>
  <c r="AE38" i="22"/>
  <c r="AG38" i="22" s="1"/>
  <c r="F27" i="22"/>
  <c r="AL35" i="27"/>
  <c r="J19" i="27"/>
  <c r="X46" i="25"/>
  <c r="AL26" i="25"/>
  <c r="AN26" i="25" s="1"/>
  <c r="Q27" i="24"/>
  <c r="AE33" i="23"/>
  <c r="F26" i="22"/>
  <c r="F44" i="27"/>
  <c r="H44" i="27" s="1"/>
  <c r="X45" i="26"/>
  <c r="AL27" i="26"/>
  <c r="AN27" i="26" s="1"/>
  <c r="AP27" i="26" s="1"/>
  <c r="F46" i="25"/>
  <c r="AE23" i="25"/>
  <c r="AE34" i="24"/>
  <c r="AG34" i="24" s="1"/>
  <c r="F30" i="24"/>
  <c r="J18" i="24"/>
  <c r="L18" i="24" s="1"/>
  <c r="X43" i="23"/>
  <c r="F33" i="23"/>
  <c r="H33" i="23" s="1"/>
  <c r="O33" i="23" s="1"/>
  <c r="J25" i="23"/>
  <c r="L25" i="23" s="1"/>
  <c r="AL34" i="22"/>
  <c r="J32" i="22"/>
  <c r="AE30" i="22"/>
  <c r="AL27" i="22"/>
  <c r="AN27" i="22" s="1"/>
  <c r="AP27" i="22" s="1"/>
  <c r="Q26" i="22"/>
  <c r="AE21" i="22"/>
  <c r="AG21" i="22" s="1"/>
  <c r="J41" i="21"/>
  <c r="X32" i="26"/>
  <c r="F19" i="26"/>
  <c r="AE15" i="26"/>
  <c r="F45" i="25"/>
  <c r="AE43" i="25"/>
  <c r="AE19" i="25"/>
  <c r="Q15" i="25"/>
  <c r="AE39" i="24"/>
  <c r="AG39" i="24" s="1"/>
  <c r="Q22" i="24"/>
  <c r="S22" i="24" s="1"/>
  <c r="AL18" i="24"/>
  <c r="AN18" i="24" s="1"/>
  <c r="AL16" i="24"/>
  <c r="J16" i="24"/>
  <c r="L16" i="24" s="1"/>
  <c r="X33" i="23"/>
  <c r="Z33" i="23" s="1"/>
  <c r="F28" i="23"/>
  <c r="H28" i="23" s="1"/>
  <c r="O28" i="23" s="1"/>
  <c r="X39" i="22"/>
  <c r="Z39" i="22" s="1"/>
  <c r="Q27" i="22"/>
  <c r="S27" i="22" s="1"/>
  <c r="AL46" i="26"/>
  <c r="X26" i="26"/>
  <c r="J38" i="26"/>
  <c r="L38" i="26" s="1"/>
  <c r="F30" i="25"/>
  <c r="AE25" i="25"/>
  <c r="AG25" i="25" s="1"/>
  <c r="J42" i="24"/>
  <c r="J36" i="23"/>
  <c r="AE32" i="23"/>
  <c r="AG32" i="23" s="1"/>
  <c r="J30" i="23"/>
  <c r="L30" i="23" s="1"/>
  <c r="AE28" i="23"/>
  <c r="J26" i="23"/>
  <c r="Q38" i="22"/>
  <c r="X30" i="22"/>
  <c r="F25" i="22"/>
  <c r="H25" i="22" s="1"/>
  <c r="O25" i="22" s="1"/>
  <c r="J43" i="21"/>
  <c r="AE25" i="21"/>
  <c r="AG25" i="21" s="1"/>
  <c r="Q23" i="21"/>
  <c r="S23" i="21" s="1"/>
  <c r="AE16" i="21"/>
  <c r="AG16" i="21" s="1"/>
  <c r="F42" i="20"/>
  <c r="H42" i="20" s="1"/>
  <c r="AE34" i="20"/>
  <c r="J34" i="20"/>
  <c r="F26" i="20"/>
  <c r="H26" i="20" s="1"/>
  <c r="O26" i="20" s="1"/>
  <c r="F22" i="19"/>
  <c r="H22" i="19" s="1"/>
  <c r="O22" i="19" s="1"/>
  <c r="Q16" i="19"/>
  <c r="Q30" i="26"/>
  <c r="S30" i="26" s="1"/>
  <c r="Q24" i="25"/>
  <c r="J25" i="24"/>
  <c r="J20" i="24"/>
  <c r="L20" i="24" s="1"/>
  <c r="Q16" i="23"/>
  <c r="J34" i="22"/>
  <c r="X26" i="22"/>
  <c r="Z26" i="22" s="1"/>
  <c r="J20" i="22"/>
  <c r="L20" i="22" s="1"/>
  <c r="AE38" i="21"/>
  <c r="Q28" i="21"/>
  <c r="S28" i="21" s="1"/>
  <c r="AE21" i="21"/>
  <c r="J16" i="21"/>
  <c r="L16" i="21" s="1"/>
  <c r="F31" i="20"/>
  <c r="H31" i="20" s="1"/>
  <c r="O31" i="20" s="1"/>
  <c r="F35" i="28"/>
  <c r="AE23" i="26"/>
  <c r="AG23" i="26" s="1"/>
  <c r="Q38" i="25"/>
  <c r="S38" i="25" s="1"/>
  <c r="F19" i="25"/>
  <c r="H19" i="25" s="1"/>
  <c r="Q26" i="24"/>
  <c r="S26" i="24" s="1"/>
  <c r="F26" i="23"/>
  <c r="F18" i="23"/>
  <c r="H18" i="23" s="1"/>
  <c r="O18" i="23" s="1"/>
  <c r="X42" i="22"/>
  <c r="F24" i="22"/>
  <c r="H24" i="22" s="1"/>
  <c r="O24" i="22" s="1"/>
  <c r="X41" i="21"/>
  <c r="F31" i="21"/>
  <c r="H31" i="21" s="1"/>
  <c r="O31" i="21" s="1"/>
  <c r="X42" i="20"/>
  <c r="Z42" i="20" s="1"/>
  <c r="F33" i="20"/>
  <c r="H33" i="20" s="1"/>
  <c r="O33" i="20" s="1"/>
  <c r="F32" i="20"/>
  <c r="H32" i="20" s="1"/>
  <c r="F30" i="20"/>
  <c r="H30" i="20" s="1"/>
  <c r="O30" i="20" s="1"/>
  <c r="F22" i="20"/>
  <c r="H22" i="20" s="1"/>
  <c r="O22" i="20" s="1"/>
  <c r="F24" i="19"/>
  <c r="H24" i="19" s="1"/>
  <c r="O24" i="19" s="1"/>
  <c r="AE16" i="19"/>
  <c r="AG16" i="19" s="1"/>
  <c r="Q45" i="25"/>
  <c r="S45" i="25" s="1"/>
  <c r="AE20" i="25"/>
  <c r="Q32" i="24"/>
  <c r="AE27" i="23"/>
  <c r="AE20" i="23"/>
  <c r="F39" i="22"/>
  <c r="H39" i="22" s="1"/>
  <c r="J31" i="22"/>
  <c r="AL28" i="22"/>
  <c r="J23" i="22"/>
  <c r="AE16" i="22"/>
  <c r="AG16" i="22" s="1"/>
  <c r="AE43" i="21"/>
  <c r="F16" i="21"/>
  <c r="Q41" i="20"/>
  <c r="F34" i="20"/>
  <c r="X24" i="20"/>
  <c r="Q42" i="19"/>
  <c r="Q32" i="19"/>
  <c r="Q27" i="19"/>
  <c r="J18" i="26"/>
  <c r="L18" i="26" s="1"/>
  <c r="Q26" i="25"/>
  <c r="S26" i="25" s="1"/>
  <c r="AL22" i="25"/>
  <c r="AL36" i="23"/>
  <c r="AN36" i="23" s="1"/>
  <c r="AP36" i="23" s="1"/>
  <c r="X28" i="23"/>
  <c r="F32" i="22"/>
  <c r="X25" i="22"/>
  <c r="Z25" i="22" s="1"/>
  <c r="AL24" i="22"/>
  <c r="AL20" i="22"/>
  <c r="Q18" i="22"/>
  <c r="J33" i="21"/>
  <c r="L33" i="21" s="1"/>
  <c r="X31" i="21"/>
  <c r="Z31" i="21" s="1"/>
  <c r="Q24" i="26"/>
  <c r="AL24" i="25"/>
  <c r="J16" i="25"/>
  <c r="L16" i="25" s="1"/>
  <c r="Q41" i="24"/>
  <c r="AE34" i="23"/>
  <c r="AG34" i="23" s="1"/>
  <c r="J32" i="23"/>
  <c r="L32" i="23" s="1"/>
  <c r="X30" i="23"/>
  <c r="Z30" i="23" s="1"/>
  <c r="J28" i="23"/>
  <c r="X26" i="23"/>
  <c r="AE33" i="22"/>
  <c r="Q25" i="22"/>
  <c r="X24" i="22"/>
  <c r="Q43" i="21"/>
  <c r="S43" i="21" s="1"/>
  <c r="Q16" i="21"/>
  <c r="S16" i="21" s="1"/>
  <c r="AE41" i="20"/>
  <c r="AG41" i="20" s="1"/>
  <c r="J41" i="20"/>
  <c r="L41" i="20" s="1"/>
  <c r="F41" i="18"/>
  <c r="H41" i="18" s="1"/>
  <c r="AL36" i="25"/>
  <c r="AE36" i="24"/>
  <c r="AG36" i="24" s="1"/>
  <c r="AL26" i="24"/>
  <c r="X20" i="24"/>
  <c r="Z20" i="24" s="1"/>
  <c r="AE22" i="23"/>
  <c r="AG22" i="23" s="1"/>
  <c r="AE31" i="22"/>
  <c r="AG31" i="22" s="1"/>
  <c r="F41" i="21"/>
  <c r="H41" i="21" s="1"/>
  <c r="J38" i="21"/>
  <c r="J42" i="20"/>
  <c r="L42" i="20" s="1"/>
  <c r="F41" i="20"/>
  <c r="F39" i="20"/>
  <c r="H39" i="20" s="1"/>
  <c r="AE26" i="20"/>
  <c r="AG26" i="20" s="1"/>
  <c r="J22" i="19"/>
  <c r="L22" i="19" s="1"/>
  <c r="X21" i="24"/>
  <c r="Z21" i="24" s="1"/>
  <c r="AE25" i="23"/>
  <c r="AG25" i="23" s="1"/>
  <c r="AL32" i="22"/>
  <c r="AE20" i="22"/>
  <c r="AE41" i="21"/>
  <c r="AL32" i="21"/>
  <c r="AN32" i="21" s="1"/>
  <c r="J31" i="21"/>
  <c r="AL43" i="20"/>
  <c r="F23" i="19"/>
  <c r="H23" i="19" s="1"/>
  <c r="O23" i="19" s="1"/>
  <c r="Q22" i="19"/>
  <c r="S22" i="19" s="1"/>
  <c r="F30" i="17"/>
  <c r="F25" i="17"/>
  <c r="H25" i="17" s="1"/>
  <c r="O25" i="17" s="1"/>
  <c r="J16" i="16"/>
  <c r="L16" i="16" s="1"/>
  <c r="AL28" i="24"/>
  <c r="Q43" i="23"/>
  <c r="J31" i="23"/>
  <c r="F30" i="22"/>
  <c r="J22" i="22"/>
  <c r="AE15" i="22"/>
  <c r="AE33" i="21"/>
  <c r="AG33" i="21" s="1"/>
  <c r="AE28" i="21"/>
  <c r="AG28" i="21" s="1"/>
  <c r="AL25" i="21"/>
  <c r="AN25" i="21" s="1"/>
  <c r="AP25" i="21" s="1"/>
  <c r="X34" i="20"/>
  <c r="Z34" i="20" s="1"/>
  <c r="J31" i="20"/>
  <c r="L31" i="20" s="1"/>
  <c r="J25" i="20"/>
  <c r="L25" i="20" s="1"/>
  <c r="J22" i="20"/>
  <c r="X42" i="19"/>
  <c r="Q24" i="19"/>
  <c r="S24" i="19" s="1"/>
  <c r="X16" i="19"/>
  <c r="Z16" i="19" s="1"/>
  <c r="AL31" i="18"/>
  <c r="AN31" i="18" s="1"/>
  <c r="F16" i="23"/>
  <c r="H16" i="23" s="1"/>
  <c r="O16" i="23" s="1"/>
  <c r="AL33" i="22"/>
  <c r="J39" i="21"/>
  <c r="J36" i="21"/>
  <c r="L36" i="21" s="1"/>
  <c r="AE39" i="20"/>
  <c r="AG39" i="20" s="1"/>
  <c r="AE23" i="20"/>
  <c r="AG23" i="20" s="1"/>
  <c r="AE41" i="19"/>
  <c r="X33" i="19"/>
  <c r="X41" i="18"/>
  <c r="AE32" i="18"/>
  <c r="AL27" i="18"/>
  <c r="X15" i="18"/>
  <c r="Z15" i="18" s="1"/>
  <c r="Q35" i="26"/>
  <c r="J32" i="25"/>
  <c r="AE21" i="23"/>
  <c r="AE41" i="22"/>
  <c r="AG41" i="22" s="1"/>
  <c r="F22" i="22"/>
  <c r="H22" i="22" s="1"/>
  <c r="O22" i="22" s="1"/>
  <c r="Q20" i="22"/>
  <c r="S20" i="22" s="1"/>
  <c r="AE23" i="21"/>
  <c r="AG23" i="21" s="1"/>
  <c r="AE43" i="20"/>
  <c r="Q36" i="20"/>
  <c r="S36" i="20" s="1"/>
  <c r="AL28" i="20"/>
  <c r="AL25" i="20"/>
  <c r="Q24" i="20"/>
  <c r="S24" i="20" s="1"/>
  <c r="AL22" i="20"/>
  <c r="AN22" i="20" s="1"/>
  <c r="AE39" i="19"/>
  <c r="J34" i="19"/>
  <c r="L34" i="19" s="1"/>
  <c r="X27" i="19"/>
  <c r="Z27" i="19" s="1"/>
  <c r="AE15" i="19"/>
  <c r="AG15" i="19" s="1"/>
  <c r="X36" i="18"/>
  <c r="Q20" i="24"/>
  <c r="S20" i="24" s="1"/>
  <c r="X32" i="21"/>
  <c r="Z32" i="21" s="1"/>
  <c r="X28" i="21"/>
  <c r="AL42" i="20"/>
  <c r="Q33" i="20"/>
  <c r="J30" i="20"/>
  <c r="L30" i="20" s="1"/>
  <c r="X20" i="20"/>
  <c r="Z20" i="20" s="1"/>
  <c r="AE32" i="19"/>
  <c r="F32" i="19"/>
  <c r="H32" i="19" s="1"/>
  <c r="J24" i="19"/>
  <c r="L24" i="19" s="1"/>
  <c r="X23" i="19"/>
  <c r="Z23" i="19" s="1"/>
  <c r="Q31" i="18"/>
  <c r="Q30" i="17"/>
  <c r="Q25" i="17"/>
  <c r="J33" i="24"/>
  <c r="AE24" i="24"/>
  <c r="AE16" i="24"/>
  <c r="AL17" i="23"/>
  <c r="AN17" i="23" s="1"/>
  <c r="F41" i="22"/>
  <c r="AL23" i="22"/>
  <c r="Q38" i="21"/>
  <c r="Q32" i="21"/>
  <c r="S32" i="21" s="1"/>
  <c r="J23" i="21"/>
  <c r="L23" i="21" s="1"/>
  <c r="J39" i="20"/>
  <c r="L39" i="20" s="1"/>
  <c r="AL16" i="20"/>
  <c r="AN16" i="20" s="1"/>
  <c r="F42" i="19"/>
  <c r="X32" i="19"/>
  <c r="J41" i="18"/>
  <c r="J31" i="18"/>
  <c r="L31" i="18" s="1"/>
  <c r="Q22" i="18"/>
  <c r="S22" i="18" s="1"/>
  <c r="J16" i="18"/>
  <c r="AL44" i="25"/>
  <c r="J30" i="24"/>
  <c r="L30" i="24" s="1"/>
  <c r="AE17" i="24"/>
  <c r="AG17" i="24" s="1"/>
  <c r="X31" i="23"/>
  <c r="Z31" i="23" s="1"/>
  <c r="J27" i="23"/>
  <c r="L27" i="23" s="1"/>
  <c r="X36" i="21"/>
  <c r="Z36" i="21" s="1"/>
  <c r="J24" i="21"/>
  <c r="X17" i="21"/>
  <c r="AE36" i="20"/>
  <c r="AG36" i="20" s="1"/>
  <c r="AL33" i="20"/>
  <c r="J32" i="20"/>
  <c r="J23" i="20"/>
  <c r="L23" i="20" s="1"/>
  <c r="AE21" i="20"/>
  <c r="J23" i="19"/>
  <c r="L23" i="19" s="1"/>
  <c r="Q33" i="21"/>
  <c r="S33" i="21" s="1"/>
  <c r="AL25" i="18"/>
  <c r="AN25" i="18" s="1"/>
  <c r="AP25" i="18" s="1"/>
  <c r="J25" i="18"/>
  <c r="L25" i="18" s="1"/>
  <c r="F39" i="17"/>
  <c r="F38" i="17"/>
  <c r="F36" i="17"/>
  <c r="H36" i="17" s="1"/>
  <c r="AE25" i="17"/>
  <c r="J25" i="17"/>
  <c r="L25" i="17" s="1"/>
  <c r="F22" i="17"/>
  <c r="AE16" i="17"/>
  <c r="AG16" i="17" s="1"/>
  <c r="J16" i="17"/>
  <c r="L16" i="17" s="1"/>
  <c r="F42" i="16"/>
  <c r="H42" i="16" s="1"/>
  <c r="F41" i="16"/>
  <c r="H41" i="16" s="1"/>
  <c r="AE18" i="24"/>
  <c r="AG18" i="24" s="1"/>
  <c r="F15" i="23"/>
  <c r="H15" i="23" s="1"/>
  <c r="J41" i="22"/>
  <c r="AL38" i="22"/>
  <c r="AE34" i="22"/>
  <c r="F17" i="22"/>
  <c r="H17" i="22" s="1"/>
  <c r="O17" i="22" s="1"/>
  <c r="X39" i="20"/>
  <c r="AE24" i="20"/>
  <c r="AG24" i="20" s="1"/>
  <c r="Q22" i="20"/>
  <c r="S22" i="20" s="1"/>
  <c r="AL33" i="19"/>
  <c r="AN33" i="19" s="1"/>
  <c r="AP33" i="19" s="1"/>
  <c r="AL25" i="19"/>
  <c r="AN25" i="19" s="1"/>
  <c r="AL34" i="18"/>
  <c r="J27" i="18"/>
  <c r="J23" i="18"/>
  <c r="L23" i="18" s="1"/>
  <c r="X22" i="18"/>
  <c r="Z22" i="18" s="1"/>
  <c r="F18" i="17"/>
  <c r="H18" i="17" s="1"/>
  <c r="O18" i="17" s="1"/>
  <c r="Q42" i="23"/>
  <c r="S42" i="23" s="1"/>
  <c r="J28" i="21"/>
  <c r="AL27" i="20"/>
  <c r="AN27" i="20" s="1"/>
  <c r="AE27" i="19"/>
  <c r="AG27" i="19" s="1"/>
  <c r="AE22" i="19"/>
  <c r="AG22" i="19" s="1"/>
  <c r="Q42" i="18"/>
  <c r="AL38" i="18"/>
  <c r="AE16" i="18"/>
  <c r="AG16" i="18" s="1"/>
  <c r="F16" i="18"/>
  <c r="H16" i="18" s="1"/>
  <c r="O16" i="18" s="1"/>
  <c r="AE43" i="17"/>
  <c r="AG43" i="17" s="1"/>
  <c r="J43" i="17"/>
  <c r="L43" i="17" s="1"/>
  <c r="X39" i="17"/>
  <c r="Z39" i="17" s="1"/>
  <c r="X38" i="17"/>
  <c r="Z38" i="17" s="1"/>
  <c r="Q33" i="17"/>
  <c r="X22" i="17"/>
  <c r="Z22" i="17" s="1"/>
  <c r="X42" i="16"/>
  <c r="Z42" i="16" s="1"/>
  <c r="X41" i="16"/>
  <c r="Z41" i="16" s="1"/>
  <c r="AE26" i="16"/>
  <c r="AG26" i="16" s="1"/>
  <c r="J26" i="16"/>
  <c r="L26" i="16" s="1"/>
  <c r="X16" i="16"/>
  <c r="X43" i="15"/>
  <c r="Z43" i="15" s="1"/>
  <c r="X38" i="15"/>
  <c r="Z38" i="15" s="1"/>
  <c r="X33" i="15"/>
  <c r="Z33" i="15" s="1"/>
  <c r="X28" i="15"/>
  <c r="Z28" i="15" s="1"/>
  <c r="AL35" i="25"/>
  <c r="J22" i="25"/>
  <c r="X17" i="23"/>
  <c r="Z17" i="23" s="1"/>
  <c r="AE28" i="22"/>
  <c r="F24" i="21"/>
  <c r="H24" i="21" s="1"/>
  <c r="O24" i="21" s="1"/>
  <c r="AE31" i="20"/>
  <c r="AE28" i="20"/>
  <c r="AL36" i="19"/>
  <c r="AN36" i="19" s="1"/>
  <c r="AP36" i="19" s="1"/>
  <c r="AE34" i="19"/>
  <c r="X22" i="19"/>
  <c r="Z22" i="19" s="1"/>
  <c r="Q36" i="18"/>
  <c r="S36" i="18" s="1"/>
  <c r="F31" i="18"/>
  <c r="Q30" i="18"/>
  <c r="AE27" i="18"/>
  <c r="AL21" i="18"/>
  <c r="AN21" i="18" s="1"/>
  <c r="Q15" i="18"/>
  <c r="S15" i="18" s="1"/>
  <c r="X21" i="16"/>
  <c r="Q36" i="15"/>
  <c r="Q19" i="15"/>
  <c r="S19" i="15" s="1"/>
  <c r="Q31" i="20"/>
  <c r="S31" i="20" s="1"/>
  <c r="J27" i="20"/>
  <c r="L27" i="20" s="1"/>
  <c r="J16" i="19"/>
  <c r="L16" i="19" s="1"/>
  <c r="Q34" i="18"/>
  <c r="J32" i="18"/>
  <c r="L32" i="18" s="1"/>
  <c r="Q16" i="18"/>
  <c r="S16" i="18" s="1"/>
  <c r="X30" i="17"/>
  <c r="Z30" i="17" s="1"/>
  <c r="Q19" i="17"/>
  <c r="Q16" i="17"/>
  <c r="S16" i="17" s="1"/>
  <c r="AE30" i="23"/>
  <c r="X15" i="23"/>
  <c r="Z15" i="23" s="1"/>
  <c r="J26" i="20"/>
  <c r="L26" i="20" s="1"/>
  <c r="AE22" i="20"/>
  <c r="AG22" i="20" s="1"/>
  <c r="Q39" i="19"/>
  <c r="S39" i="19" s="1"/>
  <c r="F27" i="19"/>
  <c r="H27" i="19" s="1"/>
  <c r="O27" i="19" s="1"/>
  <c r="F26" i="19"/>
  <c r="H26" i="19" s="1"/>
  <c r="O26" i="19" s="1"/>
  <c r="J25" i="19"/>
  <c r="J15" i="19"/>
  <c r="AL36" i="18"/>
  <c r="AN36" i="18" s="1"/>
  <c r="AL32" i="18"/>
  <c r="AN32" i="18" s="1"/>
  <c r="X31" i="18"/>
  <c r="Z31" i="18" s="1"/>
  <c r="Q27" i="18"/>
  <c r="S27" i="18" s="1"/>
  <c r="AE26" i="18"/>
  <c r="AG26" i="18" s="1"/>
  <c r="Q23" i="18"/>
  <c r="AE17" i="18"/>
  <c r="AG17" i="18" s="1"/>
  <c r="F15" i="18"/>
  <c r="H15" i="18" s="1"/>
  <c r="AE38" i="17"/>
  <c r="AG38" i="17" s="1"/>
  <c r="J38" i="17"/>
  <c r="L38" i="17" s="1"/>
  <c r="AE36" i="17"/>
  <c r="AG36" i="17" s="1"/>
  <c r="J36" i="17"/>
  <c r="L36" i="17" s="1"/>
  <c r="F33" i="17"/>
  <c r="H33" i="17" s="1"/>
  <c r="O33" i="17" s="1"/>
  <c r="AL26" i="17"/>
  <c r="AN26" i="17" s="1"/>
  <c r="AE41" i="16"/>
  <c r="AG41" i="16" s="1"/>
  <c r="J41" i="16"/>
  <c r="J36" i="20"/>
  <c r="L36" i="20" s="1"/>
  <c r="AL23" i="20"/>
  <c r="F33" i="19"/>
  <c r="H33" i="19" s="1"/>
  <c r="O33" i="19" s="1"/>
  <c r="J20" i="19"/>
  <c r="L20" i="19" s="1"/>
  <c r="AE41" i="18"/>
  <c r="AG41" i="18" s="1"/>
  <c r="J38" i="18"/>
  <c r="L38" i="18" s="1"/>
  <c r="J34" i="18"/>
  <c r="F32" i="18"/>
  <c r="F22" i="18"/>
  <c r="X21" i="18"/>
  <c r="AE15" i="18"/>
  <c r="AG15" i="18" s="1"/>
  <c r="Q43" i="17"/>
  <c r="J39" i="17"/>
  <c r="X32" i="17"/>
  <c r="Q26" i="17"/>
  <c r="AE22" i="17"/>
  <c r="AG22" i="17" s="1"/>
  <c r="AE18" i="17"/>
  <c r="AG18" i="17" s="1"/>
  <c r="J18" i="17"/>
  <c r="L18" i="17" s="1"/>
  <c r="AE43" i="16"/>
  <c r="AG43" i="16" s="1"/>
  <c r="J42" i="16"/>
  <c r="L42" i="16" s="1"/>
  <c r="AL43" i="24"/>
  <c r="AN43" i="24" s="1"/>
  <c r="Q38" i="23"/>
  <c r="J33" i="23"/>
  <c r="L33" i="23" s="1"/>
  <c r="Q33" i="22"/>
  <c r="AL36" i="21"/>
  <c r="F38" i="20"/>
  <c r="AE42" i="19"/>
  <c r="J39" i="19"/>
  <c r="L39" i="19" s="1"/>
  <c r="F38" i="19"/>
  <c r="H38" i="19" s="1"/>
  <c r="AL31" i="19"/>
  <c r="AN31" i="19" s="1"/>
  <c r="AL21" i="19"/>
  <c r="Q43" i="18"/>
  <c r="S43" i="18" s="1"/>
  <c r="AE30" i="18"/>
  <c r="AE22" i="18"/>
  <c r="X33" i="17"/>
  <c r="J19" i="17"/>
  <c r="J43" i="16"/>
  <c r="L43" i="16" s="1"/>
  <c r="Q26" i="18"/>
  <c r="S26" i="18" s="1"/>
  <c r="Q39" i="17"/>
  <c r="S39" i="17" s="1"/>
  <c r="AE33" i="17"/>
  <c r="AG33" i="17" s="1"/>
  <c r="Q22" i="17"/>
  <c r="S22" i="17" s="1"/>
  <c r="AL19" i="17"/>
  <c r="Q28" i="16"/>
  <c r="S28" i="16" s="1"/>
  <c r="Q20" i="16"/>
  <c r="AL19" i="16"/>
  <c r="J19" i="16"/>
  <c r="AE16" i="16"/>
  <c r="F16" i="16"/>
  <c r="X38" i="19"/>
  <c r="Z38" i="19" s="1"/>
  <c r="Q34" i="19"/>
  <c r="S34" i="19" s="1"/>
  <c r="AE31" i="18"/>
  <c r="AG31" i="18" s="1"/>
  <c r="AL17" i="18"/>
  <c r="AN17" i="18" s="1"/>
  <c r="AE30" i="17"/>
  <c r="F28" i="17"/>
  <c r="H28" i="17" s="1"/>
  <c r="O28" i="17" s="1"/>
  <c r="Q24" i="17"/>
  <c r="S24" i="17" s="1"/>
  <c r="Q23" i="17"/>
  <c r="S23" i="17" s="1"/>
  <c r="AL20" i="17"/>
  <c r="AN20" i="17" s="1"/>
  <c r="F16" i="17"/>
  <c r="X31" i="16"/>
  <c r="Z31" i="16" s="1"/>
  <c r="AL25" i="16"/>
  <c r="AN25" i="16" s="1"/>
  <c r="Q23" i="16"/>
  <c r="X18" i="16"/>
  <c r="Q26" i="20"/>
  <c r="S26" i="20" s="1"/>
  <c r="AL22" i="18"/>
  <c r="F43" i="17"/>
  <c r="H43" i="17" s="1"/>
  <c r="AE32" i="17"/>
  <c r="F26" i="17"/>
  <c r="AL42" i="16"/>
  <c r="AE38" i="16"/>
  <c r="AL28" i="16"/>
  <c r="AN28" i="16" s="1"/>
  <c r="Q26" i="16"/>
  <c r="S26" i="16" s="1"/>
  <c r="F19" i="16"/>
  <c r="AL17" i="16"/>
  <c r="AN17" i="16" s="1"/>
  <c r="AP17" i="16" s="1"/>
  <c r="Q43" i="15"/>
  <c r="S43" i="15" s="1"/>
  <c r="AE38" i="15"/>
  <c r="AG38" i="15" s="1"/>
  <c r="J38" i="15"/>
  <c r="L38" i="15" s="1"/>
  <c r="AE31" i="21"/>
  <c r="AG31" i="21" s="1"/>
  <c r="Q23" i="20"/>
  <c r="S23" i="20" s="1"/>
  <c r="AL21" i="20"/>
  <c r="AN21" i="20" s="1"/>
  <c r="Q23" i="19"/>
  <c r="J18" i="19"/>
  <c r="Q15" i="19"/>
  <c r="AL42" i="18"/>
  <c r="AN42" i="18" s="1"/>
  <c r="Q38" i="18"/>
  <c r="X16" i="18"/>
  <c r="Z16" i="18" s="1"/>
  <c r="X19" i="17"/>
  <c r="Z19" i="17" s="1"/>
  <c r="Q31" i="16"/>
  <c r="S31" i="16" s="1"/>
  <c r="X24" i="16"/>
  <c r="Z24" i="16" s="1"/>
  <c r="AL23" i="16"/>
  <c r="AN23" i="16" s="1"/>
  <c r="AP23" i="16" s="1"/>
  <c r="AL20" i="16"/>
  <c r="J17" i="16"/>
  <c r="X21" i="21"/>
  <c r="Z21" i="21" s="1"/>
  <c r="AL43" i="18"/>
  <c r="X18" i="17"/>
  <c r="J20" i="16"/>
  <c r="L20" i="16" s="1"/>
  <c r="Q18" i="16"/>
  <c r="AL15" i="16"/>
  <c r="AN15" i="16" s="1"/>
  <c r="F38" i="15"/>
  <c r="H38" i="15" s="1"/>
  <c r="F36" i="15"/>
  <c r="H36" i="15" s="1"/>
  <c r="F42" i="14"/>
  <c r="H42" i="14" s="1"/>
  <c r="Q31" i="14"/>
  <c r="S31" i="14" s="1"/>
  <c r="J26" i="14"/>
  <c r="L26" i="14" s="1"/>
  <c r="Q19" i="19"/>
  <c r="AE39" i="18"/>
  <c r="J36" i="18"/>
  <c r="X32" i="18"/>
  <c r="Z32" i="18" s="1"/>
  <c r="J28" i="18"/>
  <c r="AL39" i="17"/>
  <c r="AE41" i="15"/>
  <c r="AG41" i="15" s="1"/>
  <c r="J41" i="15"/>
  <c r="Q33" i="15"/>
  <c r="S33" i="15" s="1"/>
  <c r="AE15" i="24"/>
  <c r="Q43" i="20"/>
  <c r="S43" i="20" s="1"/>
  <c r="AL26" i="18"/>
  <c r="J33" i="17"/>
  <c r="Q18" i="17"/>
  <c r="S18" i="17" s="1"/>
  <c r="Q43" i="16"/>
  <c r="S43" i="16" s="1"/>
  <c r="J31" i="16"/>
  <c r="F20" i="16"/>
  <c r="H20" i="16" s="1"/>
  <c r="O20" i="16" s="1"/>
  <c r="Q16" i="16"/>
  <c r="J15" i="16"/>
  <c r="L15" i="16" s="1"/>
  <c r="AE43" i="15"/>
  <c r="X36" i="15"/>
  <c r="Z36" i="15" s="1"/>
  <c r="Q31" i="15"/>
  <c r="S31" i="15" s="1"/>
  <c r="Q28" i="15"/>
  <c r="S28" i="15" s="1"/>
  <c r="J42" i="22"/>
  <c r="Q28" i="22"/>
  <c r="S28" i="22" s="1"/>
  <c r="J24" i="20"/>
  <c r="L24" i="20" s="1"/>
  <c r="F16" i="20"/>
  <c r="H16" i="20" s="1"/>
  <c r="O16" i="20" s="1"/>
  <c r="Q19" i="18"/>
  <c r="X26" i="17"/>
  <c r="X16" i="17"/>
  <c r="Z16" i="17" s="1"/>
  <c r="F31" i="16"/>
  <c r="H31" i="16" s="1"/>
  <c r="O31" i="16" s="1"/>
  <c r="F26" i="16"/>
  <c r="H26" i="16" s="1"/>
  <c r="O26" i="16" s="1"/>
  <c r="Q19" i="16"/>
  <c r="S19" i="16" s="1"/>
  <c r="AE15" i="16"/>
  <c r="AG15" i="16" s="1"/>
  <c r="Q33" i="19"/>
  <c r="S33" i="19" s="1"/>
  <c r="F17" i="18"/>
  <c r="H17" i="18" s="1"/>
  <c r="O17" i="18" s="1"/>
  <c r="AL15" i="18"/>
  <c r="AN15" i="18" s="1"/>
  <c r="X43" i="17"/>
  <c r="Z43" i="17" s="1"/>
  <c r="J38" i="16"/>
  <c r="L38" i="16" s="1"/>
  <c r="AE31" i="16"/>
  <c r="AG31" i="16" s="1"/>
  <c r="F43" i="15"/>
  <c r="Q38" i="15"/>
  <c r="S38" i="15" s="1"/>
  <c r="Q25" i="21"/>
  <c r="S25" i="21" s="1"/>
  <c r="AL38" i="19"/>
  <c r="Q17" i="19"/>
  <c r="S17" i="19" s="1"/>
  <c r="AE34" i="18"/>
  <c r="AG34" i="18" s="1"/>
  <c r="AL30" i="18"/>
  <c r="AN30" i="18" s="1"/>
  <c r="J19" i="18"/>
  <c r="AL36" i="17"/>
  <c r="AN36" i="17" s="1"/>
  <c r="AP36" i="17" s="1"/>
  <c r="X23" i="17"/>
  <c r="Q42" i="16"/>
  <c r="Q41" i="16"/>
  <c r="AE21" i="16"/>
  <c r="AE18" i="16"/>
  <c r="AE33" i="15"/>
  <c r="AG33" i="15" s="1"/>
  <c r="F33" i="15"/>
  <c r="H33" i="15" s="1"/>
  <c r="O33" i="15" s="1"/>
  <c r="Q27" i="15"/>
  <c r="S27" i="15" s="1"/>
  <c r="AE19" i="15"/>
  <c r="AG19" i="15" s="1"/>
  <c r="Q25" i="20"/>
  <c r="F27" i="16"/>
  <c r="H27" i="16" s="1"/>
  <c r="O27" i="16" s="1"/>
  <c r="AE31" i="15"/>
  <c r="N7" i="3" s="1"/>
  <c r="AL27" i="15"/>
  <c r="AE22" i="15"/>
  <c r="F32" i="14"/>
  <c r="H32" i="14" s="1"/>
  <c r="F26" i="14"/>
  <c r="H26" i="14" s="1"/>
  <c r="O26" i="14" s="1"/>
  <c r="F23" i="13"/>
  <c r="J20" i="13"/>
  <c r="L20" i="13" s="1"/>
  <c r="J43" i="12"/>
  <c r="L43" i="12" s="1"/>
  <c r="J38" i="12"/>
  <c r="L38" i="12" s="1"/>
  <c r="F36" i="12"/>
  <c r="H36" i="12" s="1"/>
  <c r="J33" i="12"/>
  <c r="L33" i="12" s="1"/>
  <c r="J28" i="12"/>
  <c r="L28" i="12" s="1"/>
  <c r="F19" i="12"/>
  <c r="H19" i="12" s="1"/>
  <c r="O19" i="12" s="1"/>
  <c r="F42" i="11"/>
  <c r="H42" i="11" s="1"/>
  <c r="AL38" i="16"/>
  <c r="F23" i="16"/>
  <c r="F22" i="15"/>
  <c r="H22" i="15" s="1"/>
  <c r="O22" i="15" s="1"/>
  <c r="F19" i="15"/>
  <c r="F43" i="14"/>
  <c r="H43" i="14" s="1"/>
  <c r="AE34" i="14"/>
  <c r="AG34" i="14" s="1"/>
  <c r="J34" i="14"/>
  <c r="L34" i="14" s="1"/>
  <c r="Q28" i="20"/>
  <c r="S28" i="20" s="1"/>
  <c r="F43" i="19"/>
  <c r="H43" i="19" s="1"/>
  <c r="J30" i="17"/>
  <c r="L30" i="17" s="1"/>
  <c r="AL24" i="17"/>
  <c r="X25" i="16"/>
  <c r="X42" i="14"/>
  <c r="Z42" i="14" s="1"/>
  <c r="X32" i="14"/>
  <c r="Z32" i="14" s="1"/>
  <c r="X26" i="14"/>
  <c r="Z26" i="14" s="1"/>
  <c r="F25" i="14"/>
  <c r="H25" i="14" s="1"/>
  <c r="O25" i="14" s="1"/>
  <c r="F19" i="14"/>
  <c r="H19" i="14" s="1"/>
  <c r="O19" i="14" s="1"/>
  <c r="F18" i="14"/>
  <c r="H18" i="14" s="1"/>
  <c r="O18" i="14" s="1"/>
  <c r="F30" i="13"/>
  <c r="H30" i="13" s="1"/>
  <c r="F25" i="13"/>
  <c r="H25" i="13" s="1"/>
  <c r="O25" i="13" s="1"/>
  <c r="X20" i="13"/>
  <c r="Z20" i="13" s="1"/>
  <c r="F31" i="22"/>
  <c r="H31" i="22" s="1"/>
  <c r="O31" i="22" s="1"/>
  <c r="AL30" i="20"/>
  <c r="AL34" i="17"/>
  <c r="AL21" i="17"/>
  <c r="J27" i="15"/>
  <c r="L27" i="15" s="1"/>
  <c r="Q17" i="15"/>
  <c r="F34" i="14"/>
  <c r="AL28" i="14"/>
  <c r="AN28" i="14" s="1"/>
  <c r="AP28" i="14" s="1"/>
  <c r="Q28" i="14"/>
  <c r="S28" i="14" s="1"/>
  <c r="AE15" i="14"/>
  <c r="AG15" i="14" s="1"/>
  <c r="Q41" i="13"/>
  <c r="S41" i="13" s="1"/>
  <c r="Q28" i="13"/>
  <c r="F20" i="13"/>
  <c r="H20" i="13" s="1"/>
  <c r="O20" i="13" s="1"/>
  <c r="F43" i="12"/>
  <c r="F38" i="12"/>
  <c r="F33" i="12"/>
  <c r="F28" i="12"/>
  <c r="Q24" i="12"/>
  <c r="Q17" i="12"/>
  <c r="Q25" i="16"/>
  <c r="S25" i="16" s="1"/>
  <c r="J43" i="15"/>
  <c r="L43" i="15" s="1"/>
  <c r="X41" i="15"/>
  <c r="Z41" i="15" s="1"/>
  <c r="X22" i="15"/>
  <c r="Z22" i="15" s="1"/>
  <c r="X19" i="15"/>
  <c r="Z19" i="15" s="1"/>
  <c r="AL17" i="15"/>
  <c r="AN17" i="15" s="1"/>
  <c r="AP17" i="15" s="1"/>
  <c r="J15" i="14"/>
  <c r="L15" i="14" s="1"/>
  <c r="F43" i="18"/>
  <c r="H43" i="18" s="1"/>
  <c r="J24" i="18"/>
  <c r="AE23" i="16"/>
  <c r="AL25" i="15"/>
  <c r="AN25" i="15" s="1"/>
  <c r="AP25" i="15" s="1"/>
  <c r="J17" i="15"/>
  <c r="L17" i="15" s="1"/>
  <c r="AL43" i="14"/>
  <c r="AN43" i="14" s="1"/>
  <c r="AP43" i="14" s="1"/>
  <c r="Q43" i="14"/>
  <c r="S43" i="14" s="1"/>
  <c r="J31" i="14"/>
  <c r="L31" i="14" s="1"/>
  <c r="V31" i="14" s="1"/>
  <c r="AE30" i="14"/>
  <c r="AG30" i="14" s="1"/>
  <c r="Q23" i="14"/>
  <c r="S23" i="14" s="1"/>
  <c r="AL20" i="14"/>
  <c r="AN20" i="14" s="1"/>
  <c r="AP20" i="14" s="1"/>
  <c r="AL18" i="14"/>
  <c r="F15" i="14"/>
  <c r="AE43" i="13"/>
  <c r="AG43" i="13" s="1"/>
  <c r="X39" i="13"/>
  <c r="Z39" i="13" s="1"/>
  <c r="AE38" i="13"/>
  <c r="AG38" i="13" s="1"/>
  <c r="X34" i="13"/>
  <c r="Z34" i="13" s="1"/>
  <c r="AE33" i="13"/>
  <c r="AG33" i="13" s="1"/>
  <c r="Q20" i="13"/>
  <c r="S20" i="13" s="1"/>
  <c r="X19" i="13"/>
  <c r="Z19" i="13" s="1"/>
  <c r="AE18" i="13"/>
  <c r="AG18" i="13" s="1"/>
  <c r="AE16" i="13"/>
  <c r="AG16" i="13" s="1"/>
  <c r="Q43" i="12"/>
  <c r="S43" i="12" s="1"/>
  <c r="X42" i="12"/>
  <c r="Z42" i="12" s="1"/>
  <c r="Q38" i="12"/>
  <c r="S38" i="12" s="1"/>
  <c r="Q33" i="12"/>
  <c r="S33" i="12" s="1"/>
  <c r="Q28" i="12"/>
  <c r="AE25" i="18"/>
  <c r="AG25" i="18" s="1"/>
  <c r="J34" i="17"/>
  <c r="X25" i="17"/>
  <c r="Z25" i="17" s="1"/>
  <c r="J36" i="15"/>
  <c r="L36" i="15" s="1"/>
  <c r="AE28" i="15"/>
  <c r="AG28" i="15" s="1"/>
  <c r="F28" i="15"/>
  <c r="H28" i="15" s="1"/>
  <c r="O28" i="15" s="1"/>
  <c r="J18" i="15"/>
  <c r="L18" i="15" s="1"/>
  <c r="AE17" i="15"/>
  <c r="AG17" i="15" s="1"/>
  <c r="AL33" i="14"/>
  <c r="AN33" i="14" s="1"/>
  <c r="Q33" i="14"/>
  <c r="S33" i="14" s="1"/>
  <c r="J30" i="14"/>
  <c r="L30" i="14" s="1"/>
  <c r="AE28" i="14"/>
  <c r="AG28" i="14" s="1"/>
  <c r="J28" i="14"/>
  <c r="L28" i="14" s="1"/>
  <c r="Q25" i="14"/>
  <c r="S25" i="14" s="1"/>
  <c r="AL24" i="14"/>
  <c r="AN24" i="14" s="1"/>
  <c r="AP24" i="14" s="1"/>
  <c r="Q18" i="14"/>
  <c r="S18" i="14" s="1"/>
  <c r="X15" i="14"/>
  <c r="Z15" i="14" s="1"/>
  <c r="J41" i="13"/>
  <c r="F39" i="13"/>
  <c r="F34" i="13"/>
  <c r="AE30" i="13"/>
  <c r="AG30" i="13" s="1"/>
  <c r="J28" i="13"/>
  <c r="L28" i="13" s="1"/>
  <c r="AE25" i="13"/>
  <c r="AG25" i="13" s="1"/>
  <c r="F19" i="13"/>
  <c r="H19" i="13" s="1"/>
  <c r="O19" i="13" s="1"/>
  <c r="F42" i="12"/>
  <c r="F32" i="12"/>
  <c r="H32" i="12" s="1"/>
  <c r="F27" i="12"/>
  <c r="H27" i="12" s="1"/>
  <c r="O27" i="12" s="1"/>
  <c r="J24" i="12"/>
  <c r="L24" i="12" s="1"/>
  <c r="AE21" i="12"/>
  <c r="AG21" i="12" s="1"/>
  <c r="J17" i="12"/>
  <c r="L17" i="12" s="1"/>
  <c r="X28" i="17"/>
  <c r="Z28" i="17" s="1"/>
  <c r="Q27" i="16"/>
  <c r="J33" i="15"/>
  <c r="Q26" i="15"/>
  <c r="S26" i="15" s="1"/>
  <c r="AE18" i="15"/>
  <c r="AG18" i="15" s="1"/>
  <c r="Q34" i="14"/>
  <c r="AE32" i="14"/>
  <c r="AG32" i="14" s="1"/>
  <c r="J32" i="14"/>
  <c r="L32" i="14" s="1"/>
  <c r="AE31" i="14"/>
  <c r="AG31" i="14" s="1"/>
  <c r="F31" i="14"/>
  <c r="H31" i="14" s="1"/>
  <c r="J23" i="13"/>
  <c r="L23" i="13" s="1"/>
  <c r="AE20" i="13"/>
  <c r="AG20" i="13" s="1"/>
  <c r="AE43" i="12"/>
  <c r="AG43" i="12" s="1"/>
  <c r="AE38" i="12"/>
  <c r="AG38" i="12" s="1"/>
  <c r="J36" i="12"/>
  <c r="AE33" i="12"/>
  <c r="AE28" i="12"/>
  <c r="J19" i="12"/>
  <c r="AE16" i="9"/>
  <c r="AG16" i="9" s="1"/>
  <c r="AE18" i="9"/>
  <c r="AG18" i="9" s="1"/>
  <c r="F24" i="9"/>
  <c r="H24" i="9" s="1"/>
  <c r="O24" i="9" s="1"/>
  <c r="AE22" i="10"/>
  <c r="AG22" i="10" s="1"/>
  <c r="F28" i="10"/>
  <c r="H28" i="10" s="1"/>
  <c r="O28" i="10" s="1"/>
  <c r="F33" i="10"/>
  <c r="H33" i="10" s="1"/>
  <c r="O33" i="10" s="1"/>
  <c r="AF34" i="10"/>
  <c r="AG34" i="10" s="1"/>
  <c r="F38" i="10"/>
  <c r="F43" i="10"/>
  <c r="H43" i="10" s="1"/>
  <c r="K47" i="10"/>
  <c r="L47" i="10" s="1"/>
  <c r="AL18" i="11"/>
  <c r="AN18" i="11" s="1"/>
  <c r="L20" i="11"/>
  <c r="AL25" i="11"/>
  <c r="AN25" i="11" s="1"/>
  <c r="AP25" i="11" s="1"/>
  <c r="F28" i="11"/>
  <c r="H28" i="11" s="1"/>
  <c r="O28" i="11" s="1"/>
  <c r="J31" i="11"/>
  <c r="L31" i="11" s="1"/>
  <c r="G35" i="11"/>
  <c r="H35" i="11" s="1"/>
  <c r="J42" i="11"/>
  <c r="L42" i="11" s="1"/>
  <c r="S44" i="11"/>
  <c r="AP44" i="11"/>
  <c r="U45" i="11"/>
  <c r="V45" i="11" s="1"/>
  <c r="AE15" i="12"/>
  <c r="AG15" i="12" s="1"/>
  <c r="J15" i="12"/>
  <c r="L15" i="12" s="1"/>
  <c r="X15" i="12"/>
  <c r="Z15" i="12" s="1"/>
  <c r="AE17" i="12"/>
  <c r="AG17" i="12" s="1"/>
  <c r="H22" i="12"/>
  <c r="O22" i="12" s="1"/>
  <c r="AL22" i="12"/>
  <c r="AN22" i="12" s="1"/>
  <c r="AP22" i="12" s="1"/>
  <c r="Z23" i="12"/>
  <c r="AE25" i="12"/>
  <c r="AG25" i="12" s="1"/>
  <c r="F30" i="12"/>
  <c r="AL33" i="12"/>
  <c r="AN33" i="12" s="1"/>
  <c r="L36" i="12"/>
  <c r="F39" i="12"/>
  <c r="AL39" i="12"/>
  <c r="Q42" i="12"/>
  <c r="S42" i="12" s="1"/>
  <c r="AB45" i="12"/>
  <c r="AC45" i="12" s="1"/>
  <c r="X15" i="13"/>
  <c r="Z15" i="13" s="1"/>
  <c r="Q16" i="13"/>
  <c r="S16" i="13" s="1"/>
  <c r="J22" i="13"/>
  <c r="L22" i="13" s="1"/>
  <c r="X22" i="13"/>
  <c r="Z22" i="13" s="1"/>
  <c r="Q22" i="13"/>
  <c r="S22" i="13" s="1"/>
  <c r="AL22" i="13"/>
  <c r="AG23" i="13"/>
  <c r="AL27" i="13"/>
  <c r="AN27" i="13" s="1"/>
  <c r="F36" i="13"/>
  <c r="H36" i="13" s="1"/>
  <c r="AN36" i="13"/>
  <c r="AP36" i="13" s="1"/>
  <c r="AP44" i="13"/>
  <c r="AQ44" i="13" s="1"/>
  <c r="Z42" i="13"/>
  <c r="Z16" i="14"/>
  <c r="X17" i="14"/>
  <c r="Z17" i="14" s="1"/>
  <c r="L19" i="14"/>
  <c r="J20" i="14"/>
  <c r="AL21" i="14"/>
  <c r="AN21" i="14" s="1"/>
  <c r="AC45" i="14"/>
  <c r="AE23" i="15"/>
  <c r="AL24" i="15"/>
  <c r="AN24" i="15" s="1"/>
  <c r="AP24" i="15" s="1"/>
  <c r="L28" i="15"/>
  <c r="AE37" i="37"/>
  <c r="AG35" i="15"/>
  <c r="Q39" i="15"/>
  <c r="AE39" i="15"/>
  <c r="F39" i="15"/>
  <c r="X39" i="15"/>
  <c r="Z39" i="15" s="1"/>
  <c r="J39" i="15"/>
  <c r="L39" i="15" s="1"/>
  <c r="AL39" i="15"/>
  <c r="AN39" i="15" s="1"/>
  <c r="AP39" i="15" s="1"/>
  <c r="AL39" i="16"/>
  <c r="S42" i="16"/>
  <c r="F15" i="9"/>
  <c r="H15" i="9" s="1"/>
  <c r="F34" i="9"/>
  <c r="H34" i="9" s="1"/>
  <c r="F39" i="9"/>
  <c r="H39" i="9" s="1"/>
  <c r="AM48" i="10"/>
  <c r="AN48" i="10" s="1"/>
  <c r="AP48" i="10" s="1"/>
  <c r="AL16" i="11"/>
  <c r="AN16" i="11" s="1"/>
  <c r="AP16" i="11" s="1"/>
  <c r="Q19" i="11"/>
  <c r="J32" i="11"/>
  <c r="L32" i="11" s="1"/>
  <c r="Q39" i="11"/>
  <c r="S39" i="11" s="1"/>
  <c r="X41" i="11"/>
  <c r="Z41" i="11" s="1"/>
  <c r="AE41" i="11"/>
  <c r="F15" i="12"/>
  <c r="H15" i="12" s="1"/>
  <c r="S16" i="12"/>
  <c r="AL17" i="12"/>
  <c r="AN17" i="12" s="1"/>
  <c r="AP17" i="12" s="1"/>
  <c r="S18" i="12"/>
  <c r="U21" i="12"/>
  <c r="AC21" i="12"/>
  <c r="J22" i="12"/>
  <c r="F25" i="12"/>
  <c r="AL28" i="12"/>
  <c r="AN28" i="12" s="1"/>
  <c r="H30" i="12"/>
  <c r="H33" i="12"/>
  <c r="O33" i="12" s="1"/>
  <c r="AN39" i="12"/>
  <c r="AP39" i="12" s="1"/>
  <c r="Q41" i="12"/>
  <c r="S41" i="12" s="1"/>
  <c r="X18" i="13"/>
  <c r="Z18" i="13" s="1"/>
  <c r="F22" i="13"/>
  <c r="H22" i="13" s="1"/>
  <c r="O22" i="13" s="1"/>
  <c r="AN22" i="13"/>
  <c r="AE28" i="13"/>
  <c r="AG28" i="13" s="1"/>
  <c r="J30" i="13"/>
  <c r="AL31" i="13"/>
  <c r="AN31" i="13" s="1"/>
  <c r="Q31" i="13"/>
  <c r="F31" i="13"/>
  <c r="H31" i="13" s="1"/>
  <c r="AL41" i="13"/>
  <c r="AN41" i="13" s="1"/>
  <c r="AC44" i="13"/>
  <c r="U44" i="13"/>
  <c r="AG41" i="13"/>
  <c r="Q19" i="14"/>
  <c r="S19" i="14" s="1"/>
  <c r="AL22" i="14"/>
  <c r="AL25" i="14"/>
  <c r="AN26" i="14"/>
  <c r="AE41" i="14"/>
  <c r="AG41" i="14" s="1"/>
  <c r="AB44" i="14"/>
  <c r="AG20" i="15"/>
  <c r="X30" i="15"/>
  <c r="Z30" i="15" s="1"/>
  <c r="H39" i="15"/>
  <c r="X26" i="16"/>
  <c r="Z26" i="16" s="1"/>
  <c r="X15" i="9"/>
  <c r="Z15" i="9" s="1"/>
  <c r="F22" i="9"/>
  <c r="H22" i="9" s="1"/>
  <c r="O22" i="9" s="1"/>
  <c r="X34" i="9"/>
  <c r="X39" i="9"/>
  <c r="X21" i="10"/>
  <c r="Z21" i="10" s="1"/>
  <c r="F26" i="10"/>
  <c r="H26" i="10" s="1"/>
  <c r="O26" i="10" s="1"/>
  <c r="F31" i="10"/>
  <c r="H31" i="10" s="1"/>
  <c r="O31" i="10" s="1"/>
  <c r="F41" i="10"/>
  <c r="H41" i="10" s="1"/>
  <c r="S19" i="11"/>
  <c r="Q23" i="11"/>
  <c r="S23" i="11" s="1"/>
  <c r="Q26" i="11"/>
  <c r="AE31" i="11"/>
  <c r="AG31" i="11" s="1"/>
  <c r="AI31" i="11" s="1"/>
  <c r="AE32" i="11"/>
  <c r="F41" i="11"/>
  <c r="Y47" i="11"/>
  <c r="Z47" i="11" s="1"/>
  <c r="F17" i="12"/>
  <c r="H17" i="12" s="1"/>
  <c r="O17" i="12" s="1"/>
  <c r="L19" i="12"/>
  <c r="L22" i="12"/>
  <c r="AE23" i="12"/>
  <c r="AG23" i="12" s="1"/>
  <c r="S24" i="12"/>
  <c r="H25" i="12"/>
  <c r="O25" i="12" s="1"/>
  <c r="H28" i="12"/>
  <c r="O28" i="12" s="1"/>
  <c r="X31" i="12"/>
  <c r="F31" i="12"/>
  <c r="H31" i="12" s="1"/>
  <c r="O31" i="12" s="1"/>
  <c r="AE31" i="12"/>
  <c r="X38" i="12"/>
  <c r="Z38" i="12" s="1"/>
  <c r="J42" i="12"/>
  <c r="AG45" i="12"/>
  <c r="U46" i="12"/>
  <c r="V46" i="12" s="1"/>
  <c r="AI47" i="13"/>
  <c r="AJ47" i="13" s="1"/>
  <c r="Q17" i="13"/>
  <c r="AL23" i="13"/>
  <c r="AN23" i="13" s="1"/>
  <c r="AP23" i="13" s="1"/>
  <c r="AL28" i="13"/>
  <c r="L30" i="13"/>
  <c r="AE32" i="13"/>
  <c r="AG32" i="13" s="1"/>
  <c r="F41" i="13"/>
  <c r="H41" i="13" s="1"/>
  <c r="AE42" i="13"/>
  <c r="AG42" i="13" s="1"/>
  <c r="X43" i="13"/>
  <c r="Z43" i="13" s="1"/>
  <c r="F22" i="14"/>
  <c r="H22" i="14" s="1"/>
  <c r="O22" i="14" s="1"/>
  <c r="AN22" i="14"/>
  <c r="AP22" i="14" s="1"/>
  <c r="X24" i="14"/>
  <c r="Z24" i="14" s="1"/>
  <c r="AN25" i="14"/>
  <c r="AP25" i="14" s="1"/>
  <c r="AL27" i="14"/>
  <c r="AN27" i="14" s="1"/>
  <c r="AE42" i="14"/>
  <c r="AG42" i="14" s="1"/>
  <c r="AE35" i="14"/>
  <c r="AG44" i="14"/>
  <c r="Z18" i="15"/>
  <c r="AL22" i="15"/>
  <c r="AN22" i="15" s="1"/>
  <c r="X25" i="15"/>
  <c r="Z25" i="15" s="1"/>
  <c r="AL27" i="12"/>
  <c r="AL32" i="12"/>
  <c r="AN32" i="12" s="1"/>
  <c r="AP32" i="12" s="1"/>
  <c r="Q35" i="12"/>
  <c r="AL42" i="12"/>
  <c r="AN42" i="12" s="1"/>
  <c r="AP42" i="12" s="1"/>
  <c r="AL19" i="13"/>
  <c r="AN19" i="13" s="1"/>
  <c r="AP19" i="13" s="1"/>
  <c r="AL34" i="13"/>
  <c r="AN34" i="13" s="1"/>
  <c r="AP34" i="13" s="1"/>
  <c r="AL39" i="13"/>
  <c r="AN39" i="13" s="1"/>
  <c r="AP39" i="13" s="1"/>
  <c r="AM48" i="13"/>
  <c r="AN48" i="13" s="1"/>
  <c r="AP48" i="13" s="1"/>
  <c r="L20" i="14"/>
  <c r="AN34" i="14"/>
  <c r="K47" i="14"/>
  <c r="L47" i="14" s="1"/>
  <c r="AL28" i="15"/>
  <c r="AG36" i="15"/>
  <c r="AG39" i="15"/>
  <c r="H41" i="15"/>
  <c r="AC44" i="15"/>
  <c r="AN47" i="15"/>
  <c r="AI48" i="15"/>
  <c r="AJ48" i="15" s="1"/>
  <c r="AQ48" i="15"/>
  <c r="Q34" i="16"/>
  <c r="AL34" i="16"/>
  <c r="J34" i="16"/>
  <c r="X34" i="16"/>
  <c r="Z34" i="16" s="1"/>
  <c r="F34" i="16"/>
  <c r="H34" i="16" s="1"/>
  <c r="AE34" i="16"/>
  <c r="AG34" i="16" s="1"/>
  <c r="S17" i="17"/>
  <c r="S25" i="17"/>
  <c r="U46" i="17"/>
  <c r="H31" i="18"/>
  <c r="O31" i="18" s="1"/>
  <c r="L25" i="21"/>
  <c r="AL20" i="12"/>
  <c r="AN20" i="12" s="1"/>
  <c r="AP20" i="12" s="1"/>
  <c r="AL17" i="13"/>
  <c r="AN17" i="13" s="1"/>
  <c r="AP17" i="13" s="1"/>
  <c r="AL24" i="13"/>
  <c r="AN24" i="13" s="1"/>
  <c r="AP24" i="13" s="1"/>
  <c r="Q59" i="13"/>
  <c r="AL15" i="14"/>
  <c r="AN15" i="14" s="1"/>
  <c r="S34" i="14"/>
  <c r="AE38" i="14"/>
  <c r="AG38" i="14" s="1"/>
  <c r="J38" i="14"/>
  <c r="Z38" i="14"/>
  <c r="R48" i="14"/>
  <c r="S48" i="14" s="1"/>
  <c r="AM48" i="14"/>
  <c r="AN48" i="14" s="1"/>
  <c r="AP48" i="14" s="1"/>
  <c r="X16" i="15"/>
  <c r="Z16" i="15" s="1"/>
  <c r="AE16" i="15"/>
  <c r="AG16" i="15" s="1"/>
  <c r="J16" i="15"/>
  <c r="L16" i="15" s="1"/>
  <c r="L33" i="15"/>
  <c r="AE42" i="15"/>
  <c r="AG42" i="15" s="1"/>
  <c r="Q42" i="15"/>
  <c r="J42" i="15"/>
  <c r="F42" i="15"/>
  <c r="H42" i="15" s="1"/>
  <c r="AG43" i="15"/>
  <c r="F59" i="15"/>
  <c r="AM48" i="16"/>
  <c r="AN48" i="16" s="1"/>
  <c r="K47" i="16"/>
  <c r="L47" i="16" s="1"/>
  <c r="G47" i="16"/>
  <c r="H47" i="16" s="1"/>
  <c r="R48" i="16"/>
  <c r="S48" i="16" s="1"/>
  <c r="R47" i="16"/>
  <c r="S47" i="16" s="1"/>
  <c r="G48" i="16"/>
  <c r="H48" i="16" s="1"/>
  <c r="Y48" i="16"/>
  <c r="Z48" i="16" s="1"/>
  <c r="Y47" i="16"/>
  <c r="Z47" i="16" s="1"/>
  <c r="AM47" i="16"/>
  <c r="AN47" i="16" s="1"/>
  <c r="AF48" i="16"/>
  <c r="AG48" i="16" s="1"/>
  <c r="AF47" i="16"/>
  <c r="AG47" i="16" s="1"/>
  <c r="K48" i="16"/>
  <c r="L48" i="16" s="1"/>
  <c r="S18" i="16"/>
  <c r="AN19" i="16"/>
  <c r="V21" i="16"/>
  <c r="N21" i="16"/>
  <c r="S27" i="16"/>
  <c r="AG32" i="17"/>
  <c r="J33" i="18"/>
  <c r="L33" i="18" s="1"/>
  <c r="X33" i="18"/>
  <c r="Z33" i="18" s="1"/>
  <c r="F33" i="18"/>
  <c r="H33" i="18" s="1"/>
  <c r="O33" i="18" s="1"/>
  <c r="Q33" i="18"/>
  <c r="S33" i="18" s="1"/>
  <c r="AL33" i="18"/>
  <c r="AE33" i="18"/>
  <c r="F20" i="12"/>
  <c r="H20" i="12" s="1"/>
  <c r="O20" i="12" s="1"/>
  <c r="AL25" i="12"/>
  <c r="AN25" i="12" s="1"/>
  <c r="AP25" i="12" s="1"/>
  <c r="X27" i="12"/>
  <c r="Z27" i="12" s="1"/>
  <c r="AL30" i="12"/>
  <c r="AN30" i="12" s="1"/>
  <c r="AP30" i="12" s="1"/>
  <c r="X32" i="12"/>
  <c r="Z32" i="12" s="1"/>
  <c r="AM47" i="12"/>
  <c r="AN47" i="12" s="1"/>
  <c r="AF48" i="12"/>
  <c r="AG48" i="12" s="1"/>
  <c r="AL15" i="13"/>
  <c r="AN15" i="13" s="1"/>
  <c r="F17" i="13"/>
  <c r="H17" i="13" s="1"/>
  <c r="O17" i="13" s="1"/>
  <c r="F24" i="13"/>
  <c r="AL32" i="13"/>
  <c r="AN32" i="13" s="1"/>
  <c r="AL42" i="13"/>
  <c r="AN42" i="13" s="1"/>
  <c r="AE16" i="14"/>
  <c r="AG16" i="14" s="1"/>
  <c r="J16" i="14"/>
  <c r="L16" i="14" s="1"/>
  <c r="X16" i="14"/>
  <c r="N21" i="14"/>
  <c r="O21" i="14" s="1"/>
  <c r="J36" i="14"/>
  <c r="L36" i="14" s="1"/>
  <c r="F36" i="14"/>
  <c r="H36" i="14" s="1"/>
  <c r="F38" i="14"/>
  <c r="H38" i="14" s="1"/>
  <c r="N46" i="14"/>
  <c r="AM47" i="14"/>
  <c r="AN47" i="14" s="1"/>
  <c r="F16" i="15"/>
  <c r="H16" i="15" s="1"/>
  <c r="O16" i="15" s="1"/>
  <c r="AL30" i="15"/>
  <c r="AE30" i="15"/>
  <c r="AG30" i="15" s="1"/>
  <c r="AE32" i="15"/>
  <c r="AL32" i="15"/>
  <c r="Z35" i="15"/>
  <c r="AI45" i="15"/>
  <c r="AJ45" i="15" s="1"/>
  <c r="U21" i="17"/>
  <c r="AC21" i="17"/>
  <c r="AI35" i="17"/>
  <c r="AJ35" i="17" s="1"/>
  <c r="AQ35" i="17"/>
  <c r="Q41" i="17"/>
  <c r="S41" i="17" s="1"/>
  <c r="F41" i="17"/>
  <c r="AL41" i="17"/>
  <c r="AN41" i="17" s="1"/>
  <c r="AE41" i="17"/>
  <c r="J41" i="17"/>
  <c r="X41" i="17"/>
  <c r="AI45" i="17"/>
  <c r="AQ45" i="17"/>
  <c r="AI45" i="18"/>
  <c r="AQ45" i="18"/>
  <c r="Q32" i="11"/>
  <c r="S32" i="11" s="1"/>
  <c r="Q42" i="11"/>
  <c r="Q19" i="12"/>
  <c r="S19" i="12" s="1"/>
  <c r="J20" i="12"/>
  <c r="L20" i="12" s="1"/>
  <c r="Q36" i="12"/>
  <c r="S36" i="12" s="1"/>
  <c r="J17" i="13"/>
  <c r="L17" i="13" s="1"/>
  <c r="Q23" i="13"/>
  <c r="S23" i="13" s="1"/>
  <c r="J24" i="13"/>
  <c r="L24" i="13" s="1"/>
  <c r="G48" i="13"/>
  <c r="H48" i="13" s="1"/>
  <c r="Q30" i="14"/>
  <c r="S30" i="14" s="1"/>
  <c r="AN31" i="14"/>
  <c r="X34" i="14"/>
  <c r="Z34" i="14" s="1"/>
  <c r="AG36" i="14"/>
  <c r="AN41" i="14"/>
  <c r="F59" i="14"/>
  <c r="AE59" i="14"/>
  <c r="AG23" i="15"/>
  <c r="J30" i="15"/>
  <c r="AN34" i="15"/>
  <c r="AP34" i="15" s="1"/>
  <c r="U47" i="15"/>
  <c r="V47" i="15" s="1"/>
  <c r="X59" i="15"/>
  <c r="S20" i="16"/>
  <c r="AL24" i="16"/>
  <c r="AN24" i="16" s="1"/>
  <c r="AP24" i="16" s="1"/>
  <c r="X36" i="16"/>
  <c r="Z36" i="16" s="1"/>
  <c r="N46" i="16"/>
  <c r="O46" i="16" s="1"/>
  <c r="S19" i="17"/>
  <c r="AP46" i="17"/>
  <c r="K48" i="19"/>
  <c r="L48" i="19" s="1"/>
  <c r="R47" i="19"/>
  <c r="S47" i="19" s="1"/>
  <c r="Y48" i="19"/>
  <c r="Z48" i="19" s="1"/>
  <c r="AF47" i="19"/>
  <c r="AG47" i="19" s="1"/>
  <c r="R48" i="19"/>
  <c r="S48" i="19" s="1"/>
  <c r="Y47" i="19"/>
  <c r="Z47" i="19" s="1"/>
  <c r="G47" i="19"/>
  <c r="H47" i="19" s="1"/>
  <c r="AM48" i="19"/>
  <c r="AN48" i="19" s="1"/>
  <c r="AP48" i="19" s="1"/>
  <c r="G48" i="19"/>
  <c r="H48" i="19" s="1"/>
  <c r="AF48" i="19"/>
  <c r="AG48" i="19" s="1"/>
  <c r="AM47" i="19"/>
  <c r="AN47" i="19" s="1"/>
  <c r="K47" i="19"/>
  <c r="L47" i="19" s="1"/>
  <c r="AE15" i="21"/>
  <c r="AG15" i="21" s="1"/>
  <c r="J15" i="21"/>
  <c r="L15" i="21" s="1"/>
  <c r="F15" i="21"/>
  <c r="H15" i="21" s="1"/>
  <c r="AL15" i="21"/>
  <c r="AN15" i="21" s="1"/>
  <c r="X15" i="21"/>
  <c r="Q15" i="21"/>
  <c r="S15" i="21" s="1"/>
  <c r="AL21" i="12"/>
  <c r="AN21" i="12" s="1"/>
  <c r="AP21" i="12" s="1"/>
  <c r="J25" i="12"/>
  <c r="J30" i="12"/>
  <c r="L30" i="12" s="1"/>
  <c r="K47" i="12"/>
  <c r="L47" i="12" s="1"/>
  <c r="J15" i="13"/>
  <c r="L15" i="13" s="1"/>
  <c r="AL25" i="13"/>
  <c r="AN25" i="13" s="1"/>
  <c r="AP25" i="13" s="1"/>
  <c r="AL30" i="13"/>
  <c r="AN30" i="13" s="1"/>
  <c r="AP30" i="13" s="1"/>
  <c r="J32" i="13"/>
  <c r="L32" i="13" s="1"/>
  <c r="J42" i="13"/>
  <c r="AE18" i="14"/>
  <c r="J18" i="14"/>
  <c r="L18" i="14" s="1"/>
  <c r="X18" i="14"/>
  <c r="X19" i="14"/>
  <c r="Z19" i="14" s="1"/>
  <c r="X22" i="14"/>
  <c r="F24" i="14"/>
  <c r="H24" i="14" s="1"/>
  <c r="O24" i="14" s="1"/>
  <c r="Q24" i="14"/>
  <c r="S24" i="14" s="1"/>
  <c r="AN39" i="14"/>
  <c r="AP39" i="14" s="1"/>
  <c r="G39" i="14"/>
  <c r="H39" i="14" s="1"/>
  <c r="G34" i="14"/>
  <c r="H34" i="14" s="1"/>
  <c r="G41" i="14"/>
  <c r="AL16" i="15"/>
  <c r="S24" i="15"/>
  <c r="F26" i="15"/>
  <c r="H26" i="15" s="1"/>
  <c r="O26" i="15" s="1"/>
  <c r="J26" i="15"/>
  <c r="L26" i="15" s="1"/>
  <c r="L30" i="15"/>
  <c r="AN30" i="15"/>
  <c r="AP30" i="15" s="1"/>
  <c r="J32" i="15"/>
  <c r="L32" i="15" s="1"/>
  <c r="AN32" i="15"/>
  <c r="N45" i="15"/>
  <c r="O45" i="15" s="1"/>
  <c r="H24" i="16"/>
  <c r="O24" i="16" s="1"/>
  <c r="H36" i="16"/>
  <c r="L41" i="18"/>
  <c r="S16" i="19"/>
  <c r="AM48" i="12"/>
  <c r="AN48" i="12" s="1"/>
  <c r="AL16" i="13"/>
  <c r="AN16" i="13" s="1"/>
  <c r="AL18" i="13"/>
  <c r="AN18" i="13" s="1"/>
  <c r="AE19" i="13"/>
  <c r="AG19" i="13" s="1"/>
  <c r="AL33" i="13"/>
  <c r="AN33" i="13" s="1"/>
  <c r="AE34" i="13"/>
  <c r="AG34" i="13" s="1"/>
  <c r="AL38" i="13"/>
  <c r="AN38" i="13" s="1"/>
  <c r="AP38" i="13" s="1"/>
  <c r="AE39" i="13"/>
  <c r="AG39" i="13" s="1"/>
  <c r="AL43" i="13"/>
  <c r="AN43" i="13" s="1"/>
  <c r="AP43" i="13" s="1"/>
  <c r="K47" i="13"/>
  <c r="L47" i="13" s="1"/>
  <c r="Z18" i="14"/>
  <c r="Q20" i="14"/>
  <c r="S20" i="14" s="1"/>
  <c r="X20" i="14"/>
  <c r="X21" i="14"/>
  <c r="AL23" i="14"/>
  <c r="AN23" i="14" s="1"/>
  <c r="AP23" i="14" s="1"/>
  <c r="AE27" i="14"/>
  <c r="AG27" i="14" s="1"/>
  <c r="AE33" i="14"/>
  <c r="AG33" i="14" s="1"/>
  <c r="J33" i="14"/>
  <c r="L33" i="14" s="1"/>
  <c r="Z33" i="14"/>
  <c r="AG35" i="14"/>
  <c r="Q38" i="14"/>
  <c r="S38" i="14" s="1"/>
  <c r="AL38" i="14"/>
  <c r="AN38" i="14" s="1"/>
  <c r="Y47" i="14"/>
  <c r="Z47" i="14" s="1"/>
  <c r="AN16" i="15"/>
  <c r="AP16" i="15" s="1"/>
  <c r="S17" i="15"/>
  <c r="AL19" i="15"/>
  <c r="AN19" i="15" s="1"/>
  <c r="Q22" i="15"/>
  <c r="S22" i="15" s="1"/>
  <c r="L23" i="15"/>
  <c r="AE26" i="15"/>
  <c r="AG26" i="15" s="1"/>
  <c r="X42" i="15"/>
  <c r="Z42" i="15" s="1"/>
  <c r="H44" i="15"/>
  <c r="AN31" i="16"/>
  <c r="AP31" i="16" s="1"/>
  <c r="AG38" i="16"/>
  <c r="L41" i="16"/>
  <c r="U46" i="16"/>
  <c r="V46" i="16" s="1"/>
  <c r="AC46" i="16"/>
  <c r="L34" i="20"/>
  <c r="G48" i="12"/>
  <c r="H48" i="12" s="1"/>
  <c r="O48" i="12" s="1"/>
  <c r="F16" i="13"/>
  <c r="H16" i="13" s="1"/>
  <c r="O16" i="13" s="1"/>
  <c r="F18" i="13"/>
  <c r="H18" i="13" s="1"/>
  <c r="O18" i="13" s="1"/>
  <c r="F33" i="13"/>
  <c r="H33" i="13" s="1"/>
  <c r="O33" i="13" s="1"/>
  <c r="F38" i="13"/>
  <c r="F43" i="13"/>
  <c r="H43" i="13" s="1"/>
  <c r="F20" i="14"/>
  <c r="H20" i="14" s="1"/>
  <c r="O20" i="14" s="1"/>
  <c r="Z20" i="14"/>
  <c r="Z21" i="14"/>
  <c r="F23" i="14"/>
  <c r="AL26" i="14"/>
  <c r="F27" i="14"/>
  <c r="H27" i="14" s="1"/>
  <c r="O27" i="14" s="1"/>
  <c r="X27" i="14"/>
  <c r="Z27" i="14" s="1"/>
  <c r="AL32" i="14"/>
  <c r="AN32" i="14" s="1"/>
  <c r="AP32" i="14" s="1"/>
  <c r="F33" i="14"/>
  <c r="H33" i="14" s="1"/>
  <c r="O33" i="14" s="1"/>
  <c r="L35" i="14"/>
  <c r="U35" i="14" s="1"/>
  <c r="Q36" i="14"/>
  <c r="S36" i="14" s="1"/>
  <c r="AL36" i="14"/>
  <c r="AN36" i="14" s="1"/>
  <c r="AL42" i="14"/>
  <c r="AN42" i="14" s="1"/>
  <c r="AP42" i="14" s="1"/>
  <c r="Z46" i="14"/>
  <c r="AI46" i="14" s="1"/>
  <c r="L15" i="15"/>
  <c r="Q16" i="15"/>
  <c r="S16" i="15" s="1"/>
  <c r="Q30" i="15"/>
  <c r="F31" i="15"/>
  <c r="H31" i="15" s="1"/>
  <c r="Q32" i="15"/>
  <c r="L34" i="15"/>
  <c r="X27" i="16"/>
  <c r="Z27" i="16" s="1"/>
  <c r="X32" i="16"/>
  <c r="Z32" i="16" s="1"/>
  <c r="AI35" i="16"/>
  <c r="AJ35" i="16" s="1"/>
  <c r="AN19" i="17"/>
  <c r="AP19" i="17" s="1"/>
  <c r="S26" i="17"/>
  <c r="L26" i="23"/>
  <c r="AF47" i="12"/>
  <c r="AG47" i="12" s="1"/>
  <c r="AF48" i="13"/>
  <c r="AG48" i="13" s="1"/>
  <c r="AM47" i="13"/>
  <c r="AN47" i="13" s="1"/>
  <c r="K48" i="13"/>
  <c r="L48" i="13" s="1"/>
  <c r="R47" i="13"/>
  <c r="S47" i="13" s="1"/>
  <c r="Y48" i="14"/>
  <c r="Z48" i="14" s="1"/>
  <c r="AF47" i="14"/>
  <c r="AG47" i="14" s="1"/>
  <c r="Q16" i="14"/>
  <c r="S16" i="14" s="1"/>
  <c r="H23" i="14"/>
  <c r="O23" i="14" s="1"/>
  <c r="J24" i="14"/>
  <c r="L24" i="14" s="1"/>
  <c r="Z41" i="14"/>
  <c r="G47" i="14"/>
  <c r="H47" i="14" s="1"/>
  <c r="AF48" i="14"/>
  <c r="AG48" i="14" s="1"/>
  <c r="X18" i="15"/>
  <c r="AL18" i="15"/>
  <c r="Q18" i="15"/>
  <c r="S18" i="15" s="1"/>
  <c r="AE25" i="15"/>
  <c r="AG25" i="15" s="1"/>
  <c r="J25" i="15"/>
  <c r="S30" i="15"/>
  <c r="S32" i="15"/>
  <c r="AL33" i="15"/>
  <c r="AN33" i="15" s="1"/>
  <c r="AP33" i="15" s="1"/>
  <c r="AN35" i="15"/>
  <c r="AP35" i="15" s="1"/>
  <c r="N44" i="15"/>
  <c r="U45" i="15"/>
  <c r="V45" i="15" s="1"/>
  <c r="AB48" i="15"/>
  <c r="AG16" i="16"/>
  <c r="L19" i="16"/>
  <c r="X17" i="17"/>
  <c r="AE17" i="17"/>
  <c r="AG17" i="17" s="1"/>
  <c r="F17" i="17"/>
  <c r="H17" i="17" s="1"/>
  <c r="O17" i="17" s="1"/>
  <c r="J17" i="17"/>
  <c r="L17" i="17" s="1"/>
  <c r="AL17" i="17"/>
  <c r="AN17" i="17" s="1"/>
  <c r="AP17" i="17" s="1"/>
  <c r="Q17" i="17"/>
  <c r="X42" i="17"/>
  <c r="Z42" i="17" s="1"/>
  <c r="N46" i="18"/>
  <c r="AL20" i="19"/>
  <c r="K48" i="14"/>
  <c r="L48" i="14" s="1"/>
  <c r="F18" i="15"/>
  <c r="H18" i="15" s="1"/>
  <c r="O18" i="15" s="1"/>
  <c r="F25" i="15"/>
  <c r="AN27" i="15"/>
  <c r="AP27" i="15" s="1"/>
  <c r="AG31" i="15"/>
  <c r="AL42" i="15"/>
  <c r="AN42" i="15" s="1"/>
  <c r="AP42" i="15" s="1"/>
  <c r="Q22" i="16"/>
  <c r="S22" i="16" s="1"/>
  <c r="L23" i="16"/>
  <c r="AQ45" i="16"/>
  <c r="AI45" i="16"/>
  <c r="Z15" i="17"/>
  <c r="AN45" i="15"/>
  <c r="AP45" i="15" s="1"/>
  <c r="AQ45" i="15" s="1"/>
  <c r="U46" i="15"/>
  <c r="V46" i="15" s="1"/>
  <c r="S48" i="15"/>
  <c r="AL33" i="16"/>
  <c r="AN33" i="16" s="1"/>
  <c r="AL36" i="16"/>
  <c r="AN36" i="16" s="1"/>
  <c r="AP36" i="16" s="1"/>
  <c r="Q39" i="16"/>
  <c r="S39" i="16" s="1"/>
  <c r="X39" i="16"/>
  <c r="AE39" i="16"/>
  <c r="AG39" i="16" s="1"/>
  <c r="F39" i="16"/>
  <c r="H39" i="16" s="1"/>
  <c r="AJ46" i="16"/>
  <c r="AB46" i="16"/>
  <c r="X21" i="17"/>
  <c r="Z21" i="17" s="1"/>
  <c r="AE21" i="17"/>
  <c r="AG21" i="17" s="1"/>
  <c r="Q31" i="17"/>
  <c r="S31" i="17" s="1"/>
  <c r="J31" i="17"/>
  <c r="L31" i="17" s="1"/>
  <c r="V31" i="17" s="1"/>
  <c r="AL31" i="17"/>
  <c r="AN31" i="17" s="1"/>
  <c r="X31" i="17"/>
  <c r="Z31" i="17" s="1"/>
  <c r="AN34" i="17"/>
  <c r="AE18" i="18"/>
  <c r="L20" i="18"/>
  <c r="L24" i="18"/>
  <c r="AG34" i="19"/>
  <c r="AN30" i="20"/>
  <c r="AG20" i="22"/>
  <c r="S36" i="23"/>
  <c r="AG16" i="24"/>
  <c r="AN38" i="15"/>
  <c r="AP38" i="15" s="1"/>
  <c r="AG21" i="16"/>
  <c r="AL26" i="16"/>
  <c r="AN26" i="16" s="1"/>
  <c r="AP26" i="16" s="1"/>
  <c r="J27" i="16"/>
  <c r="AL27" i="16"/>
  <c r="AN27" i="16" s="1"/>
  <c r="AL31" i="16"/>
  <c r="J33" i="16"/>
  <c r="L33" i="16" s="1"/>
  <c r="J36" i="16"/>
  <c r="AB44" i="16"/>
  <c r="AC44" i="16" s="1"/>
  <c r="X20" i="17"/>
  <c r="Z20" i="17" s="1"/>
  <c r="F20" i="17"/>
  <c r="H20" i="17" s="1"/>
  <c r="O20" i="17" s="1"/>
  <c r="J20" i="17"/>
  <c r="L20" i="17" s="1"/>
  <c r="AE20" i="17"/>
  <c r="AG20" i="17" s="1"/>
  <c r="Z23" i="17"/>
  <c r="AL30" i="17"/>
  <c r="AN30" i="17" s="1"/>
  <c r="F31" i="17"/>
  <c r="U35" i="17"/>
  <c r="V35" i="17" s="1"/>
  <c r="AB45" i="17"/>
  <c r="AC45" i="17" s="1"/>
  <c r="AJ45" i="17"/>
  <c r="V46" i="17"/>
  <c r="L19" i="18"/>
  <c r="N21" i="18"/>
  <c r="O21" i="18" s="1"/>
  <c r="V21" i="18"/>
  <c r="AG27" i="18"/>
  <c r="Q34" i="21"/>
  <c r="S34" i="21" s="1"/>
  <c r="AE34" i="21"/>
  <c r="X34" i="21"/>
  <c r="AL34" i="21"/>
  <c r="AN34" i="21" s="1"/>
  <c r="J34" i="21"/>
  <c r="F34" i="21"/>
  <c r="H34" i="21" s="1"/>
  <c r="N48" i="21"/>
  <c r="V35" i="23"/>
  <c r="N35" i="23"/>
  <c r="O35" i="23" s="1"/>
  <c r="S36" i="15"/>
  <c r="F41" i="15"/>
  <c r="H43" i="15"/>
  <c r="Q30" i="16"/>
  <c r="S30" i="16" s="1"/>
  <c r="L36" i="16"/>
  <c r="J39" i="16"/>
  <c r="AQ44" i="16"/>
  <c r="AP45" i="16"/>
  <c r="Q59" i="16"/>
  <c r="AG23" i="17"/>
  <c r="H30" i="17"/>
  <c r="H31" i="17"/>
  <c r="X34" i="17"/>
  <c r="Z34" i="17" s="1"/>
  <c r="X42" i="18"/>
  <c r="L32" i="19"/>
  <c r="AG28" i="20"/>
  <c r="S41" i="20"/>
  <c r="O47" i="20"/>
  <c r="S18" i="21"/>
  <c r="AL24" i="21"/>
  <c r="AL31" i="22"/>
  <c r="AB47" i="22"/>
  <c r="X17" i="15"/>
  <c r="Z17" i="15" s="1"/>
  <c r="L22" i="15"/>
  <c r="AG22" i="15"/>
  <c r="H25" i="15"/>
  <c r="O25" i="15" s="1"/>
  <c r="AB45" i="15"/>
  <c r="AC45" i="15" s="1"/>
  <c r="Z47" i="15"/>
  <c r="K35" i="15"/>
  <c r="L35" i="15" s="1"/>
  <c r="K42" i="15"/>
  <c r="Q17" i="16"/>
  <c r="S17" i="16" s="1"/>
  <c r="F17" i="16"/>
  <c r="H17" i="16" s="1"/>
  <c r="O17" i="16" s="1"/>
  <c r="X17" i="16"/>
  <c r="Z17" i="16" s="1"/>
  <c r="Z25" i="16"/>
  <c r="AN34" i="16"/>
  <c r="AP34" i="16" s="1"/>
  <c r="AB35" i="16"/>
  <c r="AC35" i="16" s="1"/>
  <c r="O44" i="16"/>
  <c r="AI44" i="16"/>
  <c r="Q20" i="17"/>
  <c r="S20" i="17" s="1"/>
  <c r="AN21" i="17"/>
  <c r="AP21" i="17" s="1"/>
  <c r="AN24" i="17"/>
  <c r="AP24" i="17" s="1"/>
  <c r="L34" i="17"/>
  <c r="AB35" i="17"/>
  <c r="AC35" i="17" s="1"/>
  <c r="Z20" i="18"/>
  <c r="L27" i="19"/>
  <c r="S32" i="19"/>
  <c r="AN41" i="19"/>
  <c r="F23" i="20"/>
  <c r="N47" i="20"/>
  <c r="L31" i="21"/>
  <c r="N45" i="21"/>
  <c r="AN32" i="22"/>
  <c r="AP32" i="22" s="1"/>
  <c r="AN28" i="15"/>
  <c r="AL36" i="15"/>
  <c r="AN36" i="15" s="1"/>
  <c r="AP36" i="15" s="1"/>
  <c r="AL38" i="15"/>
  <c r="R39" i="15"/>
  <c r="S39" i="15" s="1"/>
  <c r="R34" i="15"/>
  <c r="S34" i="15" s="1"/>
  <c r="R41" i="15"/>
  <c r="S41" i="15" s="1"/>
  <c r="S16" i="16"/>
  <c r="AE17" i="16"/>
  <c r="Z22" i="16"/>
  <c r="J25" i="16"/>
  <c r="L25" i="16" s="1"/>
  <c r="F25" i="16"/>
  <c r="H25" i="16" s="1"/>
  <c r="O25" i="16" s="1"/>
  <c r="AE25" i="16"/>
  <c r="AG25" i="16" s="1"/>
  <c r="X28" i="16"/>
  <c r="Z28" i="16" s="1"/>
  <c r="F28" i="16"/>
  <c r="H28" i="16" s="1"/>
  <c r="O28" i="16" s="1"/>
  <c r="J28" i="16"/>
  <c r="AE28" i="16"/>
  <c r="L31" i="16"/>
  <c r="AJ44" i="16"/>
  <c r="AN22" i="17"/>
  <c r="AP22" i="17" s="1"/>
  <c r="S30" i="17"/>
  <c r="L33" i="17"/>
  <c r="Z41" i="17"/>
  <c r="L16" i="18"/>
  <c r="O45" i="18"/>
  <c r="N45" i="18"/>
  <c r="Q15" i="20"/>
  <c r="S15" i="20" s="1"/>
  <c r="AE15" i="20"/>
  <c r="X15" i="20"/>
  <c r="F15" i="20"/>
  <c r="H15" i="20" s="1"/>
  <c r="AL15" i="20"/>
  <c r="AN15" i="20" s="1"/>
  <c r="J15" i="20"/>
  <c r="S16" i="20"/>
  <c r="F19" i="20"/>
  <c r="H19" i="20" s="1"/>
  <c r="AE19" i="20"/>
  <c r="AG19" i="20" s="1"/>
  <c r="J19" i="20"/>
  <c r="L19" i="20" s="1"/>
  <c r="AL19" i="20"/>
  <c r="AN19" i="20" s="1"/>
  <c r="AP19" i="20" s="1"/>
  <c r="Q19" i="20"/>
  <c r="X19" i="20"/>
  <c r="AG43" i="21"/>
  <c r="AG28" i="22"/>
  <c r="AM38" i="22"/>
  <c r="AN38" i="22" s="1"/>
  <c r="AP38" i="22" s="1"/>
  <c r="AM39" i="22"/>
  <c r="AN39" i="22" s="1"/>
  <c r="AM41" i="22"/>
  <c r="AN41" i="22" s="1"/>
  <c r="AM42" i="22"/>
  <c r="AM35" i="22"/>
  <c r="AM34" i="22"/>
  <c r="AN34" i="22" s="1"/>
  <c r="X28" i="14"/>
  <c r="Z28" i="14" s="1"/>
  <c r="AE43" i="14"/>
  <c r="J43" i="14"/>
  <c r="L43" i="14" s="1"/>
  <c r="X43" i="14"/>
  <c r="Z43" i="14" s="1"/>
  <c r="AN18" i="15"/>
  <c r="AP18" i="15" s="1"/>
  <c r="L25" i="15"/>
  <c r="F27" i="15"/>
  <c r="H27" i="15" s="1"/>
  <c r="O27" i="15" s="1"/>
  <c r="K41" i="15"/>
  <c r="AI44" i="15"/>
  <c r="AJ44" i="15" s="1"/>
  <c r="AC46" i="15"/>
  <c r="AG17" i="16"/>
  <c r="AG28" i="16"/>
  <c r="Z30" i="16"/>
  <c r="AN41" i="16"/>
  <c r="U45" i="16"/>
  <c r="V45" i="16" s="1"/>
  <c r="Z17" i="17"/>
  <c r="AE23" i="17"/>
  <c r="F23" i="17"/>
  <c r="H23" i="17" s="1"/>
  <c r="O23" i="17" s="1"/>
  <c r="AL23" i="17"/>
  <c r="AN23" i="17" s="1"/>
  <c r="AP23" i="17" s="1"/>
  <c r="J23" i="17"/>
  <c r="X24" i="17"/>
  <c r="Z24" i="17" s="1"/>
  <c r="AE24" i="17"/>
  <c r="AG24" i="17" s="1"/>
  <c r="F24" i="17"/>
  <c r="H24" i="17" s="1"/>
  <c r="O24" i="17" s="1"/>
  <c r="J24" i="17"/>
  <c r="L24" i="17" s="1"/>
  <c r="AL25" i="17"/>
  <c r="AN25" i="17" s="1"/>
  <c r="AP25" i="17" s="1"/>
  <c r="S34" i="17"/>
  <c r="AN38" i="17"/>
  <c r="AP38" i="17" s="1"/>
  <c r="AN39" i="17"/>
  <c r="AN43" i="17"/>
  <c r="Z44" i="17"/>
  <c r="Z17" i="18"/>
  <c r="X27" i="18"/>
  <c r="Z27" i="18" s="1"/>
  <c r="L28" i="18"/>
  <c r="AG33" i="18"/>
  <c r="L36" i="18"/>
  <c r="S19" i="19"/>
  <c r="Z39" i="19"/>
  <c r="H42" i="19"/>
  <c r="U47" i="20"/>
  <c r="V47" i="20" s="1"/>
  <c r="F33" i="21"/>
  <c r="H33" i="21" s="1"/>
  <c r="O33" i="21" s="1"/>
  <c r="U45" i="21"/>
  <c r="V45" i="21" s="1"/>
  <c r="AC45" i="21"/>
  <c r="AB45" i="21"/>
  <c r="AE22" i="16"/>
  <c r="AG22" i="16" s="1"/>
  <c r="J22" i="16"/>
  <c r="L22" i="16" s="1"/>
  <c r="F22" i="16"/>
  <c r="H22" i="16" s="1"/>
  <c r="O22" i="16" s="1"/>
  <c r="X22" i="16"/>
  <c r="AE32" i="16"/>
  <c r="AG32" i="16" s="1"/>
  <c r="Q32" i="16"/>
  <c r="S32" i="16" s="1"/>
  <c r="J32" i="16"/>
  <c r="L32" i="16" s="1"/>
  <c r="AL32" i="16"/>
  <c r="AN32" i="16" s="1"/>
  <c r="AP32" i="16" s="1"/>
  <c r="Z39" i="16"/>
  <c r="Z43" i="16"/>
  <c r="V44" i="16"/>
  <c r="AP46" i="16"/>
  <c r="AQ46" i="16" s="1"/>
  <c r="R48" i="17"/>
  <c r="S48" i="17" s="1"/>
  <c r="Y47" i="17"/>
  <c r="Z47" i="17" s="1"/>
  <c r="Y48" i="17"/>
  <c r="Z48" i="17" s="1"/>
  <c r="AF47" i="17"/>
  <c r="AG47" i="17" s="1"/>
  <c r="G47" i="17"/>
  <c r="H47" i="17" s="1"/>
  <c r="K48" i="17"/>
  <c r="L48" i="17" s="1"/>
  <c r="AF48" i="17"/>
  <c r="AG48" i="17" s="1"/>
  <c r="K47" i="17"/>
  <c r="L47" i="17" s="1"/>
  <c r="AM48" i="17"/>
  <c r="AN48" i="17" s="1"/>
  <c r="AP48" i="17" s="1"/>
  <c r="Z18" i="17"/>
  <c r="AL43" i="17"/>
  <c r="AB46" i="17"/>
  <c r="AC46" i="17" s="1"/>
  <c r="AG18" i="18"/>
  <c r="AG22" i="18"/>
  <c r="AG23" i="18"/>
  <c r="H26" i="18"/>
  <c r="O26" i="18" s="1"/>
  <c r="AN33" i="18"/>
  <c r="AP33" i="18" s="1"/>
  <c r="L35" i="18"/>
  <c r="AP45" i="18"/>
  <c r="R38" i="18"/>
  <c r="S38" i="18" s="1"/>
  <c r="R39" i="18"/>
  <c r="R41" i="18"/>
  <c r="R35" i="18"/>
  <c r="S35" i="18" s="1"/>
  <c r="R42" i="18"/>
  <c r="S42" i="18" s="1"/>
  <c r="AG39" i="19"/>
  <c r="AB45" i="19"/>
  <c r="AC45" i="19" s="1"/>
  <c r="N46" i="19"/>
  <c r="AE18" i="20"/>
  <c r="AG18" i="20" s="1"/>
  <c r="J18" i="20"/>
  <c r="AL18" i="20"/>
  <c r="AN18" i="20" s="1"/>
  <c r="X18" i="20"/>
  <c r="Z18" i="20" s="1"/>
  <c r="F18" i="20"/>
  <c r="H18" i="20" s="1"/>
  <c r="O18" i="20" s="1"/>
  <c r="Q18" i="20"/>
  <c r="S18" i="20" s="1"/>
  <c r="S30" i="20"/>
  <c r="J30" i="21"/>
  <c r="L30" i="21" s="1"/>
  <c r="X30" i="21"/>
  <c r="Z30" i="21" s="1"/>
  <c r="F30" i="21"/>
  <c r="Q30" i="21"/>
  <c r="AL30" i="21"/>
  <c r="AN30" i="21" s="1"/>
  <c r="AP30" i="21" s="1"/>
  <c r="AE30" i="21"/>
  <c r="AG30" i="21" s="1"/>
  <c r="AG24" i="24"/>
  <c r="AG46" i="15"/>
  <c r="N47" i="15"/>
  <c r="O47" i="15" s="1"/>
  <c r="L17" i="16"/>
  <c r="AN20" i="16"/>
  <c r="AP20" i="16" s="1"/>
  <c r="L28" i="16"/>
  <c r="AG30" i="16"/>
  <c r="F32" i="16"/>
  <c r="H35" i="16"/>
  <c r="N44" i="16"/>
  <c r="L22" i="17"/>
  <c r="L23" i="17"/>
  <c r="Q28" i="17"/>
  <c r="S28" i="17" s="1"/>
  <c r="AE28" i="17"/>
  <c r="J28" i="17"/>
  <c r="L28" i="17" s="1"/>
  <c r="AL28" i="17"/>
  <c r="AN28" i="17" s="1"/>
  <c r="AE31" i="17"/>
  <c r="Z33" i="17"/>
  <c r="AI44" i="17"/>
  <c r="Y42" i="18"/>
  <c r="Z42" i="18" s="1"/>
  <c r="Y38" i="18"/>
  <c r="Y41" i="18"/>
  <c r="Z41" i="18" s="1"/>
  <c r="Y35" i="18"/>
  <c r="Z35" i="18" s="1"/>
  <c r="Y34" i="18"/>
  <c r="Z34" i="18" s="1"/>
  <c r="S15" i="19"/>
  <c r="L18" i="19"/>
  <c r="S23" i="19"/>
  <c r="S31" i="19"/>
  <c r="AI45" i="19"/>
  <c r="AJ45" i="19" s="1"/>
  <c r="H19" i="16"/>
  <c r="O19" i="16" s="1"/>
  <c r="U21" i="16"/>
  <c r="H32" i="16"/>
  <c r="AP35" i="16"/>
  <c r="AQ35" i="16" s="1"/>
  <c r="AN42" i="16"/>
  <c r="AP42" i="16" s="1"/>
  <c r="J15" i="17"/>
  <c r="L15" i="17" s="1"/>
  <c r="F15" i="17"/>
  <c r="H15" i="17" s="1"/>
  <c r="AE15" i="17"/>
  <c r="AG15" i="17" s="1"/>
  <c r="X15" i="17"/>
  <c r="AL15" i="17"/>
  <c r="AN15" i="17" s="1"/>
  <c r="Q15" i="17"/>
  <c r="S15" i="17" s="1"/>
  <c r="H26" i="17"/>
  <c r="O26" i="17" s="1"/>
  <c r="X27" i="17"/>
  <c r="Z27" i="17" s="1"/>
  <c r="AE27" i="17"/>
  <c r="AG27" i="17" s="1"/>
  <c r="J27" i="17"/>
  <c r="L27" i="17" s="1"/>
  <c r="F27" i="17"/>
  <c r="H27" i="17" s="1"/>
  <c r="O27" i="17" s="1"/>
  <c r="AL27" i="17"/>
  <c r="AN27" i="17" s="1"/>
  <c r="AP27" i="17" s="1"/>
  <c r="Q27" i="17"/>
  <c r="S27" i="17" s="1"/>
  <c r="G35" i="17"/>
  <c r="H35" i="17" s="1"/>
  <c r="G41" i="17"/>
  <c r="G42" i="17"/>
  <c r="G34" i="17"/>
  <c r="G39" i="17"/>
  <c r="G38" i="17"/>
  <c r="H38" i="17" s="1"/>
  <c r="AN22" i="18"/>
  <c r="AP22" i="18" s="1"/>
  <c r="H25" i="18"/>
  <c r="O25" i="18" s="1"/>
  <c r="S30" i="18"/>
  <c r="Q41" i="18"/>
  <c r="AP47" i="18"/>
  <c r="Z43" i="23"/>
  <c r="Z21" i="16"/>
  <c r="AL22" i="16"/>
  <c r="AN22" i="16" s="1"/>
  <c r="AP22" i="16" s="1"/>
  <c r="S23" i="16"/>
  <c r="Q24" i="16"/>
  <c r="S24" i="16" s="1"/>
  <c r="AE24" i="16"/>
  <c r="AG24" i="16" s="1"/>
  <c r="J24" i="16"/>
  <c r="L24" i="16" s="1"/>
  <c r="F24" i="16"/>
  <c r="AE27" i="16"/>
  <c r="AG27" i="16" s="1"/>
  <c r="J30" i="16"/>
  <c r="L30" i="16" s="1"/>
  <c r="F30" i="16"/>
  <c r="H30" i="16" s="1"/>
  <c r="AE30" i="16"/>
  <c r="AL30" i="16"/>
  <c r="AN30" i="16" s="1"/>
  <c r="X33" i="16"/>
  <c r="Z33" i="16" s="1"/>
  <c r="F33" i="16"/>
  <c r="H33" i="16" s="1"/>
  <c r="O33" i="16" s="1"/>
  <c r="AE33" i="16"/>
  <c r="AG33" i="16" s="1"/>
  <c r="AE36" i="16"/>
  <c r="AG36" i="16" s="1"/>
  <c r="Q36" i="16"/>
  <c r="S36" i="16" s="1"/>
  <c r="F36" i="16"/>
  <c r="H16" i="17"/>
  <c r="O16" i="17" s="1"/>
  <c r="J42" i="17"/>
  <c r="L42" i="17" s="1"/>
  <c r="F42" i="17"/>
  <c r="AE42" i="17"/>
  <c r="AG42" i="17" s="1"/>
  <c r="AL42" i="17"/>
  <c r="Q42" i="17"/>
  <c r="S42" i="17" s="1"/>
  <c r="U45" i="17"/>
  <c r="V45" i="17" s="1"/>
  <c r="H46" i="17"/>
  <c r="X20" i="18"/>
  <c r="AL20" i="18"/>
  <c r="Q20" i="18"/>
  <c r="S20" i="18" s="1"/>
  <c r="J20" i="18"/>
  <c r="AE20" i="18"/>
  <c r="AG20" i="18" s="1"/>
  <c r="F20" i="18"/>
  <c r="H20" i="18" s="1"/>
  <c r="O20" i="18" s="1"/>
  <c r="R34" i="18"/>
  <c r="S34" i="18" s="1"/>
  <c r="AE43" i="19"/>
  <c r="AG43" i="19" s="1"/>
  <c r="J43" i="19"/>
  <c r="Q43" i="19"/>
  <c r="S43" i="19" s="1"/>
  <c r="AL43" i="19"/>
  <c r="X43" i="19"/>
  <c r="AJ46" i="19"/>
  <c r="AG15" i="20"/>
  <c r="Z24" i="22"/>
  <c r="J39" i="23"/>
  <c r="Z45" i="16"/>
  <c r="H22" i="17"/>
  <c r="O22" i="17" s="1"/>
  <c r="AG25" i="17"/>
  <c r="AN16" i="18"/>
  <c r="AN20" i="18"/>
  <c r="AN23" i="18"/>
  <c r="Q28" i="18"/>
  <c r="S28" i="18" s="1"/>
  <c r="AE28" i="18"/>
  <c r="AG28" i="18" s="1"/>
  <c r="X28" i="18"/>
  <c r="Z28" i="18" s="1"/>
  <c r="Q32" i="18"/>
  <c r="S32" i="18" s="1"/>
  <c r="Q39" i="18"/>
  <c r="AL39" i="18"/>
  <c r="J39" i="18"/>
  <c r="X39" i="18"/>
  <c r="Z39" i="18" s="1"/>
  <c r="U45" i="18"/>
  <c r="AE28" i="19"/>
  <c r="AG28" i="19" s="1"/>
  <c r="J28" i="19"/>
  <c r="L28" i="19" s="1"/>
  <c r="Q28" i="19"/>
  <c r="X28" i="19"/>
  <c r="Z28" i="19" s="1"/>
  <c r="Z19" i="20"/>
  <c r="AG18" i="21"/>
  <c r="J20" i="21"/>
  <c r="L20" i="21" s="1"/>
  <c r="X20" i="21"/>
  <c r="AE20" i="21"/>
  <c r="AG20" i="21" s="1"/>
  <c r="F20" i="21"/>
  <c r="H20" i="21" s="1"/>
  <c r="O20" i="21" s="1"/>
  <c r="AL20" i="21"/>
  <c r="Q20" i="21"/>
  <c r="S20" i="21" s="1"/>
  <c r="Q26" i="21"/>
  <c r="AE26" i="21"/>
  <c r="AG26" i="21" s="1"/>
  <c r="J26" i="21"/>
  <c r="L26" i="21" s="1"/>
  <c r="F26" i="21"/>
  <c r="H26" i="21" s="1"/>
  <c r="O26" i="21" s="1"/>
  <c r="AL26" i="21"/>
  <c r="AN26" i="21" s="1"/>
  <c r="AP26" i="21" s="1"/>
  <c r="X26" i="21"/>
  <c r="N21" i="22"/>
  <c r="O21" i="22" s="1"/>
  <c r="AN16" i="23"/>
  <c r="AP16" i="23" s="1"/>
  <c r="Z23" i="23"/>
  <c r="X38" i="16"/>
  <c r="Z38" i="16" s="1"/>
  <c r="F38" i="16"/>
  <c r="H38" i="16" s="1"/>
  <c r="J35" i="16"/>
  <c r="L35" i="16" s="1"/>
  <c r="L19" i="17"/>
  <c r="AL33" i="17"/>
  <c r="AN33" i="17" s="1"/>
  <c r="AP33" i="17" s="1"/>
  <c r="AE34" i="17"/>
  <c r="AG34" i="17" s="1"/>
  <c r="L41" i="17"/>
  <c r="AG41" i="17"/>
  <c r="AG46" i="17"/>
  <c r="J15" i="18"/>
  <c r="L15" i="18" s="1"/>
  <c r="AL24" i="18"/>
  <c r="AN24" i="18" s="1"/>
  <c r="AE24" i="18"/>
  <c r="Z26" i="18"/>
  <c r="F28" i="18"/>
  <c r="H28" i="18" s="1"/>
  <c r="O28" i="18" s="1"/>
  <c r="AG30" i="18"/>
  <c r="S31" i="18"/>
  <c r="F39" i="18"/>
  <c r="H39" i="18" s="1"/>
  <c r="AP44" i="18"/>
  <c r="AF47" i="18"/>
  <c r="AG47" i="18" s="1"/>
  <c r="Q18" i="19"/>
  <c r="S18" i="19" s="1"/>
  <c r="AE18" i="19"/>
  <c r="AG18" i="19" s="1"/>
  <c r="F18" i="19"/>
  <c r="H18" i="19" s="1"/>
  <c r="O18" i="19" s="1"/>
  <c r="AL18" i="19"/>
  <c r="AN18" i="19" s="1"/>
  <c r="AP18" i="19" s="1"/>
  <c r="X18" i="19"/>
  <c r="AN21" i="19"/>
  <c r="X24" i="19"/>
  <c r="Z24" i="19" s="1"/>
  <c r="J26" i="19"/>
  <c r="L26" i="19" s="1"/>
  <c r="X26" i="19"/>
  <c r="Z26" i="19" s="1"/>
  <c r="Q26" i="19"/>
  <c r="S26" i="19" s="1"/>
  <c r="AL26" i="19"/>
  <c r="F28" i="19"/>
  <c r="X34" i="19"/>
  <c r="AN43" i="19"/>
  <c r="AP43" i="19" s="1"/>
  <c r="AB44" i="19"/>
  <c r="Z35" i="19"/>
  <c r="U21" i="20"/>
  <c r="V21" i="20" s="1"/>
  <c r="Q30" i="20"/>
  <c r="S33" i="20"/>
  <c r="AN47" i="20"/>
  <c r="AE22" i="21"/>
  <c r="AG22" i="21" s="1"/>
  <c r="J22" i="21"/>
  <c r="AL22" i="21"/>
  <c r="AN22" i="21" s="1"/>
  <c r="Q22" i="21"/>
  <c r="S22" i="21" s="1"/>
  <c r="AN36" i="21"/>
  <c r="AP36" i="21" s="1"/>
  <c r="AL41" i="21"/>
  <c r="AN41" i="21" s="1"/>
  <c r="L43" i="21"/>
  <c r="S33" i="22"/>
  <c r="H41" i="23"/>
  <c r="X26" i="24"/>
  <c r="Z26" i="24" s="1"/>
  <c r="AL59" i="16"/>
  <c r="J32" i="17"/>
  <c r="L32" i="17" s="1"/>
  <c r="F32" i="17"/>
  <c r="H32" i="17" s="1"/>
  <c r="Z32" i="17"/>
  <c r="F34" i="17"/>
  <c r="L39" i="17"/>
  <c r="S43" i="17"/>
  <c r="U44" i="17"/>
  <c r="AL19" i="18"/>
  <c r="Z21" i="18"/>
  <c r="H22" i="18"/>
  <c r="O22" i="18" s="1"/>
  <c r="F24" i="18"/>
  <c r="H24" i="18" s="1"/>
  <c r="O24" i="18" s="1"/>
  <c r="AG24" i="18"/>
  <c r="AL28" i="18"/>
  <c r="AN28" i="18" s="1"/>
  <c r="H32" i="18"/>
  <c r="Z45" i="18"/>
  <c r="AL22" i="19"/>
  <c r="AN22" i="19" s="1"/>
  <c r="AP22" i="19" s="1"/>
  <c r="H28" i="19"/>
  <c r="O28" i="19" s="1"/>
  <c r="J31" i="19"/>
  <c r="L31" i="19" s="1"/>
  <c r="X31" i="19"/>
  <c r="Q31" i="19"/>
  <c r="AL32" i="19"/>
  <c r="U45" i="19"/>
  <c r="V45" i="19" s="1"/>
  <c r="Z15" i="20"/>
  <c r="AN23" i="20"/>
  <c r="Q19" i="21"/>
  <c r="S19" i="21" s="1"/>
  <c r="AE19" i="21"/>
  <c r="AG19" i="21" s="1"/>
  <c r="J19" i="21"/>
  <c r="L19" i="21" s="1"/>
  <c r="F19" i="21"/>
  <c r="H19" i="21" s="1"/>
  <c r="X19" i="21"/>
  <c r="F22" i="21"/>
  <c r="U44" i="21"/>
  <c r="S25" i="22"/>
  <c r="L28" i="23"/>
  <c r="AN38" i="16"/>
  <c r="AP38" i="16" s="1"/>
  <c r="Q17" i="18"/>
  <c r="S17" i="18" s="1"/>
  <c r="J17" i="18"/>
  <c r="L17" i="18" s="1"/>
  <c r="AE21" i="18"/>
  <c r="AG21" i="18" s="1"/>
  <c r="J26" i="18"/>
  <c r="L26" i="18" s="1"/>
  <c r="X26" i="18"/>
  <c r="F26" i="18"/>
  <c r="H30" i="18"/>
  <c r="J35" i="18"/>
  <c r="Y48" i="18"/>
  <c r="Z48" i="18" s="1"/>
  <c r="L39" i="18"/>
  <c r="L15" i="19"/>
  <c r="L17" i="19"/>
  <c r="L25" i="19"/>
  <c r="Q30" i="19"/>
  <c r="S30" i="19" s="1"/>
  <c r="AE30" i="19"/>
  <c r="AG30" i="19" s="1"/>
  <c r="X30" i="19"/>
  <c r="F30" i="19"/>
  <c r="H30" i="19" s="1"/>
  <c r="O30" i="19" s="1"/>
  <c r="AL30" i="19"/>
  <c r="J30" i="19"/>
  <c r="L30" i="19" s="1"/>
  <c r="F31" i="19"/>
  <c r="H31" i="19" s="1"/>
  <c r="O31" i="19" s="1"/>
  <c r="AG44" i="19"/>
  <c r="L44" i="20"/>
  <c r="U44" i="20" s="1"/>
  <c r="L41" i="21"/>
  <c r="L42" i="24"/>
  <c r="Q15" i="14"/>
  <c r="S15" i="14" s="1"/>
  <c r="Q32" i="14"/>
  <c r="S32" i="14" s="1"/>
  <c r="Q42" i="14"/>
  <c r="S42" i="14" s="1"/>
  <c r="AE19" i="16"/>
  <c r="AG19" i="16" s="1"/>
  <c r="X19" i="16"/>
  <c r="Z19" i="16" s="1"/>
  <c r="X20" i="16"/>
  <c r="Z20" i="16" s="1"/>
  <c r="AL21" i="16"/>
  <c r="AN21" i="16" s="1"/>
  <c r="X23" i="16"/>
  <c r="Z23" i="16" s="1"/>
  <c r="AM39" i="16"/>
  <c r="AN39" i="16" s="1"/>
  <c r="AP39" i="16" s="1"/>
  <c r="R41" i="16"/>
  <c r="S41" i="16" s="1"/>
  <c r="AL16" i="17"/>
  <c r="AN16" i="17" s="1"/>
  <c r="AP16" i="17" s="1"/>
  <c r="AE26" i="17"/>
  <c r="AG26" i="17" s="1"/>
  <c r="J26" i="17"/>
  <c r="L26" i="17" s="1"/>
  <c r="Z26" i="17"/>
  <c r="AG31" i="17"/>
  <c r="Q34" i="17"/>
  <c r="H44" i="17"/>
  <c r="AN19" i="18"/>
  <c r="X23" i="18"/>
  <c r="Z23" i="18" s="1"/>
  <c r="Q24" i="18"/>
  <c r="S24" i="18" s="1"/>
  <c r="AN26" i="18"/>
  <c r="AP26" i="18" s="1"/>
  <c r="X43" i="18"/>
  <c r="Z43" i="18" s="1"/>
  <c r="AE43" i="18"/>
  <c r="AG43" i="18" s="1"/>
  <c r="J43" i="18"/>
  <c r="AN43" i="18"/>
  <c r="AB46" i="18"/>
  <c r="AC46" i="18" s="1"/>
  <c r="AJ46" i="18"/>
  <c r="K47" i="18"/>
  <c r="L47" i="18" s="1"/>
  <c r="X59" i="18"/>
  <c r="Z18" i="19"/>
  <c r="S27" i="19"/>
  <c r="Z32" i="19"/>
  <c r="S46" i="19"/>
  <c r="AL17" i="20"/>
  <c r="AN17" i="20" s="1"/>
  <c r="AP17" i="20" s="1"/>
  <c r="Q17" i="20"/>
  <c r="S17" i="20" s="1"/>
  <c r="J17" i="20"/>
  <c r="AE17" i="20"/>
  <c r="F17" i="20"/>
  <c r="H17" i="20" s="1"/>
  <c r="O17" i="20" s="1"/>
  <c r="X17" i="20"/>
  <c r="Z17" i="20" s="1"/>
  <c r="S25" i="20"/>
  <c r="AL34" i="20"/>
  <c r="AL39" i="20"/>
  <c r="AB44" i="20"/>
  <c r="AC44" i="20" s="1"/>
  <c r="X22" i="21"/>
  <c r="F36" i="22"/>
  <c r="H36" i="22" s="1"/>
  <c r="AE36" i="22"/>
  <c r="AG36" i="22" s="1"/>
  <c r="J36" i="22"/>
  <c r="L36" i="22" s="1"/>
  <c r="Q36" i="22"/>
  <c r="AL36" i="22"/>
  <c r="AN36" i="22" s="1"/>
  <c r="AP36" i="22" s="1"/>
  <c r="X36" i="22"/>
  <c r="AI44" i="22"/>
  <c r="AJ44" i="22" s="1"/>
  <c r="AL31" i="15"/>
  <c r="AN31" i="15" s="1"/>
  <c r="AL41" i="15"/>
  <c r="AN41" i="15" s="1"/>
  <c r="Q15" i="16"/>
  <c r="S15" i="16" s="1"/>
  <c r="X15" i="16"/>
  <c r="Z15" i="16" s="1"/>
  <c r="J18" i="16"/>
  <c r="L18" i="16" s="1"/>
  <c r="AL18" i="16"/>
  <c r="AN18" i="16" s="1"/>
  <c r="Z18" i="16"/>
  <c r="H23" i="16"/>
  <c r="O23" i="16" s="1"/>
  <c r="L27" i="16"/>
  <c r="Q38" i="16"/>
  <c r="S38" i="16" s="1"/>
  <c r="X43" i="16"/>
  <c r="F43" i="16"/>
  <c r="H43" i="16" s="1"/>
  <c r="AL18" i="17"/>
  <c r="AN18" i="17" s="1"/>
  <c r="AE19" i="17"/>
  <c r="AG19" i="17" s="1"/>
  <c r="AG30" i="17"/>
  <c r="Q32" i="17"/>
  <c r="S32" i="17" s="1"/>
  <c r="AL32" i="17"/>
  <c r="AN32" i="17" s="1"/>
  <c r="L44" i="17"/>
  <c r="AL18" i="18"/>
  <c r="AN18" i="18" s="1"/>
  <c r="J18" i="18"/>
  <c r="L18" i="18" s="1"/>
  <c r="X18" i="18"/>
  <c r="Z18" i="18" s="1"/>
  <c r="F18" i="18"/>
  <c r="H18" i="18" s="1"/>
  <c r="O18" i="18" s="1"/>
  <c r="Q18" i="18"/>
  <c r="S18" i="18" s="1"/>
  <c r="S19" i="18"/>
  <c r="AB44" i="18"/>
  <c r="AC44" i="18" s="1"/>
  <c r="Z30" i="19"/>
  <c r="H36" i="19"/>
  <c r="AN38" i="19"/>
  <c r="AP38" i="19" s="1"/>
  <c r="O45" i="19"/>
  <c r="L17" i="20"/>
  <c r="AN43" i="20"/>
  <c r="AP43" i="20" s="1"/>
  <c r="S30" i="21"/>
  <c r="H26" i="22"/>
  <c r="O26" i="22" s="1"/>
  <c r="L22" i="24"/>
  <c r="L34" i="26"/>
  <c r="G48" i="15"/>
  <c r="H48" i="15" s="1"/>
  <c r="F15" i="16"/>
  <c r="H15" i="16" s="1"/>
  <c r="AL16" i="16"/>
  <c r="AN16" i="16" s="1"/>
  <c r="AP16" i="16" s="1"/>
  <c r="Z16" i="16"/>
  <c r="F18" i="16"/>
  <c r="H18" i="16" s="1"/>
  <c r="O18" i="16" s="1"/>
  <c r="AE20" i="16"/>
  <c r="AG20" i="16" s="1"/>
  <c r="J23" i="16"/>
  <c r="R34" i="16"/>
  <c r="AL41" i="16"/>
  <c r="AE42" i="16"/>
  <c r="AG42" i="16" s="1"/>
  <c r="F19" i="17"/>
  <c r="H19" i="17" s="1"/>
  <c r="O19" i="17" s="1"/>
  <c r="J22" i="17"/>
  <c r="AG28" i="17"/>
  <c r="S33" i="17"/>
  <c r="Q36" i="17"/>
  <c r="S36" i="17" s="1"/>
  <c r="X36" i="17"/>
  <c r="Z36" i="17" s="1"/>
  <c r="AL38" i="17"/>
  <c r="AE39" i="17"/>
  <c r="AG39" i="17" s="1"/>
  <c r="AM35" i="17"/>
  <c r="AN35" i="17" s="1"/>
  <c r="AP35" i="17" s="1"/>
  <c r="AM42" i="17"/>
  <c r="X24" i="18"/>
  <c r="Z24" i="18" s="1"/>
  <c r="AN27" i="18"/>
  <c r="AP27" i="18" s="1"/>
  <c r="Z30" i="18"/>
  <c r="F34" i="18"/>
  <c r="H34" i="18" s="1"/>
  <c r="AG35" i="18"/>
  <c r="Z36" i="18"/>
  <c r="AN39" i="18"/>
  <c r="L43" i="18"/>
  <c r="AN20" i="19"/>
  <c r="AE26" i="19"/>
  <c r="AL28" i="19"/>
  <c r="AN28" i="19" s="1"/>
  <c r="AP28" i="19" s="1"/>
  <c r="AE31" i="19"/>
  <c r="Z43" i="19"/>
  <c r="AL32" i="20"/>
  <c r="AN32" i="20" s="1"/>
  <c r="O46" i="20"/>
  <c r="AL19" i="21"/>
  <c r="AN19" i="21" s="1"/>
  <c r="J27" i="21"/>
  <c r="L27" i="21" s="1"/>
  <c r="AL27" i="21"/>
  <c r="AN27" i="21" s="1"/>
  <c r="Q27" i="21"/>
  <c r="S27" i="21" s="1"/>
  <c r="AE27" i="21"/>
  <c r="AG27" i="21" s="1"/>
  <c r="X27" i="21"/>
  <c r="Z27" i="21" s="1"/>
  <c r="F27" i="21"/>
  <c r="H27" i="21" s="1"/>
  <c r="O27" i="21" s="1"/>
  <c r="L28" i="21"/>
  <c r="Z16" i="23"/>
  <c r="K39" i="16"/>
  <c r="K34" i="16"/>
  <c r="O21" i="17"/>
  <c r="R48" i="18"/>
  <c r="S48" i="18" s="1"/>
  <c r="Y47" i="18"/>
  <c r="Z47" i="18" s="1"/>
  <c r="G47" i="18"/>
  <c r="H47" i="18" s="1"/>
  <c r="G48" i="18"/>
  <c r="H48" i="18" s="1"/>
  <c r="AM48" i="18"/>
  <c r="AN48" i="18" s="1"/>
  <c r="AF48" i="18"/>
  <c r="AG48" i="18" s="1"/>
  <c r="K48" i="18"/>
  <c r="L48" i="18" s="1"/>
  <c r="X17" i="18"/>
  <c r="AC21" i="18"/>
  <c r="U21" i="18"/>
  <c r="L27" i="18"/>
  <c r="AG32" i="18"/>
  <c r="AN34" i="18"/>
  <c r="AP34" i="18" s="1"/>
  <c r="O44" i="18"/>
  <c r="O46" i="18"/>
  <c r="AQ46" i="18"/>
  <c r="AN17" i="19"/>
  <c r="Q20" i="19"/>
  <c r="S20" i="19" s="1"/>
  <c r="X20" i="19"/>
  <c r="Z20" i="19" s="1"/>
  <c r="AE20" i="19"/>
  <c r="AG20" i="19" s="1"/>
  <c r="F20" i="19"/>
  <c r="AE21" i="19"/>
  <c r="AG21" i="19" s="1"/>
  <c r="AN23" i="19"/>
  <c r="AP23" i="19" s="1"/>
  <c r="AG26" i="19"/>
  <c r="AN27" i="19"/>
  <c r="AP27" i="19" s="1"/>
  <c r="AG31" i="19"/>
  <c r="AN32" i="19"/>
  <c r="AE38" i="19"/>
  <c r="AG38" i="19" s="1"/>
  <c r="J38" i="19"/>
  <c r="Q38" i="19"/>
  <c r="N45" i="19"/>
  <c r="L15" i="20"/>
  <c r="AN25" i="20"/>
  <c r="AP25" i="20" s="1"/>
  <c r="AG34" i="20"/>
  <c r="J38" i="20"/>
  <c r="L38" i="20" s="1"/>
  <c r="X38" i="20"/>
  <c r="Z38" i="20" s="1"/>
  <c r="AL38" i="20"/>
  <c r="Q38" i="20"/>
  <c r="S38" i="20" s="1"/>
  <c r="AE38" i="20"/>
  <c r="AG38" i="20" s="1"/>
  <c r="AN42" i="20"/>
  <c r="N46" i="20"/>
  <c r="N46" i="21"/>
  <c r="U46" i="21"/>
  <c r="V46" i="21" s="1"/>
  <c r="AG34" i="22"/>
  <c r="H30" i="24"/>
  <c r="O30" i="24" s="1"/>
  <c r="H31" i="26"/>
  <c r="O31" i="26" s="1"/>
  <c r="Z17" i="27"/>
  <c r="AL42" i="19"/>
  <c r="AN42" i="19" s="1"/>
  <c r="AG42" i="19"/>
  <c r="AN35" i="20"/>
  <c r="AP35" i="20" s="1"/>
  <c r="AQ35" i="20"/>
  <c r="H22" i="21"/>
  <c r="O22" i="21" s="1"/>
  <c r="AE42" i="21"/>
  <c r="J42" i="21"/>
  <c r="Q42" i="21"/>
  <c r="J35" i="21"/>
  <c r="L35" i="21" s="1"/>
  <c r="L44" i="21"/>
  <c r="L17" i="22"/>
  <c r="AG23" i="22"/>
  <c r="Z30" i="22"/>
  <c r="AN32" i="23"/>
  <c r="AP32" i="23" s="1"/>
  <c r="V45" i="23"/>
  <c r="L23" i="24"/>
  <c r="AE17" i="25"/>
  <c r="AG17" i="25" s="1"/>
  <c r="J17" i="25"/>
  <c r="L17" i="25" s="1"/>
  <c r="F17" i="25"/>
  <c r="H17" i="25" s="1"/>
  <c r="O17" i="25" s="1"/>
  <c r="X17" i="25"/>
  <c r="Z17" i="25" s="1"/>
  <c r="AL17" i="25"/>
  <c r="AN17" i="25" s="1"/>
  <c r="AP17" i="25" s="1"/>
  <c r="Q17" i="25"/>
  <c r="S17" i="25" s="1"/>
  <c r="L32" i="27"/>
  <c r="AE23" i="18"/>
  <c r="F25" i="18"/>
  <c r="X25" i="18"/>
  <c r="Z25" i="18" s="1"/>
  <c r="AN38" i="18"/>
  <c r="AP38" i="18" s="1"/>
  <c r="F16" i="19"/>
  <c r="H16" i="19" s="1"/>
  <c r="O16" i="19" s="1"/>
  <c r="H20" i="19"/>
  <c r="O20" i="19" s="1"/>
  <c r="L33" i="19"/>
  <c r="L35" i="19"/>
  <c r="J36" i="19"/>
  <c r="L36" i="19" s="1"/>
  <c r="X36" i="19"/>
  <c r="Z36" i="19" s="1"/>
  <c r="F36" i="19"/>
  <c r="AE36" i="19"/>
  <c r="AG36" i="19" s="1"/>
  <c r="X21" i="20"/>
  <c r="Z21" i="20" s="1"/>
  <c r="AG21" i="20"/>
  <c r="L32" i="20"/>
  <c r="AN33" i="20"/>
  <c r="AP33" i="20" s="1"/>
  <c r="X36" i="20"/>
  <c r="Z36" i="20" s="1"/>
  <c r="F36" i="20"/>
  <c r="H36" i="20" s="1"/>
  <c r="AL36" i="20"/>
  <c r="AN36" i="20" s="1"/>
  <c r="AP36" i="20" s="1"/>
  <c r="Z17" i="21"/>
  <c r="L24" i="21"/>
  <c r="S35" i="21"/>
  <c r="F42" i="21"/>
  <c r="AB47" i="21"/>
  <c r="AC47" i="21" s="1"/>
  <c r="X15" i="22"/>
  <c r="Z15" i="22" s="1"/>
  <c r="Z28" i="22"/>
  <c r="AG30" i="22"/>
  <c r="X32" i="22"/>
  <c r="Z32" i="22" s="1"/>
  <c r="L21" i="23"/>
  <c r="L36" i="23"/>
  <c r="Q41" i="23"/>
  <c r="J41" i="23"/>
  <c r="AL41" i="23"/>
  <c r="AE41" i="23"/>
  <c r="AG41" i="23" s="1"/>
  <c r="F41" i="23"/>
  <c r="X41" i="23"/>
  <c r="Z41" i="23" s="1"/>
  <c r="N45" i="23"/>
  <c r="O45" i="23" s="1"/>
  <c r="X53" i="24"/>
  <c r="Q59" i="24"/>
  <c r="AL22" i="17"/>
  <c r="J22" i="18"/>
  <c r="L22" i="18" s="1"/>
  <c r="S23" i="18"/>
  <c r="AL23" i="18"/>
  <c r="AG39" i="18"/>
  <c r="AG44" i="18"/>
  <c r="V45" i="18"/>
  <c r="Q36" i="19"/>
  <c r="S36" i="19" s="1"/>
  <c r="Q35" i="19"/>
  <c r="S35" i="19" s="1"/>
  <c r="R42" i="19"/>
  <c r="S42" i="19" s="1"/>
  <c r="R38" i="19"/>
  <c r="S38" i="19" s="1"/>
  <c r="S35" i="20"/>
  <c r="Z39" i="20"/>
  <c r="AL41" i="20"/>
  <c r="Q17" i="21"/>
  <c r="S17" i="21" s="1"/>
  <c r="J17" i="21"/>
  <c r="AE17" i="21"/>
  <c r="F17" i="21"/>
  <c r="H17" i="21" s="1"/>
  <c r="O17" i="21" s="1"/>
  <c r="AL17" i="21"/>
  <c r="AN17" i="21" s="1"/>
  <c r="AL21" i="21"/>
  <c r="AN21" i="21" s="1"/>
  <c r="Z22" i="21"/>
  <c r="H30" i="21"/>
  <c r="O30" i="21" s="1"/>
  <c r="X42" i="21"/>
  <c r="S15" i="22"/>
  <c r="J19" i="22"/>
  <c r="L19" i="22" s="1"/>
  <c r="X19" i="22"/>
  <c r="Z19" i="22" s="1"/>
  <c r="F19" i="22"/>
  <c r="AL19" i="22"/>
  <c r="AN19" i="22" s="1"/>
  <c r="Q19" i="22"/>
  <c r="S19" i="22" s="1"/>
  <c r="AE19" i="22"/>
  <c r="AG19" i="22" s="1"/>
  <c r="L24" i="22"/>
  <c r="AG33" i="22"/>
  <c r="F35" i="22"/>
  <c r="H35" i="22" s="1"/>
  <c r="AI35" i="22"/>
  <c r="AI46" i="22"/>
  <c r="AQ46" i="22"/>
  <c r="AL24" i="23"/>
  <c r="AN24" i="23" s="1"/>
  <c r="Q24" i="23"/>
  <c r="AE24" i="23"/>
  <c r="AG24" i="23" s="1"/>
  <c r="J24" i="23"/>
  <c r="L24" i="23" s="1"/>
  <c r="F24" i="23"/>
  <c r="H24" i="23" s="1"/>
  <c r="O24" i="23" s="1"/>
  <c r="H39" i="23"/>
  <c r="N46" i="23"/>
  <c r="V46" i="23"/>
  <c r="U46" i="23"/>
  <c r="L32" i="24"/>
  <c r="Y43" i="25"/>
  <c r="G37" i="25"/>
  <c r="H37" i="25" s="1"/>
  <c r="O37" i="25" s="1"/>
  <c r="G32" i="25"/>
  <c r="H32" i="25" s="1"/>
  <c r="AM20" i="25"/>
  <c r="AF33" i="25"/>
  <c r="AG33" i="25" s="1"/>
  <c r="AM32" i="25"/>
  <c r="AN32" i="25" s="1"/>
  <c r="Y44" i="25"/>
  <c r="Z44" i="25" s="1"/>
  <c r="G33" i="25"/>
  <c r="Y46" i="25"/>
  <c r="Z46" i="25" s="1"/>
  <c r="AM44" i="25"/>
  <c r="K32" i="25"/>
  <c r="L32" i="25" s="1"/>
  <c r="R37" i="25"/>
  <c r="S37" i="25" s="1"/>
  <c r="Y32" i="25"/>
  <c r="Z32" i="25" s="1"/>
  <c r="AM46" i="25"/>
  <c r="K37" i="25"/>
  <c r="L37" i="25" s="1"/>
  <c r="R20" i="25"/>
  <c r="AM37" i="25"/>
  <c r="AN37" i="25" s="1"/>
  <c r="R32" i="25"/>
  <c r="S32" i="25" s="1"/>
  <c r="K43" i="25"/>
  <c r="AM33" i="25"/>
  <c r="G20" i="25"/>
  <c r="H20" i="25" s="1"/>
  <c r="O20" i="25" s="1"/>
  <c r="Y33" i="25"/>
  <c r="Z33" i="25" s="1"/>
  <c r="AF37" i="25"/>
  <c r="AF44" i="25" s="1"/>
  <c r="AG44" i="25" s="1"/>
  <c r="AF32" i="25"/>
  <c r="Y37" i="25"/>
  <c r="Z37" i="25" s="1"/>
  <c r="Y20" i="25"/>
  <c r="K20" i="25"/>
  <c r="AF20" i="25"/>
  <c r="AG20" i="25" s="1"/>
  <c r="R33" i="25"/>
  <c r="K33" i="25"/>
  <c r="L33" i="25" s="1"/>
  <c r="K44" i="25"/>
  <c r="L44" i="25" s="1"/>
  <c r="O21" i="25"/>
  <c r="AN36" i="26"/>
  <c r="AP36" i="26" s="1"/>
  <c r="F30" i="18"/>
  <c r="X30" i="18"/>
  <c r="X38" i="18"/>
  <c r="U46" i="18"/>
  <c r="V46" i="18" s="1"/>
  <c r="F55" i="37"/>
  <c r="F59" i="18"/>
  <c r="J19" i="19"/>
  <c r="L19" i="19" s="1"/>
  <c r="X19" i="19"/>
  <c r="Z19" i="19" s="1"/>
  <c r="F19" i="19"/>
  <c r="H19" i="19" s="1"/>
  <c r="AE19" i="19"/>
  <c r="AG19" i="19" s="1"/>
  <c r="X21" i="19"/>
  <c r="Z21" i="19" s="1"/>
  <c r="AG32" i="19"/>
  <c r="L38" i="19"/>
  <c r="U44" i="19"/>
  <c r="V44" i="19" s="1"/>
  <c r="AC44" i="19"/>
  <c r="O46" i="19"/>
  <c r="Y41" i="19"/>
  <c r="Y42" i="19"/>
  <c r="Z42" i="19" s="1"/>
  <c r="AG17" i="20"/>
  <c r="N21" i="20"/>
  <c r="O21" i="20" s="1"/>
  <c r="X22" i="20"/>
  <c r="Z22" i="20" s="1"/>
  <c r="Z32" i="20"/>
  <c r="Z26" i="21"/>
  <c r="Z28" i="21"/>
  <c r="AB44" i="21"/>
  <c r="AC44" i="21" s="1"/>
  <c r="AQ48" i="21"/>
  <c r="AI48" i="21"/>
  <c r="Y35" i="21"/>
  <c r="Z35" i="21" s="1"/>
  <c r="Y42" i="21"/>
  <c r="Y39" i="21"/>
  <c r="Y41" i="21"/>
  <c r="Z41" i="21" s="1"/>
  <c r="Y34" i="21"/>
  <c r="Z34" i="21" s="1"/>
  <c r="Y38" i="21"/>
  <c r="Z38" i="21" s="1"/>
  <c r="L31" i="22"/>
  <c r="S38" i="22"/>
  <c r="O44" i="22"/>
  <c r="AL16" i="23"/>
  <c r="Z26" i="23"/>
  <c r="AE31" i="24"/>
  <c r="AG31" i="24" s="1"/>
  <c r="J31" i="24"/>
  <c r="L31" i="24" s="1"/>
  <c r="Q31" i="24"/>
  <c r="S31" i="24" s="1"/>
  <c r="AL31" i="24"/>
  <c r="AN31" i="24" s="1"/>
  <c r="AP31" i="24" s="1"/>
  <c r="F31" i="24"/>
  <c r="X31" i="24"/>
  <c r="Z31" i="24" s="1"/>
  <c r="AG42" i="24"/>
  <c r="AQ44" i="24"/>
  <c r="AI44" i="24"/>
  <c r="AJ44" i="24" s="1"/>
  <c r="AE19" i="18"/>
  <c r="AG19" i="18" s="1"/>
  <c r="X34" i="18"/>
  <c r="AE36" i="18"/>
  <c r="AG36" i="18" s="1"/>
  <c r="F38" i="18"/>
  <c r="H38" i="18" s="1"/>
  <c r="J42" i="18"/>
  <c r="L42" i="18" s="1"/>
  <c r="AE42" i="18"/>
  <c r="AG42" i="18" s="1"/>
  <c r="X15" i="19"/>
  <c r="Z15" i="19" s="1"/>
  <c r="X17" i="19"/>
  <c r="Z17" i="19" s="1"/>
  <c r="F17" i="19"/>
  <c r="H17" i="19" s="1"/>
  <c r="O17" i="19" s="1"/>
  <c r="AL17" i="19"/>
  <c r="AE17" i="19"/>
  <c r="AG17" i="19" s="1"/>
  <c r="AN30" i="19"/>
  <c r="X39" i="19"/>
  <c r="L43" i="19"/>
  <c r="AF35" i="19"/>
  <c r="AG35" i="19" s="1"/>
  <c r="AF41" i="19"/>
  <c r="AG41" i="19" s="1"/>
  <c r="AN28" i="20"/>
  <c r="AP28" i="20" s="1"/>
  <c r="AG43" i="20"/>
  <c r="AQ45" i="20"/>
  <c r="AM38" i="20"/>
  <c r="AM41" i="20"/>
  <c r="AM39" i="20"/>
  <c r="AM34" i="20"/>
  <c r="AN34" i="20" s="1"/>
  <c r="L17" i="21"/>
  <c r="Z19" i="21"/>
  <c r="H21" i="21"/>
  <c r="AL31" i="21"/>
  <c r="AN31" i="21" s="1"/>
  <c r="AL42" i="21"/>
  <c r="AN42" i="21" s="1"/>
  <c r="AI45" i="21"/>
  <c r="AJ45" i="21" s="1"/>
  <c r="AF39" i="21"/>
  <c r="AG39" i="21" s="1"/>
  <c r="AF34" i="21"/>
  <c r="AG34" i="21" s="1"/>
  <c r="AF41" i="21"/>
  <c r="AG41" i="21" s="1"/>
  <c r="AF35" i="21"/>
  <c r="AG35" i="21" s="1"/>
  <c r="AF38" i="21"/>
  <c r="AG38" i="21" s="1"/>
  <c r="AF42" i="21"/>
  <c r="J42" i="23"/>
  <c r="L42" i="23" s="1"/>
  <c r="AL42" i="23"/>
  <c r="X42" i="23"/>
  <c r="Z42" i="23" s="1"/>
  <c r="AE42" i="23"/>
  <c r="AG42" i="23" s="1"/>
  <c r="F42" i="23"/>
  <c r="L44" i="23"/>
  <c r="Q43" i="24"/>
  <c r="S43" i="24" s="1"/>
  <c r="AE43" i="24"/>
  <c r="AG43" i="24" s="1"/>
  <c r="F43" i="24"/>
  <c r="X43" i="24"/>
  <c r="AP44" i="24"/>
  <c r="F19" i="18"/>
  <c r="H19" i="18" s="1"/>
  <c r="O19" i="18" s="1"/>
  <c r="X19" i="18"/>
  <c r="Z19" i="18" s="1"/>
  <c r="F23" i="18"/>
  <c r="H23" i="18" s="1"/>
  <c r="O23" i="18" s="1"/>
  <c r="F36" i="18"/>
  <c r="H36" i="18" s="1"/>
  <c r="F42" i="18"/>
  <c r="H42" i="18" s="1"/>
  <c r="H21" i="19"/>
  <c r="AE23" i="19"/>
  <c r="AG23" i="19" s="1"/>
  <c r="Q25" i="19"/>
  <c r="S25" i="19" s="1"/>
  <c r="AE25" i="19"/>
  <c r="X25" i="19"/>
  <c r="Z25" i="19" s="1"/>
  <c r="F25" i="19"/>
  <c r="H25" i="19" s="1"/>
  <c r="O25" i="19" s="1"/>
  <c r="AN26" i="19"/>
  <c r="Z31" i="19"/>
  <c r="Z33" i="19"/>
  <c r="J41" i="19"/>
  <c r="L41" i="19" s="1"/>
  <c r="X41" i="19"/>
  <c r="Q41" i="19"/>
  <c r="S41" i="19" s="1"/>
  <c r="AQ46" i="19"/>
  <c r="AM39" i="19"/>
  <c r="AM34" i="19"/>
  <c r="AM35" i="19"/>
  <c r="AN35" i="19" s="1"/>
  <c r="AP35" i="19" s="1"/>
  <c r="AN31" i="20"/>
  <c r="Z35" i="20"/>
  <c r="AI35" i="20" s="1"/>
  <c r="AN46" i="20"/>
  <c r="AP46" i="20" s="1"/>
  <c r="AQ46" i="20" s="1"/>
  <c r="Z15" i="21"/>
  <c r="F38" i="21"/>
  <c r="O48" i="21"/>
  <c r="V46" i="22"/>
  <c r="N46" i="22"/>
  <c r="O46" i="22" s="1"/>
  <c r="AL21" i="23"/>
  <c r="AN21" i="23" s="1"/>
  <c r="X21" i="23"/>
  <c r="Z21" i="23" s="1"/>
  <c r="F23" i="23"/>
  <c r="X23" i="23"/>
  <c r="Q23" i="23"/>
  <c r="AL23" i="23"/>
  <c r="AN23" i="23" s="1"/>
  <c r="J23" i="23"/>
  <c r="L23" i="23" s="1"/>
  <c r="AE23" i="23"/>
  <c r="AG23" i="23" s="1"/>
  <c r="S24" i="23"/>
  <c r="AL28" i="23"/>
  <c r="AN28" i="23" s="1"/>
  <c r="AP28" i="23" s="1"/>
  <c r="X38" i="23"/>
  <c r="Z38" i="23" s="1"/>
  <c r="F38" i="23"/>
  <c r="H38" i="23" s="1"/>
  <c r="AL38" i="23"/>
  <c r="AE38" i="23"/>
  <c r="AG38" i="23" s="1"/>
  <c r="J38" i="23"/>
  <c r="J34" i="24"/>
  <c r="H43" i="24"/>
  <c r="AN30" i="25"/>
  <c r="AP30" i="25" s="1"/>
  <c r="AL19" i="28"/>
  <c r="AN19" i="28" s="1"/>
  <c r="AP19" i="28" s="1"/>
  <c r="AL16" i="18"/>
  <c r="Q25" i="18"/>
  <c r="S25" i="18" s="1"/>
  <c r="F27" i="18"/>
  <c r="H27" i="18" s="1"/>
  <c r="O27" i="18" s="1"/>
  <c r="J30" i="18"/>
  <c r="L30" i="18" s="1"/>
  <c r="AE38" i="18"/>
  <c r="AG38" i="18" s="1"/>
  <c r="J17" i="19"/>
  <c r="AL19" i="19"/>
  <c r="AN19" i="19" s="1"/>
  <c r="AG25" i="19"/>
  <c r="AL27" i="19"/>
  <c r="S28" i="19"/>
  <c r="AE33" i="19"/>
  <c r="AG33" i="19" s="1"/>
  <c r="J33" i="19"/>
  <c r="F41" i="19"/>
  <c r="H41" i="19" s="1"/>
  <c r="AI46" i="19"/>
  <c r="J16" i="20"/>
  <c r="L16" i="20" s="1"/>
  <c r="X16" i="20"/>
  <c r="Z16" i="20" s="1"/>
  <c r="Q16" i="20"/>
  <c r="AE16" i="20"/>
  <c r="AG16" i="20" s="1"/>
  <c r="AE20" i="20"/>
  <c r="AG20" i="20" s="1"/>
  <c r="J20" i="20"/>
  <c r="L20" i="20" s="1"/>
  <c r="F20" i="20"/>
  <c r="H20" i="20" s="1"/>
  <c r="O20" i="20" s="1"/>
  <c r="AL20" i="20"/>
  <c r="AN20" i="20" s="1"/>
  <c r="AP20" i="20" s="1"/>
  <c r="Q20" i="20"/>
  <c r="S20" i="20" s="1"/>
  <c r="L22" i="20"/>
  <c r="Z24" i="20"/>
  <c r="O45" i="20"/>
  <c r="U46" i="20"/>
  <c r="V46" i="20" s="1"/>
  <c r="U48" i="20"/>
  <c r="Q18" i="21"/>
  <c r="Q24" i="21"/>
  <c r="S24" i="21" s="1"/>
  <c r="AE24" i="21"/>
  <c r="X24" i="21"/>
  <c r="Z24" i="21" s="1"/>
  <c r="AN24" i="21"/>
  <c r="AG15" i="22"/>
  <c r="Q17" i="22"/>
  <c r="S17" i="22" s="1"/>
  <c r="AE17" i="22"/>
  <c r="AG17" i="22" s="1"/>
  <c r="J17" i="22"/>
  <c r="AL17" i="22"/>
  <c r="AN17" i="22" s="1"/>
  <c r="AP17" i="22" s="1"/>
  <c r="X17" i="22"/>
  <c r="Z17" i="22" s="1"/>
  <c r="L22" i="22"/>
  <c r="H30" i="22"/>
  <c r="O30" i="22" s="1"/>
  <c r="AE15" i="23"/>
  <c r="J15" i="23"/>
  <c r="L15" i="23" s="1"/>
  <c r="Q15" i="23"/>
  <c r="AL15" i="23"/>
  <c r="AN15" i="23" s="1"/>
  <c r="X24" i="23"/>
  <c r="Z35" i="23"/>
  <c r="Z39" i="23"/>
  <c r="N48" i="23"/>
  <c r="O48" i="23" s="1"/>
  <c r="J43" i="24"/>
  <c r="AL41" i="18"/>
  <c r="AN41" i="18" s="1"/>
  <c r="AL16" i="19"/>
  <c r="AN16" i="19" s="1"/>
  <c r="AL35" i="19"/>
  <c r="AG44" i="20"/>
  <c r="N45" i="20"/>
  <c r="K48" i="20"/>
  <c r="L48" i="20" s="1"/>
  <c r="AF48" i="20"/>
  <c r="AG48" i="20" s="1"/>
  <c r="AG24" i="21"/>
  <c r="S26" i="21"/>
  <c r="F28" i="21"/>
  <c r="H28" i="21" s="1"/>
  <c r="O28" i="21" s="1"/>
  <c r="O45" i="21"/>
  <c r="AM38" i="21"/>
  <c r="AM35" i="21"/>
  <c r="AN35" i="21" s="1"/>
  <c r="AM39" i="21"/>
  <c r="AN39" i="21" s="1"/>
  <c r="Z38" i="22"/>
  <c r="J43" i="22"/>
  <c r="L43" i="22" s="1"/>
  <c r="X43" i="22"/>
  <c r="Z43" i="22" s="1"/>
  <c r="F43" i="22"/>
  <c r="H43" i="22" s="1"/>
  <c r="AL43" i="22"/>
  <c r="AN43" i="22" s="1"/>
  <c r="AP43" i="22" s="1"/>
  <c r="Q43" i="22"/>
  <c r="AE43" i="22"/>
  <c r="AG43" i="22" s="1"/>
  <c r="H45" i="22"/>
  <c r="AQ45" i="22"/>
  <c r="AG15" i="23"/>
  <c r="Z24" i="23"/>
  <c r="L31" i="23"/>
  <c r="H32" i="23"/>
  <c r="H43" i="23"/>
  <c r="Q28" i="24"/>
  <c r="AE28" i="24"/>
  <c r="AG28" i="24" s="1"/>
  <c r="X28" i="24"/>
  <c r="J28" i="24"/>
  <c r="Q33" i="24"/>
  <c r="S33" i="24" s="1"/>
  <c r="AE33" i="24"/>
  <c r="X33" i="24"/>
  <c r="Z33" i="24" s="1"/>
  <c r="AL33" i="24"/>
  <c r="AN33" i="24" s="1"/>
  <c r="F33" i="24"/>
  <c r="H33" i="24" s="1"/>
  <c r="O33" i="24" s="1"/>
  <c r="J39" i="24"/>
  <c r="L39" i="24" s="1"/>
  <c r="L18" i="25"/>
  <c r="AL19" i="26"/>
  <c r="AN19" i="26" s="1"/>
  <c r="S35" i="26"/>
  <c r="U35" i="26" s="1"/>
  <c r="H41" i="26"/>
  <c r="AL23" i="19"/>
  <c r="AE24" i="19"/>
  <c r="AG24" i="19" s="1"/>
  <c r="J27" i="19"/>
  <c r="J32" i="19"/>
  <c r="J42" i="19"/>
  <c r="L42" i="19" s="1"/>
  <c r="S19" i="20"/>
  <c r="AN20" i="21"/>
  <c r="U21" i="21"/>
  <c r="V21" i="21" s="1"/>
  <c r="X23" i="21"/>
  <c r="Z23" i="21" s="1"/>
  <c r="L38" i="21"/>
  <c r="Q39" i="21"/>
  <c r="S39" i="21" s="1"/>
  <c r="AE39" i="21"/>
  <c r="F39" i="21"/>
  <c r="H39" i="21" s="1"/>
  <c r="AL39" i="21"/>
  <c r="J18" i="22"/>
  <c r="L18" i="22" s="1"/>
  <c r="AE18" i="22"/>
  <c r="AG18" i="22" s="1"/>
  <c r="F18" i="22"/>
  <c r="AL18" i="22"/>
  <c r="AN18" i="22" s="1"/>
  <c r="AP18" i="22" s="1"/>
  <c r="V21" i="22"/>
  <c r="AE22" i="22"/>
  <c r="AG22" i="22" s="1"/>
  <c r="AL22" i="22"/>
  <c r="AN22" i="22" s="1"/>
  <c r="Q22" i="22"/>
  <c r="S22" i="22" s="1"/>
  <c r="AL26" i="22"/>
  <c r="AN26" i="22" s="1"/>
  <c r="AL30" i="22"/>
  <c r="AN30" i="22" s="1"/>
  <c r="AP30" i="22" s="1"/>
  <c r="Q42" i="22"/>
  <c r="AE42" i="22"/>
  <c r="AG42" i="22" s="1"/>
  <c r="AL42" i="22"/>
  <c r="F42" i="22"/>
  <c r="H42" i="22" s="1"/>
  <c r="AG16" i="23"/>
  <c r="L38" i="23"/>
  <c r="L39" i="23"/>
  <c r="AI44" i="23"/>
  <c r="AJ44" i="23" s="1"/>
  <c r="U45" i="23"/>
  <c r="AC45" i="23"/>
  <c r="O46" i="23"/>
  <c r="AI47" i="23"/>
  <c r="AN26" i="24"/>
  <c r="AP26" i="24" s="1"/>
  <c r="F28" i="24"/>
  <c r="H28" i="24" s="1"/>
  <c r="O28" i="24" s="1"/>
  <c r="L34" i="24"/>
  <c r="AG23" i="25"/>
  <c r="AN36" i="25"/>
  <c r="AN20" i="26"/>
  <c r="N21" i="27"/>
  <c r="O21" i="27" s="1"/>
  <c r="G41" i="20"/>
  <c r="G38" i="20"/>
  <c r="AL16" i="21"/>
  <c r="AN16" i="21" s="1"/>
  <c r="AP16" i="21" s="1"/>
  <c r="X18" i="21"/>
  <c r="Z18" i="21" s="1"/>
  <c r="AL18" i="21"/>
  <c r="AN18" i="21" s="1"/>
  <c r="AP18" i="21" s="1"/>
  <c r="Z20" i="21"/>
  <c r="J32" i="21"/>
  <c r="L32" i="21" s="1"/>
  <c r="H42" i="21"/>
  <c r="AG47" i="21"/>
  <c r="Q15" i="22"/>
  <c r="AL15" i="22"/>
  <c r="AN15" i="22" s="1"/>
  <c r="H19" i="22"/>
  <c r="U21" i="22"/>
  <c r="AC21" i="22"/>
  <c r="AN23" i="22"/>
  <c r="H27" i="22"/>
  <c r="O27" i="22" s="1"/>
  <c r="AN33" i="22"/>
  <c r="L42" i="22"/>
  <c r="S45" i="22"/>
  <c r="Q35" i="22"/>
  <c r="S35" i="22" s="1"/>
  <c r="Q17" i="23"/>
  <c r="S17" i="23" s="1"/>
  <c r="J17" i="23"/>
  <c r="AE17" i="23"/>
  <c r="AG17" i="23" s="1"/>
  <c r="H23" i="23"/>
  <c r="O23" i="23" s="1"/>
  <c r="AG30" i="23"/>
  <c r="S41" i="23"/>
  <c r="AM35" i="23"/>
  <c r="AN35" i="23" s="1"/>
  <c r="AP35" i="23" s="1"/>
  <c r="AQ35" i="23" s="1"/>
  <c r="AM41" i="23"/>
  <c r="AN41" i="23" s="1"/>
  <c r="AM38" i="23"/>
  <c r="AM34" i="23"/>
  <c r="AN34" i="23" s="1"/>
  <c r="AG22" i="24"/>
  <c r="H26" i="24"/>
  <c r="O26" i="24" s="1"/>
  <c r="AN41" i="24"/>
  <c r="H19" i="28"/>
  <c r="AN20" i="28"/>
  <c r="AP20" i="28" s="1"/>
  <c r="Q22" i="28"/>
  <c r="S22" i="28" s="1"/>
  <c r="X22" i="28"/>
  <c r="Z22" i="28" s="1"/>
  <c r="F22" i="28"/>
  <c r="H22" i="28" s="1"/>
  <c r="O22" i="28" s="1"/>
  <c r="AL22" i="28"/>
  <c r="AN22" i="28" s="1"/>
  <c r="J22" i="28"/>
  <c r="L22" i="28" s="1"/>
  <c r="AE22" i="28"/>
  <c r="AL24" i="19"/>
  <c r="AN24" i="19" s="1"/>
  <c r="AP24" i="19" s="1"/>
  <c r="Y48" i="20"/>
  <c r="Z48" i="20" s="1"/>
  <c r="AF47" i="20"/>
  <c r="AG47" i="20" s="1"/>
  <c r="AM48" i="20"/>
  <c r="AN48" i="20" s="1"/>
  <c r="AP48" i="20" s="1"/>
  <c r="AE30" i="20"/>
  <c r="AG30" i="20" s="1"/>
  <c r="X30" i="20"/>
  <c r="Z30" i="20" s="1"/>
  <c r="Q32" i="20"/>
  <c r="S32" i="20" s="1"/>
  <c r="AE32" i="20"/>
  <c r="O17" i="3" s="1"/>
  <c r="X32" i="20"/>
  <c r="J33" i="20"/>
  <c r="L33" i="20" s="1"/>
  <c r="X33" i="20"/>
  <c r="G35" i="20"/>
  <c r="H35" i="20" s="1"/>
  <c r="F18" i="21"/>
  <c r="Z25" i="21"/>
  <c r="Q31" i="21"/>
  <c r="S31" i="21" s="1"/>
  <c r="F32" i="21"/>
  <c r="H32" i="21" s="1"/>
  <c r="AE32" i="21"/>
  <c r="AG32" i="21" s="1"/>
  <c r="F43" i="21"/>
  <c r="H43" i="21" s="1"/>
  <c r="AP45" i="21"/>
  <c r="AQ45" i="21" s="1"/>
  <c r="F15" i="22"/>
  <c r="S18" i="22"/>
  <c r="X20" i="22"/>
  <c r="Z20" i="22" s="1"/>
  <c r="AN20" i="22"/>
  <c r="AP20" i="22" s="1"/>
  <c r="AN24" i="22"/>
  <c r="S26" i="22"/>
  <c r="L27" i="22"/>
  <c r="H32" i="22"/>
  <c r="X34" i="22"/>
  <c r="Z34" i="22" s="1"/>
  <c r="Z36" i="22"/>
  <c r="S42" i="22"/>
  <c r="S43" i="22"/>
  <c r="AJ46" i="22"/>
  <c r="F17" i="23"/>
  <c r="X18" i="23"/>
  <c r="Z18" i="23" s="1"/>
  <c r="AL18" i="23"/>
  <c r="AN18" i="23" s="1"/>
  <c r="AE18" i="23"/>
  <c r="AG18" i="23" s="1"/>
  <c r="J18" i="23"/>
  <c r="L18" i="23" s="1"/>
  <c r="Q18" i="23"/>
  <c r="L22" i="23"/>
  <c r="F25" i="23"/>
  <c r="AE26" i="23"/>
  <c r="AG26" i="23" s="1"/>
  <c r="AL26" i="23"/>
  <c r="Q26" i="23"/>
  <c r="S26" i="23" s="1"/>
  <c r="AN26" i="23"/>
  <c r="AP26" i="23" s="1"/>
  <c r="Z28" i="23"/>
  <c r="AG45" i="23"/>
  <c r="AF48" i="24"/>
  <c r="AG48" i="24" s="1"/>
  <c r="AM47" i="24"/>
  <c r="AN47" i="24" s="1"/>
  <c r="K48" i="24"/>
  <c r="L48" i="24" s="1"/>
  <c r="R47" i="24"/>
  <c r="S47" i="24" s="1"/>
  <c r="G48" i="24"/>
  <c r="H48" i="24" s="1"/>
  <c r="Y47" i="24"/>
  <c r="Z47" i="24" s="1"/>
  <c r="Y48" i="24"/>
  <c r="Z48" i="24" s="1"/>
  <c r="AM48" i="24"/>
  <c r="AN48" i="24" s="1"/>
  <c r="G47" i="24"/>
  <c r="H47" i="24" s="1"/>
  <c r="AF47" i="24"/>
  <c r="AG47" i="24" s="1"/>
  <c r="R48" i="24"/>
  <c r="S48" i="24" s="1"/>
  <c r="J19" i="24"/>
  <c r="L19" i="24" s="1"/>
  <c r="AE19" i="24"/>
  <c r="AG19" i="24" s="1"/>
  <c r="F19" i="24"/>
  <c r="H19" i="24" s="1"/>
  <c r="X19" i="24"/>
  <c r="Z19" i="24" s="1"/>
  <c r="Q19" i="24"/>
  <c r="S19" i="24" s="1"/>
  <c r="AL19" i="24"/>
  <c r="AN19" i="24" s="1"/>
  <c r="AP19" i="24" s="1"/>
  <c r="Z28" i="24"/>
  <c r="N44" i="24"/>
  <c r="O44" i="24" s="1"/>
  <c r="R35" i="24"/>
  <c r="S35" i="24" s="1"/>
  <c r="AB35" i="24" s="1"/>
  <c r="R42" i="24"/>
  <c r="R38" i="24"/>
  <c r="R41" i="24"/>
  <c r="R39" i="24"/>
  <c r="S39" i="24" s="1"/>
  <c r="R34" i="24"/>
  <c r="S34" i="24" s="1"/>
  <c r="AL19" i="25"/>
  <c r="AN19" i="25" s="1"/>
  <c r="AP19" i="25" s="1"/>
  <c r="H31" i="25"/>
  <c r="O31" i="25" s="1"/>
  <c r="L43" i="28"/>
  <c r="AL15" i="19"/>
  <c r="AN15" i="19" s="1"/>
  <c r="AL34" i="19"/>
  <c r="AL39" i="19"/>
  <c r="L18" i="20"/>
  <c r="X23" i="20"/>
  <c r="Z23" i="20" s="1"/>
  <c r="AL24" i="20"/>
  <c r="AN24" i="20" s="1"/>
  <c r="AP24" i="20" s="1"/>
  <c r="AE25" i="20"/>
  <c r="AG25" i="20" s="1"/>
  <c r="X25" i="20"/>
  <c r="Z25" i="20" s="1"/>
  <c r="Q27" i="20"/>
  <c r="S27" i="20" s="1"/>
  <c r="AE27" i="20"/>
  <c r="AG27" i="20" s="1"/>
  <c r="X27" i="20"/>
  <c r="Z27" i="20" s="1"/>
  <c r="J28" i="20"/>
  <c r="L28" i="20" s="1"/>
  <c r="X28" i="20"/>
  <c r="X31" i="20"/>
  <c r="Z31" i="20" s="1"/>
  <c r="Z33" i="20"/>
  <c r="G34" i="20"/>
  <c r="H34" i="20" s="1"/>
  <c r="J43" i="20"/>
  <c r="L43" i="20" s="1"/>
  <c r="X43" i="20"/>
  <c r="H16" i="21"/>
  <c r="O16" i="21" s="1"/>
  <c r="H18" i="21"/>
  <c r="O18" i="21" s="1"/>
  <c r="L22" i="21"/>
  <c r="AN23" i="21"/>
  <c r="AP23" i="21" s="1"/>
  <c r="Q36" i="21"/>
  <c r="S36" i="21" s="1"/>
  <c r="AE36" i="21"/>
  <c r="U48" i="21"/>
  <c r="V48" i="21" s="1"/>
  <c r="G38" i="21"/>
  <c r="H38" i="21" s="1"/>
  <c r="G35" i="21"/>
  <c r="H35" i="21" s="1"/>
  <c r="H15" i="22"/>
  <c r="L23" i="22"/>
  <c r="AN28" i="22"/>
  <c r="AP28" i="22" s="1"/>
  <c r="L32" i="22"/>
  <c r="AC47" i="22"/>
  <c r="H17" i="23"/>
  <c r="O17" i="23" s="1"/>
  <c r="Q19" i="23"/>
  <c r="S19" i="23" s="1"/>
  <c r="AE19" i="23"/>
  <c r="AG19" i="23" s="1"/>
  <c r="AL19" i="23"/>
  <c r="AN19" i="23" s="1"/>
  <c r="AP19" i="23" s="1"/>
  <c r="J19" i="23"/>
  <c r="X19" i="23"/>
  <c r="Z19" i="23" s="1"/>
  <c r="AG20" i="23"/>
  <c r="AG27" i="23"/>
  <c r="X16" i="24"/>
  <c r="Z16" i="24" s="1"/>
  <c r="Q23" i="24"/>
  <c r="S23" i="24" s="1"/>
  <c r="AE23" i="24"/>
  <c r="AG23" i="24" s="1"/>
  <c r="F23" i="24"/>
  <c r="H23" i="24" s="1"/>
  <c r="O23" i="24" s="1"/>
  <c r="X23" i="24"/>
  <c r="Z23" i="24" s="1"/>
  <c r="AL23" i="24"/>
  <c r="AN23" i="24" s="1"/>
  <c r="AP23" i="24" s="1"/>
  <c r="Z27" i="24"/>
  <c r="S32" i="24"/>
  <c r="AG33" i="24"/>
  <c r="Q38" i="24"/>
  <c r="AE38" i="24"/>
  <c r="J38" i="24"/>
  <c r="AL38" i="24"/>
  <c r="F38" i="24"/>
  <c r="H38" i="24" s="1"/>
  <c r="X38" i="24"/>
  <c r="Z38" i="24" s="1"/>
  <c r="F35" i="24"/>
  <c r="AJ45" i="24"/>
  <c r="S22" i="26"/>
  <c r="K34" i="18"/>
  <c r="L34" i="18" s="1"/>
  <c r="F15" i="19"/>
  <c r="H15" i="19" s="1"/>
  <c r="F34" i="19"/>
  <c r="H34" i="19" s="1"/>
  <c r="F39" i="19"/>
  <c r="H39" i="19" s="1"/>
  <c r="F25" i="20"/>
  <c r="H25" i="20" s="1"/>
  <c r="O25" i="20" s="1"/>
  <c r="X26" i="20"/>
  <c r="Z26" i="20" s="1"/>
  <c r="F27" i="20"/>
  <c r="H27" i="20" s="1"/>
  <c r="O27" i="20" s="1"/>
  <c r="F28" i="20"/>
  <c r="H28" i="20" s="1"/>
  <c r="O28" i="20" s="1"/>
  <c r="Z28" i="20"/>
  <c r="K35" i="20"/>
  <c r="L35" i="20" s="1"/>
  <c r="R39" i="20"/>
  <c r="S39" i="20" s="1"/>
  <c r="Q42" i="20"/>
  <c r="S42" i="20" s="1"/>
  <c r="AE42" i="20"/>
  <c r="AG42" i="20" s="1"/>
  <c r="F43" i="20"/>
  <c r="H43" i="20" s="1"/>
  <c r="Z43" i="20"/>
  <c r="Z45" i="20"/>
  <c r="AI45" i="20" s="1"/>
  <c r="J18" i="21"/>
  <c r="L18" i="21" s="1"/>
  <c r="J25" i="21"/>
  <c r="X25" i="21"/>
  <c r="F25" i="21"/>
  <c r="F36" i="21"/>
  <c r="H36" i="21" s="1"/>
  <c r="X39" i="21"/>
  <c r="S42" i="21"/>
  <c r="AJ46" i="21"/>
  <c r="AN47" i="21"/>
  <c r="L42" i="21"/>
  <c r="J15" i="22"/>
  <c r="L15" i="22" s="1"/>
  <c r="X22" i="22"/>
  <c r="J25" i="22"/>
  <c r="L25" i="22" s="1"/>
  <c r="AE25" i="22"/>
  <c r="AG25" i="22" s="1"/>
  <c r="AL25" i="22"/>
  <c r="AN25" i="22" s="1"/>
  <c r="AP25" i="22" s="1"/>
  <c r="Z42" i="22"/>
  <c r="AN44" i="22"/>
  <c r="AP44" i="22" s="1"/>
  <c r="AQ44" i="22" s="1"/>
  <c r="AL35" i="22"/>
  <c r="N48" i="22"/>
  <c r="O48" i="22" s="1"/>
  <c r="S15" i="23"/>
  <c r="F19" i="23"/>
  <c r="H26" i="23"/>
  <c r="O26" i="23" s="1"/>
  <c r="X27" i="23"/>
  <c r="Z27" i="23" s="1"/>
  <c r="AL27" i="23"/>
  <c r="Q27" i="23"/>
  <c r="S27" i="23" s="1"/>
  <c r="F27" i="23"/>
  <c r="H27" i="23" s="1"/>
  <c r="O27" i="23" s="1"/>
  <c r="AE31" i="23"/>
  <c r="AG31" i="23" s="1"/>
  <c r="AL31" i="23"/>
  <c r="AN31" i="23" s="1"/>
  <c r="AP31" i="23" s="1"/>
  <c r="Q31" i="23"/>
  <c r="S31" i="23" s="1"/>
  <c r="F31" i="23"/>
  <c r="H31" i="23" s="1"/>
  <c r="O31" i="23" s="1"/>
  <c r="AG43" i="23"/>
  <c r="J17" i="24"/>
  <c r="L17" i="24" s="1"/>
  <c r="X17" i="24"/>
  <c r="Z17" i="24" s="1"/>
  <c r="AL17" i="24"/>
  <c r="AN17" i="24" s="1"/>
  <c r="AP17" i="24" s="1"/>
  <c r="Q17" i="24"/>
  <c r="S17" i="24" s="1"/>
  <c r="F17" i="24"/>
  <c r="H17" i="24" s="1"/>
  <c r="O17" i="24" s="1"/>
  <c r="H18" i="24"/>
  <c r="O18" i="24" s="1"/>
  <c r="H21" i="24"/>
  <c r="Z32" i="24"/>
  <c r="Z43" i="24"/>
  <c r="AB45" i="24"/>
  <c r="AC45" i="24" s="1"/>
  <c r="AL30" i="25"/>
  <c r="Z15" i="26"/>
  <c r="H20" i="26"/>
  <c r="O20" i="26" s="1"/>
  <c r="Z45" i="26"/>
  <c r="H23" i="20"/>
  <c r="O23" i="20" s="1"/>
  <c r="AE33" i="20"/>
  <c r="AG33" i="20" s="1"/>
  <c r="AJ46" i="20"/>
  <c r="Y47" i="20"/>
  <c r="Z47" i="20" s="1"/>
  <c r="AG17" i="21"/>
  <c r="AE18" i="21"/>
  <c r="AG21" i="21"/>
  <c r="H25" i="21"/>
  <c r="O25" i="21" s="1"/>
  <c r="AG36" i="21"/>
  <c r="O46" i="21"/>
  <c r="AJ48" i="21"/>
  <c r="AB48" i="21"/>
  <c r="AC48" i="21" s="1"/>
  <c r="X18" i="22"/>
  <c r="Z22" i="22"/>
  <c r="L34" i="22"/>
  <c r="U44" i="22"/>
  <c r="V44" i="22" s="1"/>
  <c r="H19" i="23"/>
  <c r="AL39" i="23"/>
  <c r="Q39" i="23"/>
  <c r="S39" i="23" s="1"/>
  <c r="X39" i="23"/>
  <c r="AE39" i="23"/>
  <c r="AG39" i="23" s="1"/>
  <c r="AM39" i="23"/>
  <c r="AM42" i="23"/>
  <c r="AN42" i="23" s="1"/>
  <c r="AI46" i="23"/>
  <c r="AB46" i="23"/>
  <c r="AC46" i="23" s="1"/>
  <c r="AJ46" i="23"/>
  <c r="J23" i="24"/>
  <c r="AG32" i="24"/>
  <c r="U44" i="24"/>
  <c r="V44" i="24" s="1"/>
  <c r="AC44" i="24"/>
  <c r="AB44" i="24"/>
  <c r="H45" i="24"/>
  <c r="K47" i="24"/>
  <c r="L47" i="24" s="1"/>
  <c r="AM42" i="24"/>
  <c r="AM39" i="24"/>
  <c r="AN39" i="24" s="1"/>
  <c r="AP39" i="24" s="1"/>
  <c r="AM34" i="24"/>
  <c r="AM35" i="24"/>
  <c r="AN35" i="24" s="1"/>
  <c r="AP35" i="24" s="1"/>
  <c r="AM38" i="24"/>
  <c r="AN38" i="24" s="1"/>
  <c r="AP38" i="24" s="1"/>
  <c r="H22" i="25"/>
  <c r="O22" i="25" s="1"/>
  <c r="AG26" i="25"/>
  <c r="AL28" i="26"/>
  <c r="AL24" i="27"/>
  <c r="AN24" i="27" s="1"/>
  <c r="Q38" i="26"/>
  <c r="S38" i="26" s="1"/>
  <c r="AE38" i="26"/>
  <c r="F38" i="26"/>
  <c r="H38" i="26" s="1"/>
  <c r="O38" i="26" s="1"/>
  <c r="AL38" i="26"/>
  <c r="AN38" i="26" s="1"/>
  <c r="AP38" i="26" s="1"/>
  <c r="X38" i="26"/>
  <c r="Z38" i="26" s="1"/>
  <c r="L45" i="26"/>
  <c r="Z40" i="27"/>
  <c r="U21" i="28"/>
  <c r="J16" i="22"/>
  <c r="L16" i="22" s="1"/>
  <c r="X16" i="22"/>
  <c r="X23" i="22"/>
  <c r="Z23" i="22" s="1"/>
  <c r="S16" i="23"/>
  <c r="J22" i="23"/>
  <c r="Z22" i="23"/>
  <c r="H25" i="23"/>
  <c r="O25" i="23" s="1"/>
  <c r="F30" i="23"/>
  <c r="H30" i="23" s="1"/>
  <c r="O30" i="23" s="1"/>
  <c r="X32" i="23"/>
  <c r="Z32" i="23" s="1"/>
  <c r="AL33" i="23"/>
  <c r="AN33" i="23" s="1"/>
  <c r="J34" i="23"/>
  <c r="L34" i="23" s="1"/>
  <c r="X34" i="23"/>
  <c r="AG48" i="23"/>
  <c r="L25" i="24"/>
  <c r="AL30" i="24"/>
  <c r="AN30" i="24" s="1"/>
  <c r="AP30" i="24" s="1"/>
  <c r="AG30" i="24"/>
  <c r="AE41" i="24"/>
  <c r="J41" i="24"/>
  <c r="AL41" i="24"/>
  <c r="H46" i="24"/>
  <c r="S24" i="25"/>
  <c r="AL46" i="25"/>
  <c r="AE18" i="26"/>
  <c r="Z26" i="26"/>
  <c r="AN46" i="26"/>
  <c r="X59" i="21"/>
  <c r="F16" i="22"/>
  <c r="H16" i="22" s="1"/>
  <c r="O16" i="22" s="1"/>
  <c r="Z16" i="22"/>
  <c r="F23" i="22"/>
  <c r="H23" i="22" s="1"/>
  <c r="O23" i="22" s="1"/>
  <c r="Q24" i="22"/>
  <c r="S24" i="22" s="1"/>
  <c r="S36" i="22"/>
  <c r="Q39" i="22"/>
  <c r="AL41" i="22"/>
  <c r="X53" i="22"/>
  <c r="Q59" i="22"/>
  <c r="S18" i="23"/>
  <c r="J20" i="23"/>
  <c r="L20" i="23" s="1"/>
  <c r="X20" i="23"/>
  <c r="Z20" i="23" s="1"/>
  <c r="F20" i="23"/>
  <c r="H20" i="23" s="1"/>
  <c r="O20" i="23" s="1"/>
  <c r="F22" i="23"/>
  <c r="H22" i="23" s="1"/>
  <c r="O22" i="23" s="1"/>
  <c r="F32" i="23"/>
  <c r="F34" i="23"/>
  <c r="H34" i="23" s="1"/>
  <c r="Z34" i="23"/>
  <c r="H42" i="23"/>
  <c r="AQ44" i="23"/>
  <c r="AN16" i="24"/>
  <c r="AP16" i="24" s="1"/>
  <c r="AE21" i="24"/>
  <c r="AG21" i="24" s="1"/>
  <c r="AL21" i="24"/>
  <c r="AN21" i="24" s="1"/>
  <c r="AL27" i="24"/>
  <c r="AN27" i="24" s="1"/>
  <c r="AP27" i="24" s="1"/>
  <c r="F41" i="24"/>
  <c r="AG46" i="24"/>
  <c r="AF38" i="24"/>
  <c r="AG38" i="24" s="1"/>
  <c r="AF35" i="24"/>
  <c r="AG35" i="24" s="1"/>
  <c r="S15" i="25"/>
  <c r="AG19" i="25"/>
  <c r="L28" i="25"/>
  <c r="AG36" i="25"/>
  <c r="AG15" i="26"/>
  <c r="H19" i="26"/>
  <c r="Z32" i="26"/>
  <c r="Z20" i="28"/>
  <c r="AE17" i="29"/>
  <c r="AG17" i="29" s="1"/>
  <c r="J17" i="29"/>
  <c r="L17" i="29" s="1"/>
  <c r="AL17" i="29"/>
  <c r="AN17" i="29" s="1"/>
  <c r="AP17" i="29" s="1"/>
  <c r="Q17" i="29"/>
  <c r="S17" i="29" s="1"/>
  <c r="X17" i="29"/>
  <c r="Z17" i="29" s="1"/>
  <c r="F17" i="29"/>
  <c r="H17" i="29" s="1"/>
  <c r="O17" i="29" s="1"/>
  <c r="AL26" i="20"/>
  <c r="AN26" i="20" s="1"/>
  <c r="AP26" i="20" s="1"/>
  <c r="AL31" i="20"/>
  <c r="Q34" i="20"/>
  <c r="S34" i="20" s="1"/>
  <c r="Q39" i="20"/>
  <c r="K34" i="21"/>
  <c r="R38" i="21"/>
  <c r="S38" i="21" s="1"/>
  <c r="K39" i="21"/>
  <c r="G47" i="21"/>
  <c r="H47" i="21" s="1"/>
  <c r="Y48" i="22"/>
  <c r="Z48" i="22" s="1"/>
  <c r="AI48" i="22" s="1"/>
  <c r="AF47" i="22"/>
  <c r="AG47" i="22" s="1"/>
  <c r="AM48" i="22"/>
  <c r="AN48" i="22" s="1"/>
  <c r="K47" i="22"/>
  <c r="L47" i="22" s="1"/>
  <c r="Z18" i="22"/>
  <c r="AE23" i="22"/>
  <c r="J24" i="22"/>
  <c r="AE27" i="22"/>
  <c r="AG27" i="22" s="1"/>
  <c r="X27" i="22"/>
  <c r="Z27" i="22" s="1"/>
  <c r="Q30" i="22"/>
  <c r="S30" i="22" s="1"/>
  <c r="J38" i="22"/>
  <c r="L38" i="22" s="1"/>
  <c r="X38" i="22"/>
  <c r="F38" i="22"/>
  <c r="J39" i="22"/>
  <c r="L39" i="22" s="1"/>
  <c r="AE39" i="22"/>
  <c r="AG39" i="22" s="1"/>
  <c r="K41" i="22"/>
  <c r="L41" i="22" s="1"/>
  <c r="R48" i="22"/>
  <c r="S48" i="22" s="1"/>
  <c r="G41" i="22"/>
  <c r="H41" i="22" s="1"/>
  <c r="G38" i="22"/>
  <c r="AG21" i="23"/>
  <c r="AG28" i="23"/>
  <c r="F43" i="23"/>
  <c r="AN44" i="23"/>
  <c r="AP44" i="23" s="1"/>
  <c r="AG15" i="24"/>
  <c r="J24" i="24"/>
  <c r="L24" i="24" s="1"/>
  <c r="X24" i="24"/>
  <c r="Z24" i="24" s="1"/>
  <c r="F24" i="24"/>
  <c r="H24" i="24" s="1"/>
  <c r="O24" i="24" s="1"/>
  <c r="AL24" i="24"/>
  <c r="AN28" i="24"/>
  <c r="L22" i="25"/>
  <c r="X23" i="25"/>
  <c r="Z23" i="25" s="1"/>
  <c r="AN24" i="25"/>
  <c r="AP24" i="25" s="1"/>
  <c r="Z28" i="25"/>
  <c r="J35" i="25"/>
  <c r="L35" i="25" s="1"/>
  <c r="X35" i="25"/>
  <c r="Z35" i="25" s="1"/>
  <c r="Q35" i="25"/>
  <c r="S35" i="25" s="1"/>
  <c r="AE35" i="25"/>
  <c r="AG35" i="25" s="1"/>
  <c r="AN22" i="27"/>
  <c r="AP22" i="27" s="1"/>
  <c r="AN17" i="28"/>
  <c r="AP17" i="28" s="1"/>
  <c r="AL23" i="21"/>
  <c r="Q41" i="21"/>
  <c r="S41" i="21" s="1"/>
  <c r="H18" i="22"/>
  <c r="O18" i="22" s="1"/>
  <c r="X28" i="22"/>
  <c r="F28" i="22"/>
  <c r="H28" i="22" s="1"/>
  <c r="O28" i="22" s="1"/>
  <c r="AN31" i="22"/>
  <c r="AP31" i="22" s="1"/>
  <c r="Q34" i="22"/>
  <c r="S34" i="22" s="1"/>
  <c r="Z35" i="22"/>
  <c r="Q22" i="23"/>
  <c r="S22" i="23" s="1"/>
  <c r="AG33" i="23"/>
  <c r="AC44" i="23"/>
  <c r="U44" i="23"/>
  <c r="J15" i="24"/>
  <c r="L15" i="24" s="1"/>
  <c r="X15" i="24"/>
  <c r="Z15" i="24" s="1"/>
  <c r="F15" i="24"/>
  <c r="H15" i="24" s="1"/>
  <c r="AL15" i="24"/>
  <c r="AN15" i="24" s="1"/>
  <c r="Q15" i="24"/>
  <c r="S15" i="24" s="1"/>
  <c r="AN24" i="24"/>
  <c r="AP24" i="24" s="1"/>
  <c r="S27" i="24"/>
  <c r="H31" i="24"/>
  <c r="O31" i="24" s="1"/>
  <c r="J36" i="24"/>
  <c r="L36" i="24" s="1"/>
  <c r="X36" i="24"/>
  <c r="Z36" i="24" s="1"/>
  <c r="Q36" i="24"/>
  <c r="S36" i="24" s="1"/>
  <c r="AL36" i="24"/>
  <c r="AN36" i="24" s="1"/>
  <c r="AP36" i="24" s="1"/>
  <c r="X41" i="24"/>
  <c r="Z41" i="24" s="1"/>
  <c r="N45" i="24"/>
  <c r="N21" i="25"/>
  <c r="V21" i="25"/>
  <c r="AG28" i="25"/>
  <c r="X36" i="25"/>
  <c r="Z36" i="25" s="1"/>
  <c r="L19" i="27"/>
  <c r="AN35" i="27"/>
  <c r="F23" i="21"/>
  <c r="H23" i="21" s="1"/>
  <c r="O23" i="21" s="1"/>
  <c r="AL28" i="21"/>
  <c r="AN28" i="21" s="1"/>
  <c r="AP28" i="21" s="1"/>
  <c r="AL33" i="21"/>
  <c r="AN33" i="21" s="1"/>
  <c r="AL38" i="21"/>
  <c r="AL43" i="21"/>
  <c r="AN43" i="21" s="1"/>
  <c r="AL59" i="21"/>
  <c r="Q16" i="22"/>
  <c r="S16" i="22" s="1"/>
  <c r="F20" i="22"/>
  <c r="H20" i="22" s="1"/>
  <c r="O20" i="22" s="1"/>
  <c r="AE24" i="22"/>
  <c r="AG24" i="22" s="1"/>
  <c r="F34" i="22"/>
  <c r="H34" i="22" s="1"/>
  <c r="L17" i="23"/>
  <c r="L19" i="23"/>
  <c r="AL22" i="23"/>
  <c r="AN22" i="23" s="1"/>
  <c r="AP22" i="23" s="1"/>
  <c r="S23" i="23"/>
  <c r="Q34" i="23"/>
  <c r="S34" i="23" s="1"/>
  <c r="AL34" i="23"/>
  <c r="F22" i="24"/>
  <c r="H22" i="24" s="1"/>
  <c r="O22" i="24" s="1"/>
  <c r="AL25" i="24"/>
  <c r="AN25" i="24" s="1"/>
  <c r="AP25" i="24" s="1"/>
  <c r="AG25" i="24"/>
  <c r="AL32" i="24"/>
  <c r="AN32" i="24" s="1"/>
  <c r="AP32" i="24" s="1"/>
  <c r="H35" i="24"/>
  <c r="F36" i="24"/>
  <c r="H36" i="24" s="1"/>
  <c r="AC46" i="24"/>
  <c r="AL16" i="25"/>
  <c r="AN16" i="25" s="1"/>
  <c r="AP16" i="25" s="1"/>
  <c r="AG16" i="25"/>
  <c r="S18" i="25"/>
  <c r="X21" i="26"/>
  <c r="Z21" i="26" s="1"/>
  <c r="AE21" i="26"/>
  <c r="AG21" i="26" s="1"/>
  <c r="AL21" i="26"/>
  <c r="AN21" i="26" s="1"/>
  <c r="Z15" i="27"/>
  <c r="Z34" i="27"/>
  <c r="S45" i="27"/>
  <c r="AG16" i="28"/>
  <c r="K47" i="21"/>
  <c r="L47" i="21" s="1"/>
  <c r="AL21" i="22"/>
  <c r="AN21" i="22" s="1"/>
  <c r="Q23" i="22"/>
  <c r="S23" i="22" s="1"/>
  <c r="S31" i="22"/>
  <c r="J33" i="22"/>
  <c r="L33" i="22" s="1"/>
  <c r="X33" i="22"/>
  <c r="Z33" i="22" s="1"/>
  <c r="F33" i="22"/>
  <c r="H33" i="22" s="1"/>
  <c r="O33" i="22" s="1"/>
  <c r="AL39" i="22"/>
  <c r="Q20" i="23"/>
  <c r="S20" i="23" s="1"/>
  <c r="AL20" i="23"/>
  <c r="AN20" i="23" s="1"/>
  <c r="AP20" i="23" s="1"/>
  <c r="Q32" i="23"/>
  <c r="S32" i="23" s="1"/>
  <c r="AB45" i="23"/>
  <c r="Q16" i="24"/>
  <c r="S16" i="24" s="1"/>
  <c r="AL20" i="24"/>
  <c r="AN20" i="24" s="1"/>
  <c r="AP20" i="24" s="1"/>
  <c r="L28" i="24"/>
  <c r="AF41" i="24"/>
  <c r="AG41" i="24" s="1"/>
  <c r="U46" i="24"/>
  <c r="V46" i="24" s="1"/>
  <c r="S21" i="25"/>
  <c r="H34" i="25"/>
  <c r="AN38" i="25"/>
  <c r="S16" i="26"/>
  <c r="AE20" i="26"/>
  <c r="AG28" i="26"/>
  <c r="S33" i="26"/>
  <c r="AL16" i="22"/>
  <c r="AN16" i="22" s="1"/>
  <c r="AP16" i="22" s="1"/>
  <c r="J30" i="22"/>
  <c r="L30" i="22" s="1"/>
  <c r="Q32" i="22"/>
  <c r="S32" i="22" s="1"/>
  <c r="AE32" i="22"/>
  <c r="AG32" i="22" s="1"/>
  <c r="L35" i="22"/>
  <c r="S39" i="22"/>
  <c r="AN27" i="23"/>
  <c r="AP27" i="23" s="1"/>
  <c r="AL32" i="23"/>
  <c r="U35" i="23"/>
  <c r="L41" i="23"/>
  <c r="H20" i="24"/>
  <c r="O20" i="24" s="1"/>
  <c r="S28" i="24"/>
  <c r="N35" i="24"/>
  <c r="L25" i="25"/>
  <c r="Z16" i="26"/>
  <c r="AG18" i="26"/>
  <c r="AN28" i="26"/>
  <c r="AP28" i="26" s="1"/>
  <c r="H33" i="27"/>
  <c r="S31" i="28"/>
  <c r="X18" i="25"/>
  <c r="Z18" i="25" s="1"/>
  <c r="F20" i="25"/>
  <c r="AL22" i="26"/>
  <c r="AN22" i="26" s="1"/>
  <c r="J22" i="26"/>
  <c r="L22" i="26" s="1"/>
  <c r="X22" i="26"/>
  <c r="Z22" i="26" s="1"/>
  <c r="F22" i="26"/>
  <c r="H22" i="26" s="1"/>
  <c r="O22" i="26" s="1"/>
  <c r="AE22" i="26"/>
  <c r="AG22" i="26" s="1"/>
  <c r="K44" i="26"/>
  <c r="K46" i="26"/>
  <c r="L46" i="26" s="1"/>
  <c r="K43" i="26"/>
  <c r="L43" i="26" s="1"/>
  <c r="H15" i="27"/>
  <c r="AL23" i="27"/>
  <c r="S26" i="38"/>
  <c r="U47" i="41"/>
  <c r="V47" i="41" s="1"/>
  <c r="AL25" i="23"/>
  <c r="AN25" i="23" s="1"/>
  <c r="AP25" i="23" s="1"/>
  <c r="Q28" i="23"/>
  <c r="S28" i="23" s="1"/>
  <c r="AL30" i="23"/>
  <c r="AN30" i="23" s="1"/>
  <c r="Q33" i="23"/>
  <c r="S33" i="23" s="1"/>
  <c r="AE36" i="23"/>
  <c r="AG36" i="23" s="1"/>
  <c r="X36" i="23"/>
  <c r="Z36" i="23" s="1"/>
  <c r="S38" i="23"/>
  <c r="H41" i="24"/>
  <c r="AE35" i="24"/>
  <c r="AI45" i="24"/>
  <c r="X21" i="25"/>
  <c r="Z21" i="25" s="1"/>
  <c r="S22" i="25"/>
  <c r="AN28" i="25"/>
  <c r="AP28" i="25" s="1"/>
  <c r="AE31" i="25"/>
  <c r="AG31" i="25"/>
  <c r="Z34" i="25"/>
  <c r="Z17" i="26"/>
  <c r="X36" i="26"/>
  <c r="Z36" i="26" s="1"/>
  <c r="L37" i="26"/>
  <c r="S15" i="29"/>
  <c r="AB50" i="40"/>
  <c r="F36" i="23"/>
  <c r="H36" i="23" s="1"/>
  <c r="Q53" i="23"/>
  <c r="J59" i="23"/>
  <c r="X43" i="25"/>
  <c r="Q43" i="25"/>
  <c r="AL43" i="25"/>
  <c r="J45" i="25"/>
  <c r="L45" i="25" s="1"/>
  <c r="AE45" i="25"/>
  <c r="AG45" i="25" s="1"/>
  <c r="AL45" i="25"/>
  <c r="AN45" i="25" s="1"/>
  <c r="F15" i="26"/>
  <c r="H15" i="26" s="1"/>
  <c r="AE25" i="26"/>
  <c r="AG25" i="26" s="1"/>
  <c r="AL25" i="26"/>
  <c r="AN25" i="26" s="1"/>
  <c r="AP25" i="26" s="1"/>
  <c r="Q25" i="26"/>
  <c r="S25" i="26" s="1"/>
  <c r="X25" i="26"/>
  <c r="Z25" i="26" s="1"/>
  <c r="AG26" i="26"/>
  <c r="AE35" i="26"/>
  <c r="AG35" i="26" s="1"/>
  <c r="J35" i="26"/>
  <c r="L35" i="26" s="1"/>
  <c r="X35" i="26"/>
  <c r="Z35" i="26" s="1"/>
  <c r="AJ35" i="26" s="1"/>
  <c r="AL35" i="26"/>
  <c r="AN35" i="26" s="1"/>
  <c r="F35" i="26"/>
  <c r="H35" i="26" s="1"/>
  <c r="O35" i="26" s="1"/>
  <c r="L23" i="27"/>
  <c r="Z25" i="27"/>
  <c r="H19" i="30"/>
  <c r="AG20" i="30"/>
  <c r="K47" i="23"/>
  <c r="L47" i="23" s="1"/>
  <c r="R48" i="23"/>
  <c r="S48" i="23" s="1"/>
  <c r="Y47" i="23"/>
  <c r="Z47" i="23" s="1"/>
  <c r="G47" i="23"/>
  <c r="H47" i="23" s="1"/>
  <c r="S43" i="23"/>
  <c r="R47" i="23"/>
  <c r="S47" i="23" s="1"/>
  <c r="AM47" i="23"/>
  <c r="AN47" i="23" s="1"/>
  <c r="Q18" i="24"/>
  <c r="S18" i="24" s="1"/>
  <c r="AE26" i="24"/>
  <c r="AG26" i="24" s="1"/>
  <c r="J26" i="24"/>
  <c r="L26" i="24" s="1"/>
  <c r="L33" i="24"/>
  <c r="L43" i="24"/>
  <c r="S30" i="25"/>
  <c r="X32" i="25"/>
  <c r="F32" i="25"/>
  <c r="AE32" i="25"/>
  <c r="AG34" i="25"/>
  <c r="H45" i="25"/>
  <c r="L23" i="26"/>
  <c r="F26" i="26"/>
  <c r="J26" i="26"/>
  <c r="L26" i="26" s="1"/>
  <c r="AL26" i="26"/>
  <c r="AN26" i="26" s="1"/>
  <c r="Q26" i="26"/>
  <c r="S26" i="26" s="1"/>
  <c r="AE32" i="26"/>
  <c r="AG32" i="26" s="1"/>
  <c r="Q32" i="26"/>
  <c r="AL32" i="26"/>
  <c r="AN32" i="26" s="1"/>
  <c r="J32" i="26"/>
  <c r="L32" i="26" s="1"/>
  <c r="F32" i="26"/>
  <c r="H32" i="26" s="1"/>
  <c r="AG17" i="27"/>
  <c r="H35" i="28"/>
  <c r="O35" i="28" s="1"/>
  <c r="AL42" i="24"/>
  <c r="AP46" i="24"/>
  <c r="K41" i="24"/>
  <c r="L41" i="24" s="1"/>
  <c r="K38" i="24"/>
  <c r="L38" i="24" s="1"/>
  <c r="AN18" i="25"/>
  <c r="AP18" i="25" s="1"/>
  <c r="AN21" i="25"/>
  <c r="S25" i="25"/>
  <c r="L26" i="25"/>
  <c r="J34" i="25"/>
  <c r="L34" i="25" s="1"/>
  <c r="Q34" i="25"/>
  <c r="S34" i="25" s="1"/>
  <c r="AE34" i="25"/>
  <c r="AL34" i="25"/>
  <c r="AN34" i="25" s="1"/>
  <c r="AP34" i="25" s="1"/>
  <c r="AL41" i="25"/>
  <c r="AN41" i="25" s="1"/>
  <c r="AP41" i="25" s="1"/>
  <c r="Q17" i="26"/>
  <c r="S17" i="26" s="1"/>
  <c r="AE17" i="26"/>
  <c r="AG17" i="26" s="1"/>
  <c r="AL17" i="26"/>
  <c r="AN17" i="26" s="1"/>
  <c r="AP17" i="26" s="1"/>
  <c r="J17" i="26"/>
  <c r="L17" i="26" s="1"/>
  <c r="F17" i="26"/>
  <c r="X18" i="26"/>
  <c r="Q18" i="26"/>
  <c r="S18" i="26" s="1"/>
  <c r="F18" i="26"/>
  <c r="H18" i="26" s="1"/>
  <c r="O18" i="26" s="1"/>
  <c r="AL18" i="26"/>
  <c r="Q22" i="26"/>
  <c r="L24" i="26"/>
  <c r="H26" i="26"/>
  <c r="O26" i="26" s="1"/>
  <c r="AE30" i="26"/>
  <c r="J30" i="26"/>
  <c r="L30" i="26" s="1"/>
  <c r="F30" i="26"/>
  <c r="H30" i="26" s="1"/>
  <c r="X30" i="26"/>
  <c r="Z30" i="26" s="1"/>
  <c r="H33" i="26"/>
  <c r="AE22" i="27"/>
  <c r="AG22" i="27" s="1"/>
  <c r="S23" i="27"/>
  <c r="H32" i="27"/>
  <c r="AL34" i="24"/>
  <c r="AL39" i="24"/>
  <c r="AN22" i="25"/>
  <c r="AP22" i="25" s="1"/>
  <c r="H30" i="25"/>
  <c r="AN35" i="25"/>
  <c r="J40" i="25"/>
  <c r="L40" i="25" s="1"/>
  <c r="X40" i="25"/>
  <c r="L15" i="26"/>
  <c r="AG45" i="26"/>
  <c r="H41" i="28"/>
  <c r="AL22" i="24"/>
  <c r="AN22" i="24" s="1"/>
  <c r="Q25" i="24"/>
  <c r="S25" i="24" s="1"/>
  <c r="Q30" i="24"/>
  <c r="S30" i="24" s="1"/>
  <c r="F34" i="24"/>
  <c r="H34" i="24" s="1"/>
  <c r="F39" i="24"/>
  <c r="H39" i="24" s="1"/>
  <c r="Q16" i="25"/>
  <c r="AE26" i="25"/>
  <c r="X26" i="25"/>
  <c r="Z26" i="25" s="1"/>
  <c r="X27" i="25"/>
  <c r="Z27" i="25" s="1"/>
  <c r="F27" i="25"/>
  <c r="H27" i="25" s="1"/>
  <c r="O27" i="25" s="1"/>
  <c r="Q28" i="25"/>
  <c r="S28" i="25" s="1"/>
  <c r="L31" i="25"/>
  <c r="Q33" i="25"/>
  <c r="F40" i="25"/>
  <c r="H40" i="25" s="1"/>
  <c r="Z40" i="25"/>
  <c r="H41" i="25"/>
  <c r="H17" i="26"/>
  <c r="O17" i="26" s="1"/>
  <c r="X20" i="26"/>
  <c r="X24" i="26"/>
  <c r="Z24" i="26" s="1"/>
  <c r="AG33" i="26"/>
  <c r="F40" i="26"/>
  <c r="H40" i="26" s="1"/>
  <c r="AN33" i="27"/>
  <c r="R46" i="27"/>
  <c r="S46" i="27" s="1"/>
  <c r="R44" i="27"/>
  <c r="S37" i="27"/>
  <c r="R43" i="27"/>
  <c r="S43" i="27" s="1"/>
  <c r="X34" i="24"/>
  <c r="Z34" i="24" s="1"/>
  <c r="X39" i="24"/>
  <c r="Z39" i="24" s="1"/>
  <c r="J15" i="25"/>
  <c r="L15" i="25" s="1"/>
  <c r="S16" i="25"/>
  <c r="F18" i="25"/>
  <c r="H18" i="25" s="1"/>
  <c r="O18" i="25" s="1"/>
  <c r="Q23" i="25"/>
  <c r="S23" i="25" s="1"/>
  <c r="F23" i="25"/>
  <c r="H23" i="25" s="1"/>
  <c r="O23" i="25" s="1"/>
  <c r="J24" i="25"/>
  <c r="L24" i="25" s="1"/>
  <c r="X24" i="25"/>
  <c r="AL25" i="25"/>
  <c r="AN25" i="25" s="1"/>
  <c r="F26" i="25"/>
  <c r="H26" i="25" s="1"/>
  <c r="O26" i="25" s="1"/>
  <c r="Q36" i="25"/>
  <c r="S36" i="25" s="1"/>
  <c r="Z18" i="26"/>
  <c r="Z20" i="26"/>
  <c r="AE46" i="26"/>
  <c r="Q46" i="26"/>
  <c r="X46" i="26"/>
  <c r="Z46" i="26" s="1"/>
  <c r="H43" i="26"/>
  <c r="L15" i="27"/>
  <c r="Q19" i="27"/>
  <c r="S19" i="27" s="1"/>
  <c r="AE27" i="27"/>
  <c r="AG27" i="27" s="1"/>
  <c r="J27" i="27"/>
  <c r="L27" i="27" s="1"/>
  <c r="Q27" i="27"/>
  <c r="S27" i="27" s="1"/>
  <c r="AL27" i="27"/>
  <c r="AN27" i="27" s="1"/>
  <c r="AP27" i="27" s="1"/>
  <c r="X27" i="27"/>
  <c r="Z27" i="27" s="1"/>
  <c r="X28" i="27"/>
  <c r="Z28" i="27" s="1"/>
  <c r="L31" i="27"/>
  <c r="AE34" i="27"/>
  <c r="AG34" i="27" s="1"/>
  <c r="J34" i="27"/>
  <c r="AL34" i="27"/>
  <c r="AN34" i="27" s="1"/>
  <c r="Q34" i="27"/>
  <c r="S34" i="27" s="1"/>
  <c r="X34" i="27"/>
  <c r="AE44" i="28"/>
  <c r="J44" i="28"/>
  <c r="Q44" i="28"/>
  <c r="X44" i="28"/>
  <c r="Z44" i="28" s="1"/>
  <c r="AL44" i="28"/>
  <c r="AN44" i="28" s="1"/>
  <c r="AP44" i="28" s="1"/>
  <c r="AL43" i="23"/>
  <c r="AN43" i="23" s="1"/>
  <c r="AP43" i="23" s="1"/>
  <c r="AE21" i="25"/>
  <c r="AG21" i="25" s="1"/>
  <c r="X22" i="25"/>
  <c r="Z22" i="25" s="1"/>
  <c r="Z24" i="25"/>
  <c r="AE40" i="25"/>
  <c r="AG40" i="25" s="1"/>
  <c r="Q44" i="25"/>
  <c r="F44" i="25"/>
  <c r="L19" i="26"/>
  <c r="N21" i="26"/>
  <c r="O21" i="26" s="1"/>
  <c r="AL33" i="26"/>
  <c r="L40" i="26"/>
  <c r="AE41" i="26"/>
  <c r="AG41" i="26" s="1"/>
  <c r="AL41" i="26"/>
  <c r="AN41" i="26" s="1"/>
  <c r="AP41" i="26" s="1"/>
  <c r="J41" i="26"/>
  <c r="L41" i="26" s="1"/>
  <c r="Q41" i="26"/>
  <c r="J18" i="27"/>
  <c r="L18" i="27" s="1"/>
  <c r="X18" i="27"/>
  <c r="Z18" i="27" s="1"/>
  <c r="F18" i="27"/>
  <c r="AE18" i="27"/>
  <c r="AG18" i="27" s="1"/>
  <c r="AL18" i="27"/>
  <c r="AN18" i="27" s="1"/>
  <c r="AN20" i="27"/>
  <c r="AP20" i="27" s="1"/>
  <c r="AN23" i="27"/>
  <c r="AP23" i="27" s="1"/>
  <c r="Q41" i="27"/>
  <c r="S41" i="27" s="1"/>
  <c r="AE41" i="27"/>
  <c r="J41" i="27"/>
  <c r="L41" i="27" s="1"/>
  <c r="AL41" i="27"/>
  <c r="AN41" i="27" s="1"/>
  <c r="X41" i="27"/>
  <c r="AF44" i="27"/>
  <c r="AF46" i="27"/>
  <c r="AF43" i="27"/>
  <c r="AG43" i="27" s="1"/>
  <c r="AG37" i="27"/>
  <c r="J16" i="28"/>
  <c r="L16" i="28" s="1"/>
  <c r="Q16" i="28"/>
  <c r="S16" i="28" s="1"/>
  <c r="AL16" i="28"/>
  <c r="X16" i="28"/>
  <c r="Z16" i="28" s="1"/>
  <c r="F16" i="28"/>
  <c r="H16" i="28" s="1"/>
  <c r="O16" i="28" s="1"/>
  <c r="AN25" i="28"/>
  <c r="AP25" i="28" s="1"/>
  <c r="H25" i="25"/>
  <c r="O25" i="25" s="1"/>
  <c r="X38" i="25"/>
  <c r="Z38" i="25" s="1"/>
  <c r="F38" i="25"/>
  <c r="H38" i="25" s="1"/>
  <c r="O38" i="25" s="1"/>
  <c r="AE38" i="25"/>
  <c r="AG38" i="25" s="1"/>
  <c r="AE16" i="26"/>
  <c r="AG16" i="26" s="1"/>
  <c r="J20" i="26"/>
  <c r="L20" i="26" s="1"/>
  <c r="Q20" i="26"/>
  <c r="S20" i="26" s="1"/>
  <c r="AG20" i="26"/>
  <c r="S23" i="26"/>
  <c r="X27" i="26"/>
  <c r="Z27" i="26" s="1"/>
  <c r="F27" i="26"/>
  <c r="H27" i="26" s="1"/>
  <c r="O27" i="26" s="1"/>
  <c r="AE27" i="26"/>
  <c r="AG27" i="26" s="1"/>
  <c r="J27" i="26"/>
  <c r="L27" i="26" s="1"/>
  <c r="S28" i="26"/>
  <c r="AG38" i="26"/>
  <c r="J44" i="26"/>
  <c r="Q44" i="26"/>
  <c r="AE44" i="26"/>
  <c r="X44" i="26"/>
  <c r="R43" i="26"/>
  <c r="S37" i="26"/>
  <c r="R46" i="26"/>
  <c r="R44" i="26"/>
  <c r="S44" i="26" s="1"/>
  <c r="J20" i="27"/>
  <c r="L20" i="27" s="1"/>
  <c r="Q20" i="27"/>
  <c r="S20" i="27" s="1"/>
  <c r="AE20" i="27"/>
  <c r="AL20" i="27"/>
  <c r="F20" i="27"/>
  <c r="AL21" i="27"/>
  <c r="AN21" i="27" s="1"/>
  <c r="Q24" i="27"/>
  <c r="S24" i="27" s="1"/>
  <c r="AE24" i="27"/>
  <c r="AG24" i="27" s="1"/>
  <c r="X24" i="27"/>
  <c r="Z24" i="27" s="1"/>
  <c r="F24" i="27"/>
  <c r="H24" i="27" s="1"/>
  <c r="O24" i="27" s="1"/>
  <c r="J24" i="27"/>
  <c r="L24" i="27" s="1"/>
  <c r="J25" i="27"/>
  <c r="L25" i="27" s="1"/>
  <c r="X25" i="27"/>
  <c r="Q25" i="27"/>
  <c r="S25" i="27" s="1"/>
  <c r="AE25" i="27"/>
  <c r="AG25" i="27" s="1"/>
  <c r="AL25" i="27"/>
  <c r="F25" i="27"/>
  <c r="H25" i="27" s="1"/>
  <c r="O25" i="27" s="1"/>
  <c r="H26" i="27"/>
  <c r="O26" i="27" s="1"/>
  <c r="H34" i="27"/>
  <c r="S35" i="27"/>
  <c r="AM43" i="27"/>
  <c r="AN43" i="27" s="1"/>
  <c r="AM46" i="27"/>
  <c r="AN37" i="27"/>
  <c r="AP37" i="27" s="1"/>
  <c r="AM44" i="27"/>
  <c r="AN44" i="27" s="1"/>
  <c r="F41" i="27"/>
  <c r="H41" i="27" s="1"/>
  <c r="X26" i="28"/>
  <c r="X35" i="28"/>
  <c r="S43" i="28"/>
  <c r="AN18" i="26"/>
  <c r="AP18" i="26" s="1"/>
  <c r="S24" i="26"/>
  <c r="AN33" i="26"/>
  <c r="AF46" i="26"/>
  <c r="AF43" i="26"/>
  <c r="AG43" i="26" s="1"/>
  <c r="H18" i="27"/>
  <c r="O18" i="27" s="1"/>
  <c r="Z33" i="27"/>
  <c r="X18" i="28"/>
  <c r="L16" i="29"/>
  <c r="L24" i="30"/>
  <c r="J20" i="25"/>
  <c r="AL28" i="25"/>
  <c r="AL33" i="25"/>
  <c r="J15" i="26"/>
  <c r="H28" i="26"/>
  <c r="O28" i="26" s="1"/>
  <c r="AG37" i="26"/>
  <c r="S41" i="26"/>
  <c r="H20" i="27"/>
  <c r="O20" i="27" s="1"/>
  <c r="U21" i="27"/>
  <c r="S28" i="27"/>
  <c r="AE30" i="27"/>
  <c r="AG30" i="27" s="1"/>
  <c r="J30" i="27"/>
  <c r="L30" i="27" s="1"/>
  <c r="AL30" i="27"/>
  <c r="AN30" i="27" s="1"/>
  <c r="AP30" i="27" s="1"/>
  <c r="Q30" i="27"/>
  <c r="S30" i="27" s="1"/>
  <c r="L43" i="27"/>
  <c r="Q46" i="27"/>
  <c r="X46" i="27"/>
  <c r="F46" i="27"/>
  <c r="H46" i="27" s="1"/>
  <c r="AL46" i="27"/>
  <c r="J46" i="27"/>
  <c r="L20" i="28"/>
  <c r="L32" i="28"/>
  <c r="X45" i="28"/>
  <c r="Z45" i="28" s="1"/>
  <c r="Z33" i="29"/>
  <c r="AL16" i="26"/>
  <c r="F23" i="26"/>
  <c r="H23" i="26" s="1"/>
  <c r="O23" i="26" s="1"/>
  <c r="X23" i="26"/>
  <c r="Z23" i="26" s="1"/>
  <c r="Q34" i="26"/>
  <c r="S34" i="26" s="1"/>
  <c r="AE34" i="26"/>
  <c r="AG34" i="26" s="1"/>
  <c r="F34" i="26"/>
  <c r="H34" i="26" s="1"/>
  <c r="Q15" i="27"/>
  <c r="S15" i="27" s="1"/>
  <c r="AN25" i="27"/>
  <c r="AP25" i="27" s="1"/>
  <c r="AG26" i="27"/>
  <c r="Z41" i="27"/>
  <c r="U21" i="29"/>
  <c r="AL31" i="25"/>
  <c r="AN31" i="25" s="1"/>
  <c r="F16" i="26"/>
  <c r="H16" i="26" s="1"/>
  <c r="O16" i="26" s="1"/>
  <c r="AN16" i="26"/>
  <c r="AP16" i="26" s="1"/>
  <c r="Q19" i="26"/>
  <c r="S19" i="26" s="1"/>
  <c r="AG30" i="26"/>
  <c r="S32" i="26"/>
  <c r="S36" i="26"/>
  <c r="AP37" i="26"/>
  <c r="AF44" i="26"/>
  <c r="Q17" i="27"/>
  <c r="S17" i="27" s="1"/>
  <c r="AE17" i="27"/>
  <c r="F17" i="27"/>
  <c r="H17" i="27" s="1"/>
  <c r="O17" i="27" s="1"/>
  <c r="AL26" i="27"/>
  <c r="AN26" i="27" s="1"/>
  <c r="AP26" i="27" s="1"/>
  <c r="H30" i="27"/>
  <c r="N37" i="27"/>
  <c r="AL40" i="27"/>
  <c r="AN40" i="27" s="1"/>
  <c r="AP40" i="27" s="1"/>
  <c r="Z43" i="27"/>
  <c r="S20" i="28"/>
  <c r="Q27" i="28"/>
  <c r="H28" i="31"/>
  <c r="O28" i="31" s="1"/>
  <c r="N21" i="32"/>
  <c r="V21" i="32"/>
  <c r="U21" i="32"/>
  <c r="L30" i="29"/>
  <c r="AL20" i="25"/>
  <c r="AL15" i="26"/>
  <c r="AN15" i="26" s="1"/>
  <c r="AE19" i="26"/>
  <c r="Z31" i="26"/>
  <c r="Y44" i="26"/>
  <c r="Z37" i="26"/>
  <c r="Z40" i="26"/>
  <c r="F45" i="26"/>
  <c r="H45" i="26" s="1"/>
  <c r="J16" i="27"/>
  <c r="L16" i="27" s="1"/>
  <c r="X16" i="27"/>
  <c r="Z16" i="27" s="1"/>
  <c r="F16" i="27"/>
  <c r="H16" i="27" s="1"/>
  <c r="O16" i="27" s="1"/>
  <c r="AE16" i="27"/>
  <c r="AG16" i="27" s="1"/>
  <c r="AE35" i="27"/>
  <c r="J35" i="27"/>
  <c r="X35" i="27"/>
  <c r="Z35" i="27" s="1"/>
  <c r="AJ35" i="27" s="1"/>
  <c r="F35" i="27"/>
  <c r="Q35" i="27"/>
  <c r="AN16" i="28"/>
  <c r="AG22" i="28"/>
  <c r="J33" i="28"/>
  <c r="X33" i="28"/>
  <c r="Z33" i="28" s="1"/>
  <c r="F33" i="28"/>
  <c r="AE33" i="28"/>
  <c r="AG33" i="28" s="1"/>
  <c r="Q33" i="28"/>
  <c r="S33" i="28" s="1"/>
  <c r="AL33" i="28"/>
  <c r="L34" i="28"/>
  <c r="Z18" i="29"/>
  <c r="AG31" i="29"/>
  <c r="H27" i="30"/>
  <c r="O27" i="30" s="1"/>
  <c r="AG28" i="30"/>
  <c r="AG19" i="26"/>
  <c r="Q23" i="26"/>
  <c r="F31" i="26"/>
  <c r="L33" i="26"/>
  <c r="Q43" i="26"/>
  <c r="X43" i="26"/>
  <c r="Z43" i="26" s="1"/>
  <c r="AG20" i="27"/>
  <c r="L34" i="27"/>
  <c r="H35" i="27"/>
  <c r="O35" i="27" s="1"/>
  <c r="X36" i="27"/>
  <c r="Z36" i="27" s="1"/>
  <c r="AN36" i="27"/>
  <c r="AP36" i="27" s="1"/>
  <c r="X38" i="27"/>
  <c r="Z38" i="27" s="1"/>
  <c r="Z37" i="27"/>
  <c r="Y46" i="27"/>
  <c r="Y44" i="27"/>
  <c r="AN23" i="28"/>
  <c r="AN30" i="28"/>
  <c r="AL41" i="28"/>
  <c r="AN41" i="28" s="1"/>
  <c r="AP41" i="28" s="1"/>
  <c r="H25" i="29"/>
  <c r="O25" i="29" s="1"/>
  <c r="S30" i="29"/>
  <c r="Z16" i="30"/>
  <c r="H46" i="28"/>
  <c r="L25" i="29"/>
  <c r="AL19" i="27"/>
  <c r="AN19" i="27" s="1"/>
  <c r="Q22" i="27"/>
  <c r="S22" i="27" s="1"/>
  <c r="L35" i="27"/>
  <c r="Q40" i="27"/>
  <c r="S40" i="27" s="1"/>
  <c r="AG41" i="27"/>
  <c r="AG15" i="28"/>
  <c r="AE20" i="28"/>
  <c r="AG20" i="28" s="1"/>
  <c r="V21" i="28"/>
  <c r="N21" i="28"/>
  <c r="O21" i="28" s="1"/>
  <c r="AE25" i="28"/>
  <c r="J25" i="28"/>
  <c r="L25" i="28" s="1"/>
  <c r="Q25" i="28"/>
  <c r="S25" i="28" s="1"/>
  <c r="AL25" i="28"/>
  <c r="Z26" i="28"/>
  <c r="S27" i="28"/>
  <c r="H28" i="28"/>
  <c r="O28" i="28" s="1"/>
  <c r="L30" i="28"/>
  <c r="X31" i="28"/>
  <c r="S46" i="28"/>
  <c r="O21" i="29"/>
  <c r="AN25" i="29"/>
  <c r="AP25" i="29" s="1"/>
  <c r="AE31" i="29"/>
  <c r="Q31" i="29"/>
  <c r="S31" i="29" s="1"/>
  <c r="AL31" i="29"/>
  <c r="AN31" i="29" s="1"/>
  <c r="J31" i="29"/>
  <c r="L31" i="29" s="1"/>
  <c r="X31" i="29"/>
  <c r="Z31" i="29" s="1"/>
  <c r="AL46" i="29"/>
  <c r="AL24" i="31"/>
  <c r="AL17" i="28"/>
  <c r="J23" i="28"/>
  <c r="L23" i="28" s="1"/>
  <c r="Q23" i="28"/>
  <c r="S23" i="28" s="1"/>
  <c r="L28" i="28"/>
  <c r="AN28" i="28"/>
  <c r="AN34" i="28"/>
  <c r="AP34" i="28" s="1"/>
  <c r="Z35" i="28"/>
  <c r="AJ35" i="28" s="1"/>
  <c r="Q38" i="28"/>
  <c r="S38" i="28" s="1"/>
  <c r="X38" i="28"/>
  <c r="Z38" i="28" s="1"/>
  <c r="F38" i="28"/>
  <c r="H38" i="28" s="1"/>
  <c r="O38" i="28" s="1"/>
  <c r="AE38" i="28"/>
  <c r="AG44" i="28"/>
  <c r="S45" i="28"/>
  <c r="H22" i="29"/>
  <c r="O22" i="29" s="1"/>
  <c r="AL23" i="29"/>
  <c r="AN23" i="29" s="1"/>
  <c r="AE26" i="29"/>
  <c r="AG26" i="29" s="1"/>
  <c r="X26" i="29"/>
  <c r="Z26" i="29" s="1"/>
  <c r="J26" i="29"/>
  <c r="L26" i="29" s="1"/>
  <c r="F26" i="29"/>
  <c r="H26" i="29" s="1"/>
  <c r="O26" i="29" s="1"/>
  <c r="L32" i="29"/>
  <c r="AM43" i="29"/>
  <c r="AM44" i="29"/>
  <c r="AN37" i="29"/>
  <c r="AM46" i="29"/>
  <c r="AN46" i="29" s="1"/>
  <c r="AP46" i="29" s="1"/>
  <c r="S36" i="30"/>
  <c r="AG34" i="32"/>
  <c r="AL15" i="27"/>
  <c r="AN15" i="27" s="1"/>
  <c r="X19" i="27"/>
  <c r="Z19" i="27" s="1"/>
  <c r="J33" i="27"/>
  <c r="L33" i="27" s="1"/>
  <c r="H37" i="27"/>
  <c r="O37" i="27" s="1"/>
  <c r="AN21" i="28"/>
  <c r="F23" i="28"/>
  <c r="AE23" i="28"/>
  <c r="AG23" i="28" s="1"/>
  <c r="AG38" i="28"/>
  <c r="X40" i="28"/>
  <c r="AG43" i="28"/>
  <c r="H15" i="29"/>
  <c r="AG16" i="29"/>
  <c r="N21" i="29"/>
  <c r="V21" i="29"/>
  <c r="AL25" i="29"/>
  <c r="AG36" i="29"/>
  <c r="AF44" i="29"/>
  <c r="AF46" i="29"/>
  <c r="AG46" i="29" s="1"/>
  <c r="AG37" i="29"/>
  <c r="AF43" i="29"/>
  <c r="AG43" i="29" s="1"/>
  <c r="L46" i="29"/>
  <c r="AN26" i="30"/>
  <c r="AP26" i="30" s="1"/>
  <c r="Z33" i="33"/>
  <c r="AL22" i="27"/>
  <c r="X40" i="27"/>
  <c r="AE44" i="27"/>
  <c r="AL44" i="27"/>
  <c r="H17" i="28"/>
  <c r="O17" i="28" s="1"/>
  <c r="Z19" i="28"/>
  <c r="H23" i="28"/>
  <c r="O23" i="28" s="1"/>
  <c r="Q32" i="28"/>
  <c r="S32" i="28" s="1"/>
  <c r="AE35" i="28"/>
  <c r="AG35" i="28" s="1"/>
  <c r="J35" i="28"/>
  <c r="L35" i="28" s="1"/>
  <c r="AL35" i="28"/>
  <c r="AN35" i="28" s="1"/>
  <c r="AP35" i="28" s="1"/>
  <c r="Q35" i="28"/>
  <c r="S35" i="28" s="1"/>
  <c r="K44" i="28"/>
  <c r="L44" i="28" s="1"/>
  <c r="K46" i="28"/>
  <c r="AL43" i="28"/>
  <c r="AN43" i="28" s="1"/>
  <c r="AL16" i="29"/>
  <c r="AN16" i="29"/>
  <c r="AP16" i="29" s="1"/>
  <c r="AL24" i="29"/>
  <c r="AN24" i="29" s="1"/>
  <c r="AP24" i="29" s="1"/>
  <c r="F15" i="30"/>
  <c r="X24" i="30"/>
  <c r="Z24" i="30" s="1"/>
  <c r="AL24" i="30"/>
  <c r="Q24" i="30"/>
  <c r="S24" i="30" s="1"/>
  <c r="J24" i="30"/>
  <c r="F24" i="30"/>
  <c r="AE24" i="30"/>
  <c r="AG24" i="30" s="1"/>
  <c r="AN33" i="30"/>
  <c r="AP33" i="30" s="1"/>
  <c r="Q26" i="27"/>
  <c r="S26" i="27" s="1"/>
  <c r="X31" i="27"/>
  <c r="Z31" i="27" s="1"/>
  <c r="AL36" i="27"/>
  <c r="AL43" i="27"/>
  <c r="K44" i="27"/>
  <c r="L44" i="27" s="1"/>
  <c r="Q15" i="28"/>
  <c r="S15" i="28" s="1"/>
  <c r="X15" i="28"/>
  <c r="Z15" i="28" s="1"/>
  <c r="X21" i="28"/>
  <c r="Z21" i="28" s="1"/>
  <c r="AE21" i="28"/>
  <c r="AG21" i="28" s="1"/>
  <c r="AE30" i="28"/>
  <c r="AG30" i="28" s="1"/>
  <c r="J30" i="28"/>
  <c r="Q30" i="28"/>
  <c r="S30" i="28" s="1"/>
  <c r="AL30" i="28"/>
  <c r="Z31" i="28"/>
  <c r="H33" i="28"/>
  <c r="X36" i="28"/>
  <c r="Z36" i="28" s="1"/>
  <c r="Y43" i="28"/>
  <c r="Z37" i="28"/>
  <c r="AL46" i="28"/>
  <c r="Q18" i="29"/>
  <c r="S18" i="29" s="1"/>
  <c r="AE18" i="29"/>
  <c r="AG18" i="29" s="1"/>
  <c r="J18" i="29"/>
  <c r="L18" i="29" s="1"/>
  <c r="F18" i="29"/>
  <c r="AL18" i="29"/>
  <c r="AN18" i="29" s="1"/>
  <c r="J34" i="29"/>
  <c r="S43" i="29"/>
  <c r="AL36" i="26"/>
  <c r="AE15" i="27"/>
  <c r="AG15" i="27" s="1"/>
  <c r="AL28" i="27"/>
  <c r="AN28" i="27" s="1"/>
  <c r="AE40" i="27"/>
  <c r="AG40" i="27" s="1"/>
  <c r="G43" i="27"/>
  <c r="H43" i="27" s="1"/>
  <c r="Q44" i="27"/>
  <c r="K46" i="27"/>
  <c r="L46" i="27" s="1"/>
  <c r="S17" i="28"/>
  <c r="J18" i="28"/>
  <c r="L18" i="28" s="1"/>
  <c r="Q18" i="28"/>
  <c r="S18" i="28" s="1"/>
  <c r="Z18" i="28"/>
  <c r="AL24" i="28"/>
  <c r="X25" i="28"/>
  <c r="L33" i="28"/>
  <c r="AN33" i="28"/>
  <c r="AP33" i="28" s="1"/>
  <c r="AG46" i="28"/>
  <c r="S40" i="28"/>
  <c r="L41" i="28"/>
  <c r="H18" i="29"/>
  <c r="O18" i="29" s="1"/>
  <c r="J19" i="29"/>
  <c r="L19" i="29" s="1"/>
  <c r="AE19" i="29"/>
  <c r="AG19" i="29" s="1"/>
  <c r="F19" i="29"/>
  <c r="AL19" i="29"/>
  <c r="Q19" i="29"/>
  <c r="S19" i="29" s="1"/>
  <c r="F20" i="29"/>
  <c r="H20" i="29" s="1"/>
  <c r="O20" i="29" s="1"/>
  <c r="Z23" i="29"/>
  <c r="AN32" i="29"/>
  <c r="AP32" i="29" s="1"/>
  <c r="AG15" i="30"/>
  <c r="L23" i="30"/>
  <c r="L30" i="30"/>
  <c r="Q36" i="31"/>
  <c r="S36" i="31" s="1"/>
  <c r="AE36" i="31"/>
  <c r="X36" i="31"/>
  <c r="F36" i="31"/>
  <c r="H36" i="31" s="1"/>
  <c r="J36" i="31"/>
  <c r="AL36" i="31"/>
  <c r="AN36" i="31" s="1"/>
  <c r="AL31" i="26"/>
  <c r="AN31" i="26" s="1"/>
  <c r="AP31" i="26" s="1"/>
  <c r="F36" i="26"/>
  <c r="H36" i="26" s="1"/>
  <c r="AL40" i="26"/>
  <c r="AN40" i="26" s="1"/>
  <c r="AP40" i="26" s="1"/>
  <c r="AL45" i="26"/>
  <c r="AN45" i="26" s="1"/>
  <c r="AP45" i="26" s="1"/>
  <c r="F28" i="27"/>
  <c r="H28" i="27" s="1"/>
  <c r="O28" i="27" s="1"/>
  <c r="Q33" i="27"/>
  <c r="S33" i="27" s="1"/>
  <c r="F36" i="27"/>
  <c r="H36" i="27" s="1"/>
  <c r="F38" i="27"/>
  <c r="H38" i="27" s="1"/>
  <c r="O38" i="27" s="1"/>
  <c r="F18" i="28"/>
  <c r="H18" i="28" s="1"/>
  <c r="O18" i="28" s="1"/>
  <c r="AE18" i="28"/>
  <c r="Z25" i="28"/>
  <c r="Q34" i="28"/>
  <c r="S34" i="28" s="1"/>
  <c r="X34" i="28"/>
  <c r="Z34" i="28" s="1"/>
  <c r="F34" i="28"/>
  <c r="H34" i="28" s="1"/>
  <c r="AE34" i="28"/>
  <c r="AG34" i="28" s="1"/>
  <c r="AG37" i="28"/>
  <c r="Z40" i="28"/>
  <c r="S41" i="28"/>
  <c r="AN37" i="28"/>
  <c r="AM46" i="28"/>
  <c r="H19" i="29"/>
  <c r="Z24" i="29"/>
  <c r="AL26" i="29"/>
  <c r="AN26" i="29" s="1"/>
  <c r="Q28" i="29"/>
  <c r="S28" i="29" s="1"/>
  <c r="AE28" i="29"/>
  <c r="AG28" i="29" s="1"/>
  <c r="F28" i="29"/>
  <c r="H28" i="29" s="1"/>
  <c r="O28" i="29" s="1"/>
  <c r="AL28" i="29"/>
  <c r="AN28" i="29" s="1"/>
  <c r="J28" i="29"/>
  <c r="L28" i="29" s="1"/>
  <c r="X28" i="29"/>
  <c r="Z28" i="29" s="1"/>
  <c r="L35" i="29"/>
  <c r="L33" i="30"/>
  <c r="X45" i="30"/>
  <c r="Z45" i="30" s="1"/>
  <c r="F45" i="30"/>
  <c r="H45" i="30" s="1"/>
  <c r="AL45" i="30"/>
  <c r="AN45" i="30" s="1"/>
  <c r="AP45" i="30" s="1"/>
  <c r="J45" i="30"/>
  <c r="L45" i="30" s="1"/>
  <c r="Q45" i="30"/>
  <c r="S45" i="30" s="1"/>
  <c r="AE45" i="30"/>
  <c r="L20" i="32"/>
  <c r="L28" i="32"/>
  <c r="Q32" i="27"/>
  <c r="S32" i="27" s="1"/>
  <c r="X45" i="27"/>
  <c r="Z45" i="27" s="1"/>
  <c r="F45" i="27"/>
  <c r="H45" i="27" s="1"/>
  <c r="AE45" i="27"/>
  <c r="AG45" i="27" s="1"/>
  <c r="AG18" i="28"/>
  <c r="X23" i="28"/>
  <c r="Z23" i="28" s="1"/>
  <c r="H24" i="28"/>
  <c r="O24" i="28" s="1"/>
  <c r="AN24" i="28"/>
  <c r="AP24" i="28" s="1"/>
  <c r="AG25" i="28"/>
  <c r="S26" i="28"/>
  <c r="J28" i="28"/>
  <c r="X28" i="28"/>
  <c r="Z28" i="28" s="1"/>
  <c r="F28" i="28"/>
  <c r="AE28" i="28"/>
  <c r="AG28" i="28" s="1"/>
  <c r="L36" i="28"/>
  <c r="AN21" i="29"/>
  <c r="AP21" i="29" s="1"/>
  <c r="AG24" i="29"/>
  <c r="L34" i="29"/>
  <c r="S35" i="29"/>
  <c r="AG38" i="29"/>
  <c r="S40" i="32"/>
  <c r="J45" i="29"/>
  <c r="L45" i="29" s="1"/>
  <c r="X45" i="29"/>
  <c r="F45" i="29"/>
  <c r="H45" i="29" s="1"/>
  <c r="Q45" i="29"/>
  <c r="S45" i="29" s="1"/>
  <c r="X17" i="30"/>
  <c r="Z17" i="30" s="1"/>
  <c r="AN17" i="30"/>
  <c r="AP17" i="30" s="1"/>
  <c r="J36" i="30"/>
  <c r="L38" i="30"/>
  <c r="X40" i="30"/>
  <c r="Z40" i="30" s="1"/>
  <c r="F40" i="30"/>
  <c r="H40" i="30" s="1"/>
  <c r="Q40" i="30"/>
  <c r="S40" i="30" s="1"/>
  <c r="AL40" i="30"/>
  <c r="AN40" i="30" s="1"/>
  <c r="AL17" i="31"/>
  <c r="AN17" i="31" s="1"/>
  <c r="Q17" i="31"/>
  <c r="S17" i="31" s="1"/>
  <c r="X17" i="31"/>
  <c r="Z17" i="31" s="1"/>
  <c r="J17" i="31"/>
  <c r="L17" i="31" s="1"/>
  <c r="J18" i="31"/>
  <c r="L18" i="31" s="1"/>
  <c r="X18" i="31"/>
  <c r="AE18" i="31"/>
  <c r="AG18" i="31" s="1"/>
  <c r="F18" i="31"/>
  <c r="H18" i="31" s="1"/>
  <c r="O18" i="31" s="1"/>
  <c r="AN33" i="31"/>
  <c r="AP33" i="31" s="1"/>
  <c r="AN17" i="32"/>
  <c r="AP17" i="32" s="1"/>
  <c r="L23" i="32"/>
  <c r="Z15" i="29"/>
  <c r="AE21" i="29"/>
  <c r="AG21" i="29" s="1"/>
  <c r="Z21" i="29"/>
  <c r="L23" i="29"/>
  <c r="Q24" i="29"/>
  <c r="S24" i="29" s="1"/>
  <c r="X32" i="29"/>
  <c r="Z32" i="29" s="1"/>
  <c r="Z34" i="29"/>
  <c r="R44" i="29"/>
  <c r="R46" i="29"/>
  <c r="L43" i="29"/>
  <c r="F22" i="30"/>
  <c r="AE22" i="30"/>
  <c r="AG22" i="30" s="1"/>
  <c r="J22" i="30"/>
  <c r="AL22" i="30"/>
  <c r="AN22" i="30" s="1"/>
  <c r="Q22" i="30"/>
  <c r="S22" i="30" s="1"/>
  <c r="AC37" i="30"/>
  <c r="L41" i="30"/>
  <c r="F43" i="30"/>
  <c r="AG45" i="30"/>
  <c r="F17" i="31"/>
  <c r="H17" i="31" s="1"/>
  <c r="O17" i="31" s="1"/>
  <c r="L26" i="31"/>
  <c r="X22" i="32"/>
  <c r="Z22" i="32" s="1"/>
  <c r="Q22" i="32"/>
  <c r="AL22" i="32"/>
  <c r="J22" i="32"/>
  <c r="L22" i="32" s="1"/>
  <c r="Q36" i="32"/>
  <c r="S36" i="32" s="1"/>
  <c r="X36" i="32"/>
  <c r="Z36" i="32" s="1"/>
  <c r="AE36" i="32"/>
  <c r="J36" i="32"/>
  <c r="L36" i="32" s="1"/>
  <c r="AL36" i="32"/>
  <c r="AN36" i="32" s="1"/>
  <c r="AP36" i="32" s="1"/>
  <c r="AL27" i="28"/>
  <c r="AN27" i="28" s="1"/>
  <c r="AL32" i="28"/>
  <c r="AN32" i="28" s="1"/>
  <c r="R44" i="28"/>
  <c r="S44" i="28" s="1"/>
  <c r="F16" i="29"/>
  <c r="H16" i="29" s="1"/>
  <c r="O16" i="29" s="1"/>
  <c r="X16" i="29"/>
  <c r="Z16" i="29" s="1"/>
  <c r="AN19" i="29"/>
  <c r="S37" i="29"/>
  <c r="J40" i="29"/>
  <c r="L40" i="29" s="1"/>
  <c r="F40" i="29"/>
  <c r="H40" i="29" s="1"/>
  <c r="Q40" i="29"/>
  <c r="S40" i="29" s="1"/>
  <c r="AG40" i="29"/>
  <c r="K44" i="29"/>
  <c r="L44" i="29" s="1"/>
  <c r="AL45" i="29"/>
  <c r="AN45" i="29" s="1"/>
  <c r="Z15" i="30"/>
  <c r="AE18" i="30"/>
  <c r="AG18" i="30" s="1"/>
  <c r="J18" i="30"/>
  <c r="L18" i="30" s="1"/>
  <c r="AL18" i="30"/>
  <c r="AN18" i="30" s="1"/>
  <c r="H22" i="30"/>
  <c r="O22" i="30" s="1"/>
  <c r="Z26" i="30"/>
  <c r="J40" i="30"/>
  <c r="L40" i="30" s="1"/>
  <c r="AE16" i="31"/>
  <c r="AG16" i="31" s="1"/>
  <c r="U21" i="31"/>
  <c r="V21" i="31" s="1"/>
  <c r="AC21" i="31"/>
  <c r="AN40" i="31"/>
  <c r="AP40" i="31" s="1"/>
  <c r="AL18" i="32"/>
  <c r="AN18" i="32" s="1"/>
  <c r="F22" i="32"/>
  <c r="H22" i="32" s="1"/>
  <c r="O22" i="32" s="1"/>
  <c r="F36" i="32"/>
  <c r="AG16" i="33"/>
  <c r="L25" i="33"/>
  <c r="AL20" i="28"/>
  <c r="AE36" i="28"/>
  <c r="AG36" i="28" s="1"/>
  <c r="Z25" i="29"/>
  <c r="J36" i="29"/>
  <c r="L36" i="29" s="1"/>
  <c r="X36" i="29"/>
  <c r="Z36" i="29" s="1"/>
  <c r="Q36" i="29"/>
  <c r="S36" i="29" s="1"/>
  <c r="AE36" i="29"/>
  <c r="L38" i="29"/>
  <c r="S41" i="29"/>
  <c r="L17" i="30"/>
  <c r="Z20" i="30"/>
  <c r="L22" i="30"/>
  <c r="H23" i="30"/>
  <c r="O23" i="30" s="1"/>
  <c r="H31" i="30"/>
  <c r="O31" i="30" s="1"/>
  <c r="AE33" i="30"/>
  <c r="Q33" i="30"/>
  <c r="X33" i="30"/>
  <c r="Z33" i="30" s="1"/>
  <c r="J33" i="30"/>
  <c r="F33" i="30"/>
  <c r="S38" i="30"/>
  <c r="AG35" i="31"/>
  <c r="O21" i="32"/>
  <c r="Z34" i="32"/>
  <c r="H36" i="32"/>
  <c r="L18" i="33"/>
  <c r="Z19" i="29"/>
  <c r="S22" i="29"/>
  <c r="J24" i="29"/>
  <c r="L24" i="29" s="1"/>
  <c r="F24" i="29"/>
  <c r="S26" i="29"/>
  <c r="H15" i="30"/>
  <c r="S17" i="30"/>
  <c r="Q20" i="30"/>
  <c r="S20" i="30" s="1"/>
  <c r="AN20" i="30"/>
  <c r="S33" i="30"/>
  <c r="Z35" i="30"/>
  <c r="AE40" i="30"/>
  <c r="AG40" i="30" s="1"/>
  <c r="X44" i="30"/>
  <c r="L46" i="30"/>
  <c r="AN20" i="31"/>
  <c r="Z25" i="31"/>
  <c r="AN43" i="31"/>
  <c r="L17" i="34"/>
  <c r="AL36" i="28"/>
  <c r="AN36" i="28" s="1"/>
  <c r="AP36" i="28" s="1"/>
  <c r="Q23" i="29"/>
  <c r="S23" i="29" s="1"/>
  <c r="H24" i="29"/>
  <c r="O24" i="29" s="1"/>
  <c r="AE24" i="29"/>
  <c r="X27" i="29"/>
  <c r="Z27" i="29" s="1"/>
  <c r="Z30" i="29"/>
  <c r="AL41" i="29"/>
  <c r="AN41" i="29" s="1"/>
  <c r="AP41" i="29" s="1"/>
  <c r="Z45" i="29"/>
  <c r="AE16" i="30"/>
  <c r="AG16" i="30" s="1"/>
  <c r="S18" i="30"/>
  <c r="L19" i="30"/>
  <c r="Z34" i="30"/>
  <c r="G43" i="30"/>
  <c r="H37" i="30"/>
  <c r="O37" i="30" s="1"/>
  <c r="G46" i="30"/>
  <c r="G44" i="30"/>
  <c r="L15" i="31"/>
  <c r="AE17" i="31"/>
  <c r="AG17" i="31" s="1"/>
  <c r="AL18" i="31"/>
  <c r="AN18" i="31" s="1"/>
  <c r="AP18" i="31" s="1"/>
  <c r="X21" i="31"/>
  <c r="Z21" i="31" s="1"/>
  <c r="S24" i="31"/>
  <c r="AL26" i="28"/>
  <c r="AN26" i="28" s="1"/>
  <c r="AP26" i="28" s="1"/>
  <c r="AE27" i="28"/>
  <c r="AG27" i="28" s="1"/>
  <c r="AL31" i="28"/>
  <c r="AN31" i="28" s="1"/>
  <c r="AE32" i="28"/>
  <c r="AG32" i="28" s="1"/>
  <c r="F36" i="28"/>
  <c r="H36" i="28" s="1"/>
  <c r="S37" i="28"/>
  <c r="AL40" i="28"/>
  <c r="AN40" i="28" s="1"/>
  <c r="AP40" i="28" s="1"/>
  <c r="AL45" i="28"/>
  <c r="AN45" i="28" s="1"/>
  <c r="AP45" i="28" s="1"/>
  <c r="F23" i="29"/>
  <c r="H23" i="29" s="1"/>
  <c r="O23" i="29" s="1"/>
  <c r="AL30" i="29"/>
  <c r="AN30" i="29" s="1"/>
  <c r="Q33" i="29"/>
  <c r="S33" i="29" s="1"/>
  <c r="Q35" i="29"/>
  <c r="AE35" i="29"/>
  <c r="X35" i="29"/>
  <c r="Z35" i="29" s="1"/>
  <c r="H20" i="30"/>
  <c r="O20" i="30" s="1"/>
  <c r="AE21" i="30"/>
  <c r="AG21" i="30" s="1"/>
  <c r="Z23" i="30"/>
  <c r="L25" i="30"/>
  <c r="Z32" i="30"/>
  <c r="AG35" i="30"/>
  <c r="K43" i="30"/>
  <c r="L37" i="30"/>
  <c r="K44" i="30"/>
  <c r="X20" i="31"/>
  <c r="Z20" i="31" s="1"/>
  <c r="H22" i="31"/>
  <c r="O22" i="31" s="1"/>
  <c r="Z36" i="31"/>
  <c r="AL19" i="32"/>
  <c r="AN19" i="32" s="1"/>
  <c r="AP19" i="32" s="1"/>
  <c r="Z21" i="32"/>
  <c r="F26" i="28"/>
  <c r="H26" i="28" s="1"/>
  <c r="O26" i="28" s="1"/>
  <c r="F31" i="28"/>
  <c r="H31" i="28" s="1"/>
  <c r="O31" i="28" s="1"/>
  <c r="F40" i="28"/>
  <c r="H40" i="28" s="1"/>
  <c r="F45" i="28"/>
  <c r="H45" i="28" s="1"/>
  <c r="Q16" i="29"/>
  <c r="S16" i="29" s="1"/>
  <c r="F35" i="29"/>
  <c r="H35" i="29" s="1"/>
  <c r="O35" i="29" s="1"/>
  <c r="X40" i="29"/>
  <c r="H41" i="29"/>
  <c r="AE45" i="29"/>
  <c r="AG45" i="29" s="1"/>
  <c r="Z46" i="29"/>
  <c r="X18" i="30"/>
  <c r="Z18" i="30" s="1"/>
  <c r="Q41" i="30"/>
  <c r="S41" i="30" s="1"/>
  <c r="F19" i="31"/>
  <c r="H35" i="31"/>
  <c r="O35" i="31" s="1"/>
  <c r="AG46" i="32"/>
  <c r="Z43" i="32"/>
  <c r="J15" i="29"/>
  <c r="L15" i="29" s="1"/>
  <c r="X22" i="29"/>
  <c r="Z22" i="29" s="1"/>
  <c r="F22" i="29"/>
  <c r="AE23" i="29"/>
  <c r="AG23" i="29" s="1"/>
  <c r="AG35" i="29"/>
  <c r="X38" i="29"/>
  <c r="Z38" i="29" s="1"/>
  <c r="Z40" i="29"/>
  <c r="X43" i="29"/>
  <c r="Z43" i="29" s="1"/>
  <c r="Q44" i="29"/>
  <c r="AE44" i="29"/>
  <c r="X44" i="29"/>
  <c r="Z44" i="29" s="1"/>
  <c r="F44" i="29"/>
  <c r="G43" i="29"/>
  <c r="G44" i="29"/>
  <c r="H44" i="29" s="1"/>
  <c r="G46" i="29"/>
  <c r="H46" i="29" s="1"/>
  <c r="S19" i="30"/>
  <c r="AN21" i="30"/>
  <c r="AG31" i="30"/>
  <c r="AL33" i="30"/>
  <c r="AN36" i="30"/>
  <c r="AP36" i="30" s="1"/>
  <c r="H41" i="30"/>
  <c r="J31" i="31"/>
  <c r="AL31" i="31"/>
  <c r="Q31" i="31"/>
  <c r="S31" i="31" s="1"/>
  <c r="X31" i="31"/>
  <c r="Z31" i="31" s="1"/>
  <c r="AE31" i="31"/>
  <c r="AG31" i="31" s="1"/>
  <c r="J15" i="32"/>
  <c r="L15" i="32" s="1"/>
  <c r="AE15" i="32"/>
  <c r="Q15" i="32"/>
  <c r="S15" i="32" s="1"/>
  <c r="AL15" i="32"/>
  <c r="AN15" i="32" s="1"/>
  <c r="F15" i="32"/>
  <c r="X15" i="32"/>
  <c r="Z15" i="32" s="1"/>
  <c r="H19" i="32"/>
  <c r="H23" i="32"/>
  <c r="O23" i="32" s="1"/>
  <c r="AG35" i="33"/>
  <c r="Q25" i="30"/>
  <c r="S25" i="30" s="1"/>
  <c r="S27" i="30"/>
  <c r="Q30" i="30"/>
  <c r="S30" i="30" s="1"/>
  <c r="X30" i="30"/>
  <c r="Z30" i="30" s="1"/>
  <c r="AL32" i="30"/>
  <c r="AG33" i="30"/>
  <c r="AB37" i="30"/>
  <c r="Q46" i="30"/>
  <c r="S19" i="31"/>
  <c r="AG15" i="32"/>
  <c r="Q27" i="32"/>
  <c r="S27" i="32" s="1"/>
  <c r="F33" i="32"/>
  <c r="H33" i="32" s="1"/>
  <c r="L41" i="33"/>
  <c r="H27" i="34"/>
  <c r="O27" i="34" s="1"/>
  <c r="AL33" i="29"/>
  <c r="AN33" i="29" s="1"/>
  <c r="H24" i="30"/>
  <c r="O24" i="30" s="1"/>
  <c r="F25" i="30"/>
  <c r="H25" i="30" s="1"/>
  <c r="O25" i="30" s="1"/>
  <c r="X25" i="30"/>
  <c r="Z25" i="30" s="1"/>
  <c r="F30" i="30"/>
  <c r="H30" i="30" s="1"/>
  <c r="J31" i="30"/>
  <c r="L31" i="30" s="1"/>
  <c r="X31" i="30"/>
  <c r="H33" i="30"/>
  <c r="J23" i="31"/>
  <c r="L23" i="31" s="1"/>
  <c r="X23" i="31"/>
  <c r="F23" i="31"/>
  <c r="H23" i="31" s="1"/>
  <c r="O23" i="31" s="1"/>
  <c r="AE23" i="31"/>
  <c r="AG23" i="31" s="1"/>
  <c r="AE28" i="31"/>
  <c r="AG28" i="31" s="1"/>
  <c r="AG32" i="31"/>
  <c r="H26" i="32"/>
  <c r="O26" i="32" s="1"/>
  <c r="H28" i="32"/>
  <c r="O28" i="32" s="1"/>
  <c r="J32" i="32"/>
  <c r="L32" i="32" s="1"/>
  <c r="N32" i="32" s="1"/>
  <c r="F32" i="32"/>
  <c r="H32" i="32" s="1"/>
  <c r="AE32" i="32"/>
  <c r="X32" i="32"/>
  <c r="AL32" i="32"/>
  <c r="AN32" i="32" s="1"/>
  <c r="G43" i="32"/>
  <c r="G44" i="32"/>
  <c r="AN41" i="32"/>
  <c r="AP41" i="32" s="1"/>
  <c r="H45" i="32"/>
  <c r="AN26" i="33"/>
  <c r="Q20" i="34"/>
  <c r="S20" i="34" s="1"/>
  <c r="AE20" i="34"/>
  <c r="AG20" i="34" s="1"/>
  <c r="F20" i="34"/>
  <c r="X20" i="34"/>
  <c r="Z20" i="34" s="1"/>
  <c r="AL20" i="34"/>
  <c r="AN20" i="34" s="1"/>
  <c r="F33" i="29"/>
  <c r="H33" i="29" s="1"/>
  <c r="AE43" i="29"/>
  <c r="AL16" i="30"/>
  <c r="AN16" i="30" s="1"/>
  <c r="AP16" i="30" s="1"/>
  <c r="X21" i="30"/>
  <c r="Z21" i="30" s="1"/>
  <c r="J26" i="30"/>
  <c r="L26" i="30" s="1"/>
  <c r="AL27" i="30"/>
  <c r="AN27" i="30" s="1"/>
  <c r="AP27" i="30" s="1"/>
  <c r="AE28" i="30"/>
  <c r="X28" i="30"/>
  <c r="Z28" i="30" s="1"/>
  <c r="F31" i="30"/>
  <c r="Z31" i="30"/>
  <c r="Q35" i="30"/>
  <c r="AE35" i="30"/>
  <c r="L36" i="30"/>
  <c r="AF44" i="30"/>
  <c r="AG44" i="30" s="1"/>
  <c r="AF46" i="30"/>
  <c r="AG46" i="30" s="1"/>
  <c r="Q15" i="31"/>
  <c r="S15" i="31" s="1"/>
  <c r="AE15" i="31"/>
  <c r="AG15" i="31" s="1"/>
  <c r="F15" i="31"/>
  <c r="H15" i="31" s="1"/>
  <c r="AN16" i="31"/>
  <c r="AP16" i="31" s="1"/>
  <c r="AN31" i="31"/>
  <c r="AN45" i="31"/>
  <c r="AL21" i="32"/>
  <c r="X25" i="32"/>
  <c r="Z25" i="32" s="1"/>
  <c r="Q31" i="32"/>
  <c r="S31" i="32" s="1"/>
  <c r="AE31" i="32"/>
  <c r="AG31" i="32" s="1"/>
  <c r="F31" i="32"/>
  <c r="H31" i="32" s="1"/>
  <c r="O31" i="32" s="1"/>
  <c r="AL31" i="32"/>
  <c r="AN31" i="32" s="1"/>
  <c r="J31" i="32"/>
  <c r="X31" i="32"/>
  <c r="H37" i="32"/>
  <c r="O37" i="32" s="1"/>
  <c r="AG30" i="33"/>
  <c r="H20" i="34"/>
  <c r="O20" i="34" s="1"/>
  <c r="AG45" i="34"/>
  <c r="AL34" i="29"/>
  <c r="AN34" i="29" s="1"/>
  <c r="AP34" i="29" s="1"/>
  <c r="J16" i="30"/>
  <c r="L16" i="30" s="1"/>
  <c r="L21" i="30"/>
  <c r="AE25" i="30"/>
  <c r="AG25" i="30" s="1"/>
  <c r="AE26" i="30"/>
  <c r="AG26" i="30" s="1"/>
  <c r="J28" i="30"/>
  <c r="J35" i="30"/>
  <c r="L35" i="30" s="1"/>
  <c r="AL35" i="30"/>
  <c r="AN35" i="30" s="1"/>
  <c r="AP35" i="30" s="1"/>
  <c r="AF43" i="30"/>
  <c r="H19" i="31"/>
  <c r="AN21" i="31"/>
  <c r="AP21" i="31" s="1"/>
  <c r="AN24" i="31"/>
  <c r="AP24" i="31" s="1"/>
  <c r="Q30" i="31"/>
  <c r="AL30" i="31"/>
  <c r="AN30" i="31" s="1"/>
  <c r="AP30" i="31" s="1"/>
  <c r="AE30" i="31"/>
  <c r="AG30" i="31" s="1"/>
  <c r="J30" i="31"/>
  <c r="X30" i="31"/>
  <c r="Z30" i="31" s="1"/>
  <c r="H31" i="31"/>
  <c r="O31" i="31" s="1"/>
  <c r="K46" i="31"/>
  <c r="L46" i="31" s="1"/>
  <c r="L37" i="31"/>
  <c r="K43" i="31"/>
  <c r="L43" i="31" s="1"/>
  <c r="S25" i="32"/>
  <c r="Z26" i="32"/>
  <c r="Z27" i="32"/>
  <c r="Q32" i="32"/>
  <c r="S32" i="32" s="1"/>
  <c r="AC32" i="32" s="1"/>
  <c r="H17" i="33"/>
  <c r="O17" i="33" s="1"/>
  <c r="Q16" i="34"/>
  <c r="AE16" i="34"/>
  <c r="AG16" i="34" s="1"/>
  <c r="F16" i="34"/>
  <c r="AL16" i="34"/>
  <c r="AN16" i="34" s="1"/>
  <c r="AP16" i="34" s="1"/>
  <c r="J16" i="34"/>
  <c r="L16" i="34" s="1"/>
  <c r="X16" i="34"/>
  <c r="S23" i="36"/>
  <c r="AL43" i="29"/>
  <c r="Q46" i="29"/>
  <c r="L28" i="30"/>
  <c r="X34" i="30"/>
  <c r="AP37" i="30"/>
  <c r="R46" i="30"/>
  <c r="S46" i="30" s="1"/>
  <c r="R44" i="30"/>
  <c r="AG19" i="31"/>
  <c r="AG22" i="31"/>
  <c r="AE25" i="31"/>
  <c r="AG25" i="31" s="1"/>
  <c r="J25" i="31"/>
  <c r="AL25" i="31"/>
  <c r="AN25" i="31" s="1"/>
  <c r="AP25" i="31" s="1"/>
  <c r="F30" i="31"/>
  <c r="L32" i="31"/>
  <c r="S19" i="32"/>
  <c r="S20" i="32"/>
  <c r="AF43" i="32"/>
  <c r="AG37" i="32"/>
  <c r="AF44" i="32"/>
  <c r="H44" i="34"/>
  <c r="V21" i="35"/>
  <c r="AL27" i="29"/>
  <c r="AN27" i="29" s="1"/>
  <c r="AP27" i="29" s="1"/>
  <c r="AL32" i="29"/>
  <c r="AE33" i="29"/>
  <c r="AG33" i="29" s="1"/>
  <c r="X34" i="29"/>
  <c r="AL38" i="29"/>
  <c r="AN38" i="29" s="1"/>
  <c r="F43" i="29"/>
  <c r="AL17" i="30"/>
  <c r="AL30" i="30"/>
  <c r="AN30" i="30" s="1"/>
  <c r="AP30" i="30" s="1"/>
  <c r="Q31" i="30"/>
  <c r="S31" i="30" s="1"/>
  <c r="AN32" i="30"/>
  <c r="AP32" i="30" s="1"/>
  <c r="AL38" i="30"/>
  <c r="AN38" i="30" s="1"/>
  <c r="AP38" i="30" s="1"/>
  <c r="Z44" i="30"/>
  <c r="N21" i="31"/>
  <c r="O21" i="31" s="1"/>
  <c r="Q22" i="31"/>
  <c r="S22" i="31" s="1"/>
  <c r="H30" i="31"/>
  <c r="L36" i="31"/>
  <c r="S18" i="32"/>
  <c r="S22" i="32"/>
  <c r="S30" i="32"/>
  <c r="Z31" i="32"/>
  <c r="AG33" i="32"/>
  <c r="L41" i="32"/>
  <c r="L26" i="33"/>
  <c r="AL20" i="29"/>
  <c r="AN20" i="29" s="1"/>
  <c r="AP20" i="29" s="1"/>
  <c r="F27" i="29"/>
  <c r="H27" i="29" s="1"/>
  <c r="O27" i="29" s="1"/>
  <c r="F32" i="29"/>
  <c r="H32" i="29" s="1"/>
  <c r="Z37" i="29"/>
  <c r="F38" i="29"/>
  <c r="H38" i="29" s="1"/>
  <c r="O38" i="29" s="1"/>
  <c r="AL15" i="30"/>
  <c r="AN15" i="30" s="1"/>
  <c r="F17" i="30"/>
  <c r="H17" i="30" s="1"/>
  <c r="O17" i="30" s="1"/>
  <c r="AL25" i="30"/>
  <c r="AN25" i="30" s="1"/>
  <c r="Q28" i="30"/>
  <c r="S28" i="30" s="1"/>
  <c r="AL28" i="30"/>
  <c r="AN28" i="30" s="1"/>
  <c r="AL31" i="30"/>
  <c r="AN31" i="30" s="1"/>
  <c r="S35" i="30"/>
  <c r="J16" i="31"/>
  <c r="L16" i="31" s="1"/>
  <c r="X16" i="31"/>
  <c r="Z16" i="31" s="1"/>
  <c r="Z18" i="31"/>
  <c r="Z23" i="31"/>
  <c r="H25" i="31"/>
  <c r="O25" i="31" s="1"/>
  <c r="J26" i="31"/>
  <c r="L30" i="31"/>
  <c r="K44" i="31"/>
  <c r="S17" i="32"/>
  <c r="AG32" i="32"/>
  <c r="S33" i="33"/>
  <c r="Z19" i="30"/>
  <c r="AN24" i="30"/>
  <c r="AP24" i="30" s="1"/>
  <c r="Q26" i="30"/>
  <c r="S26" i="30" s="1"/>
  <c r="S32" i="30"/>
  <c r="AE44" i="30"/>
  <c r="J44" i="30"/>
  <c r="Y46" i="30"/>
  <c r="Z46" i="30" s="1"/>
  <c r="X15" i="31"/>
  <c r="Z15" i="31" s="1"/>
  <c r="F16" i="31"/>
  <c r="H16" i="31" s="1"/>
  <c r="O16" i="31" s="1"/>
  <c r="AE20" i="31"/>
  <c r="AG20" i="31" s="1"/>
  <c r="J20" i="31"/>
  <c r="L20" i="31" s="1"/>
  <c r="L25" i="31"/>
  <c r="Z28" i="31"/>
  <c r="S30" i="31"/>
  <c r="Y44" i="31"/>
  <c r="Z44" i="31" s="1"/>
  <c r="Y46" i="31"/>
  <c r="Z37" i="31"/>
  <c r="Y43" i="31"/>
  <c r="Z43" i="31" s="1"/>
  <c r="AL43" i="31"/>
  <c r="AN46" i="31"/>
  <c r="AP46" i="31" s="1"/>
  <c r="AG20" i="32"/>
  <c r="AG25" i="32"/>
  <c r="AN28" i="32"/>
  <c r="Q34" i="32"/>
  <c r="S34" i="32" s="1"/>
  <c r="X34" i="32"/>
  <c r="F34" i="32"/>
  <c r="H34" i="32" s="1"/>
  <c r="O34" i="32" s="1"/>
  <c r="AL34" i="32"/>
  <c r="AE34" i="32"/>
  <c r="J34" i="32"/>
  <c r="L34" i="32" s="1"/>
  <c r="G46" i="32"/>
  <c r="Y44" i="32"/>
  <c r="Y46" i="32"/>
  <c r="Z46" i="32" s="1"/>
  <c r="Z37" i="32"/>
  <c r="AN34" i="33"/>
  <c r="AP34" i="33" s="1"/>
  <c r="S26" i="35"/>
  <c r="AL41" i="30"/>
  <c r="AN41" i="30" s="1"/>
  <c r="AP41" i="30" s="1"/>
  <c r="AL46" i="30"/>
  <c r="AN46" i="30" s="1"/>
  <c r="AL22" i="31"/>
  <c r="AN22" i="31" s="1"/>
  <c r="AL28" i="31"/>
  <c r="AN28" i="31" s="1"/>
  <c r="AE33" i="31"/>
  <c r="AG33" i="31" s="1"/>
  <c r="X33" i="31"/>
  <c r="Z33" i="31" s="1"/>
  <c r="AL44" i="31"/>
  <c r="R46" i="31"/>
  <c r="F16" i="32"/>
  <c r="H16" i="32" s="1"/>
  <c r="O16" i="32" s="1"/>
  <c r="X16" i="32"/>
  <c r="Z16" i="32" s="1"/>
  <c r="AL23" i="32"/>
  <c r="AN23" i="32" s="1"/>
  <c r="AN27" i="32"/>
  <c r="AN34" i="32"/>
  <c r="H22" i="33"/>
  <c r="O22" i="33" s="1"/>
  <c r="S25" i="33"/>
  <c r="L34" i="33"/>
  <c r="X43" i="33"/>
  <c r="Q43" i="33"/>
  <c r="AL43" i="33"/>
  <c r="AE43" i="33"/>
  <c r="AL22" i="34"/>
  <c r="AN22" i="34" s="1"/>
  <c r="AP22" i="34" s="1"/>
  <c r="AG33" i="34"/>
  <c r="S18" i="35"/>
  <c r="K46" i="35"/>
  <c r="K44" i="35"/>
  <c r="F32" i="31"/>
  <c r="H32" i="31" s="1"/>
  <c r="AL32" i="31"/>
  <c r="AN32" i="31" s="1"/>
  <c r="X34" i="31"/>
  <c r="Z34" i="31" s="1"/>
  <c r="X35" i="31"/>
  <c r="Z35" i="31" s="1"/>
  <c r="AE38" i="31"/>
  <c r="AG38" i="31" s="1"/>
  <c r="Q38" i="31"/>
  <c r="S38" i="31" s="1"/>
  <c r="AC38" i="31" s="1"/>
  <c r="H44" i="31"/>
  <c r="F20" i="32"/>
  <c r="H20" i="32" s="1"/>
  <c r="O20" i="32" s="1"/>
  <c r="AN21" i="32"/>
  <c r="AP21" i="32" s="1"/>
  <c r="AN30" i="32"/>
  <c r="AM43" i="32"/>
  <c r="AN43" i="32" s="1"/>
  <c r="AM46" i="32"/>
  <c r="AM44" i="32"/>
  <c r="X41" i="32"/>
  <c r="Z18" i="33"/>
  <c r="Z19" i="33"/>
  <c r="Z27" i="33"/>
  <c r="J32" i="33"/>
  <c r="L32" i="33" s="1"/>
  <c r="X32" i="33"/>
  <c r="Z32" i="33" s="1"/>
  <c r="Q32" i="33"/>
  <c r="S32" i="33" s="1"/>
  <c r="AE32" i="33"/>
  <c r="AG32" i="33" s="1"/>
  <c r="X17" i="34"/>
  <c r="Z17" i="34" s="1"/>
  <c r="F17" i="34"/>
  <c r="H17" i="34" s="1"/>
  <c r="O17" i="34" s="1"/>
  <c r="AE17" i="34"/>
  <c r="AG17" i="34" s="1"/>
  <c r="Q17" i="34"/>
  <c r="S17" i="34" s="1"/>
  <c r="H22" i="34"/>
  <c r="O22" i="34" s="1"/>
  <c r="X35" i="35"/>
  <c r="AG36" i="31"/>
  <c r="AN41" i="31"/>
  <c r="AG23" i="32"/>
  <c r="S24" i="32"/>
  <c r="Q28" i="32"/>
  <c r="F35" i="32"/>
  <c r="H35" i="32" s="1"/>
  <c r="O35" i="32" s="1"/>
  <c r="AN37" i="32"/>
  <c r="AP37" i="32" s="1"/>
  <c r="H41" i="32"/>
  <c r="J44" i="32"/>
  <c r="AE44" i="32"/>
  <c r="AL44" i="32"/>
  <c r="Q44" i="32"/>
  <c r="S44" i="32" s="1"/>
  <c r="F32" i="33"/>
  <c r="H32" i="33" s="1"/>
  <c r="AL36" i="30"/>
  <c r="AL26" i="31"/>
  <c r="AN26" i="31" s="1"/>
  <c r="AP26" i="31" s="1"/>
  <c r="J28" i="31"/>
  <c r="L28" i="31" s="1"/>
  <c r="L31" i="31"/>
  <c r="X41" i="31"/>
  <c r="Z41" i="31" s="1"/>
  <c r="Q41" i="31"/>
  <c r="S41" i="31" s="1"/>
  <c r="X46" i="31"/>
  <c r="Q46" i="31"/>
  <c r="AE46" i="31"/>
  <c r="J27" i="32"/>
  <c r="L27" i="32" s="1"/>
  <c r="X27" i="32"/>
  <c r="F27" i="32"/>
  <c r="H27" i="32" s="1"/>
  <c r="O27" i="32" s="1"/>
  <c r="AE27" i="32"/>
  <c r="AG27" i="32" s="1"/>
  <c r="K46" i="32"/>
  <c r="L46" i="32" s="1"/>
  <c r="L37" i="32"/>
  <c r="K44" i="32"/>
  <c r="L44" i="32" s="1"/>
  <c r="K43" i="32"/>
  <c r="L43" i="32" s="1"/>
  <c r="X44" i="32"/>
  <c r="AG22" i="33"/>
  <c r="X30" i="33"/>
  <c r="Z30" i="33" s="1"/>
  <c r="AM46" i="33"/>
  <c r="AM43" i="33"/>
  <c r="AN37" i="33"/>
  <c r="AM44" i="33"/>
  <c r="AN44" i="33" s="1"/>
  <c r="AP44" i="33" s="1"/>
  <c r="H16" i="34"/>
  <c r="O16" i="34" s="1"/>
  <c r="L20" i="34"/>
  <c r="Z34" i="34"/>
  <c r="L41" i="34"/>
  <c r="Z23" i="36"/>
  <c r="AL21" i="31"/>
  <c r="AF43" i="31"/>
  <c r="AG43" i="31" s="1"/>
  <c r="AG37" i="31"/>
  <c r="AE40" i="31"/>
  <c r="AG40" i="31" s="1"/>
  <c r="X40" i="31"/>
  <c r="Z40" i="31" s="1"/>
  <c r="F41" i="31"/>
  <c r="H41" i="31" s="1"/>
  <c r="R44" i="31"/>
  <c r="S44" i="31" s="1"/>
  <c r="AE45" i="31"/>
  <c r="AG45" i="31" s="1"/>
  <c r="X45" i="31"/>
  <c r="Z45" i="31" s="1"/>
  <c r="F46" i="31"/>
  <c r="AF46" i="31"/>
  <c r="AG46" i="31" s="1"/>
  <c r="H15" i="32"/>
  <c r="F18" i="32"/>
  <c r="H18" i="32" s="1"/>
  <c r="O18" i="32" s="1"/>
  <c r="X18" i="32"/>
  <c r="Z18" i="32" s="1"/>
  <c r="AE21" i="32"/>
  <c r="AG21" i="32" s="1"/>
  <c r="X21" i="32"/>
  <c r="AE24" i="32"/>
  <c r="AG24" i="32" s="1"/>
  <c r="J24" i="32"/>
  <c r="L24" i="32" s="1"/>
  <c r="L25" i="32"/>
  <c r="L31" i="32"/>
  <c r="S35" i="32"/>
  <c r="AC35" i="32" s="1"/>
  <c r="S46" i="32"/>
  <c r="X15" i="33"/>
  <c r="Z15" i="33" s="1"/>
  <c r="X16" i="33"/>
  <c r="Z16" i="33" s="1"/>
  <c r="F16" i="33"/>
  <c r="H16" i="33" s="1"/>
  <c r="O16" i="33" s="1"/>
  <c r="AL16" i="33"/>
  <c r="AN16" i="33" s="1"/>
  <c r="AP16" i="33" s="1"/>
  <c r="J16" i="33"/>
  <c r="Q16" i="33"/>
  <c r="AE21" i="33"/>
  <c r="AG21" i="33" s="1"/>
  <c r="AL21" i="33"/>
  <c r="AG34" i="34"/>
  <c r="AL34" i="30"/>
  <c r="AN34" i="30" s="1"/>
  <c r="AP34" i="30" s="1"/>
  <c r="X36" i="30"/>
  <c r="Z36" i="30" s="1"/>
  <c r="F26" i="31"/>
  <c r="H26" i="31" s="1"/>
  <c r="O26" i="31" s="1"/>
  <c r="X26" i="31"/>
  <c r="Z26" i="31" s="1"/>
  <c r="AL33" i="31"/>
  <c r="AN35" i="31"/>
  <c r="AP35" i="31" s="1"/>
  <c r="F40" i="31"/>
  <c r="H40" i="31" s="1"/>
  <c r="F45" i="31"/>
  <c r="H45" i="31" s="1"/>
  <c r="J46" i="31"/>
  <c r="Q16" i="32"/>
  <c r="S16" i="32" s="1"/>
  <c r="F24" i="32"/>
  <c r="H24" i="32" s="1"/>
  <c r="O24" i="32" s="1"/>
  <c r="AN25" i="32"/>
  <c r="AP25" i="32" s="1"/>
  <c r="X30" i="32"/>
  <c r="Z30" i="32" s="1"/>
  <c r="AG40" i="32"/>
  <c r="Z41" i="32"/>
  <c r="AN21" i="33"/>
  <c r="AF43" i="33"/>
  <c r="AG37" i="33"/>
  <c r="AF46" i="33"/>
  <c r="AF44" i="33"/>
  <c r="AG44" i="33" s="1"/>
  <c r="Z41" i="33"/>
  <c r="AL17" i="34"/>
  <c r="AN17" i="34" s="1"/>
  <c r="AP17" i="34" s="1"/>
  <c r="Z41" i="34"/>
  <c r="F34" i="30"/>
  <c r="H34" i="30" s="1"/>
  <c r="AL43" i="30"/>
  <c r="AN43" i="30" s="1"/>
  <c r="AL19" i="31"/>
  <c r="AN19" i="31" s="1"/>
  <c r="Q32" i="31"/>
  <c r="S32" i="31" s="1"/>
  <c r="AC32" i="31" s="1"/>
  <c r="Q34" i="31"/>
  <c r="S34" i="31" s="1"/>
  <c r="J41" i="31"/>
  <c r="L41" i="31" s="1"/>
  <c r="AE41" i="31"/>
  <c r="Z17" i="32"/>
  <c r="AE18" i="32"/>
  <c r="AG18" i="32" s="1"/>
  <c r="L19" i="32"/>
  <c r="S28" i="32"/>
  <c r="Z32" i="32"/>
  <c r="AN33" i="32"/>
  <c r="AP33" i="32" s="1"/>
  <c r="AL45" i="32"/>
  <c r="AN45" i="32" s="1"/>
  <c r="Q46" i="32"/>
  <c r="H23" i="33"/>
  <c r="O23" i="33" s="1"/>
  <c r="X25" i="33"/>
  <c r="Z25" i="33" s="1"/>
  <c r="L23" i="34"/>
  <c r="H22" i="35"/>
  <c r="O22" i="35" s="1"/>
  <c r="AL34" i="31"/>
  <c r="AN34" i="31" s="1"/>
  <c r="AP34" i="31" s="1"/>
  <c r="AM44" i="31"/>
  <c r="AN37" i="31"/>
  <c r="AP37" i="31" s="1"/>
  <c r="AG41" i="31"/>
  <c r="R43" i="31"/>
  <c r="AL46" i="31"/>
  <c r="H37" i="31"/>
  <c r="O37" i="31" s="1"/>
  <c r="G46" i="31"/>
  <c r="AE17" i="32"/>
  <c r="AG17" i="32" s="1"/>
  <c r="J17" i="32"/>
  <c r="L17" i="32" s="1"/>
  <c r="J18" i="32"/>
  <c r="L18" i="32" s="1"/>
  <c r="AN22" i="32"/>
  <c r="AP22" i="32" s="1"/>
  <c r="Z23" i="32"/>
  <c r="Q26" i="32"/>
  <c r="S26" i="32" s="1"/>
  <c r="AE26" i="32"/>
  <c r="AG26" i="32" s="1"/>
  <c r="F26" i="32"/>
  <c r="J40" i="32"/>
  <c r="L40" i="32" s="1"/>
  <c r="J22" i="33"/>
  <c r="L22" i="33" s="1"/>
  <c r="Q22" i="33"/>
  <c r="S22" i="33" s="1"/>
  <c r="AL22" i="33"/>
  <c r="AN22" i="33" s="1"/>
  <c r="AP22" i="33" s="1"/>
  <c r="Z31" i="33"/>
  <c r="AL32" i="33"/>
  <c r="Q18" i="34"/>
  <c r="S18" i="34" s="1"/>
  <c r="AE18" i="34"/>
  <c r="AG18" i="34" s="1"/>
  <c r="F18" i="34"/>
  <c r="H18" i="34" s="1"/>
  <c r="O18" i="34" s="1"/>
  <c r="X18" i="34"/>
  <c r="Z18" i="34" s="1"/>
  <c r="J18" i="34"/>
  <c r="L18" i="34" s="1"/>
  <c r="AL18" i="34"/>
  <c r="AN18" i="34" s="1"/>
  <c r="AG19" i="35"/>
  <c r="AL28" i="32"/>
  <c r="X33" i="32"/>
  <c r="Z33" i="32" s="1"/>
  <c r="Q19" i="33"/>
  <c r="S19" i="33" s="1"/>
  <c r="F19" i="33"/>
  <c r="H19" i="33" s="1"/>
  <c r="AN25" i="33"/>
  <c r="Z34" i="33"/>
  <c r="X44" i="33"/>
  <c r="Z44" i="33" s="1"/>
  <c r="AG22" i="34"/>
  <c r="H45" i="34"/>
  <c r="AE18" i="35"/>
  <c r="Q18" i="35"/>
  <c r="J18" i="35"/>
  <c r="X18" i="35"/>
  <c r="Z18" i="35" s="1"/>
  <c r="S31" i="35"/>
  <c r="S41" i="35"/>
  <c r="AL23" i="33"/>
  <c r="AN23" i="33" s="1"/>
  <c r="AP23" i="33" s="1"/>
  <c r="AN27" i="33"/>
  <c r="AN31" i="33"/>
  <c r="AL41" i="33"/>
  <c r="AN41" i="33" s="1"/>
  <c r="AP41" i="33" s="1"/>
  <c r="L37" i="33"/>
  <c r="K43" i="33"/>
  <c r="K46" i="33"/>
  <c r="AE28" i="34"/>
  <c r="AG28" i="34" s="1"/>
  <c r="J28" i="34"/>
  <c r="Q28" i="34"/>
  <c r="AL28" i="34"/>
  <c r="AN28" i="34" s="1"/>
  <c r="F28" i="34"/>
  <c r="H28" i="34" s="1"/>
  <c r="O28" i="34" s="1"/>
  <c r="X28" i="34"/>
  <c r="Z28" i="34" s="1"/>
  <c r="S35" i="34"/>
  <c r="AQ37" i="34"/>
  <c r="AI37" i="34"/>
  <c r="X36" i="35"/>
  <c r="Z36" i="35" s="1"/>
  <c r="L38" i="32"/>
  <c r="N38" i="32" s="1"/>
  <c r="L15" i="33"/>
  <c r="S16" i="33"/>
  <c r="Q26" i="33"/>
  <c r="S26" i="33" s="1"/>
  <c r="AE26" i="33"/>
  <c r="AG26" i="33" s="1"/>
  <c r="X26" i="33"/>
  <c r="Z26" i="33" s="1"/>
  <c r="AL28" i="33"/>
  <c r="AN28" i="33" s="1"/>
  <c r="AP28" i="33" s="1"/>
  <c r="AE34" i="33"/>
  <c r="AG34" i="33" s="1"/>
  <c r="J34" i="33"/>
  <c r="G43" i="33"/>
  <c r="H37" i="33"/>
  <c r="O37" i="33" s="1"/>
  <c r="G44" i="33"/>
  <c r="H44" i="33" s="1"/>
  <c r="G46" i="33"/>
  <c r="Z38" i="33"/>
  <c r="J40" i="33"/>
  <c r="L40" i="33" s="1"/>
  <c r="F40" i="33"/>
  <c r="AE40" i="33"/>
  <c r="AG40" i="33" s="1"/>
  <c r="AL40" i="33"/>
  <c r="AN40" i="33" s="1"/>
  <c r="AP40" i="33" s="1"/>
  <c r="Q40" i="33"/>
  <c r="S40" i="33" s="1"/>
  <c r="R44" i="33"/>
  <c r="R46" i="33"/>
  <c r="S37" i="33"/>
  <c r="R43" i="33"/>
  <c r="AE33" i="34"/>
  <c r="J33" i="34"/>
  <c r="L33" i="34" s="1"/>
  <c r="Q33" i="34"/>
  <c r="S33" i="34" s="1"/>
  <c r="X33" i="34"/>
  <c r="Z33" i="34" s="1"/>
  <c r="H18" i="35"/>
  <c r="O18" i="35" s="1"/>
  <c r="Z19" i="35"/>
  <c r="AG24" i="35"/>
  <c r="J17" i="36"/>
  <c r="F17" i="36"/>
  <c r="AL17" i="36"/>
  <c r="AN17" i="36" s="1"/>
  <c r="X17" i="36"/>
  <c r="Z17" i="36" s="1"/>
  <c r="AE17" i="36"/>
  <c r="AG17" i="36" s="1"/>
  <c r="Q17" i="36"/>
  <c r="S17" i="36" s="1"/>
  <c r="X45" i="32"/>
  <c r="Z45" i="32" s="1"/>
  <c r="AE17" i="33"/>
  <c r="AG17" i="33" s="1"/>
  <c r="AL17" i="33"/>
  <c r="AN17" i="33" s="1"/>
  <c r="X18" i="33"/>
  <c r="F18" i="33"/>
  <c r="H18" i="33" s="1"/>
  <c r="O18" i="33" s="1"/>
  <c r="J19" i="33"/>
  <c r="L19" i="33" s="1"/>
  <c r="F26" i="33"/>
  <c r="H26" i="33" s="1"/>
  <c r="O26" i="33" s="1"/>
  <c r="AG28" i="33"/>
  <c r="F34" i="33"/>
  <c r="H34" i="33" s="1"/>
  <c r="O34" i="33" s="1"/>
  <c r="S35" i="33"/>
  <c r="L36" i="33"/>
  <c r="H40" i="33"/>
  <c r="H41" i="33"/>
  <c r="AG15" i="34"/>
  <c r="L24" i="34"/>
  <c r="F33" i="34"/>
  <c r="H33" i="34" s="1"/>
  <c r="AE22" i="35"/>
  <c r="L26" i="35"/>
  <c r="H36" i="36"/>
  <c r="Q35" i="31"/>
  <c r="S35" i="31" s="1"/>
  <c r="AC35" i="31" s="1"/>
  <c r="AL20" i="32"/>
  <c r="AN20" i="32" s="1"/>
  <c r="AP20" i="32" s="1"/>
  <c r="X40" i="32"/>
  <c r="Z40" i="32" s="1"/>
  <c r="Q43" i="32"/>
  <c r="S43" i="32" s="1"/>
  <c r="F43" i="32"/>
  <c r="AE45" i="32"/>
  <c r="AG45" i="32" s="1"/>
  <c r="AL18" i="33"/>
  <c r="AN32" i="33"/>
  <c r="S34" i="33"/>
  <c r="X35" i="33"/>
  <c r="Z35" i="33" s="1"/>
  <c r="Z40" i="33"/>
  <c r="J45" i="33"/>
  <c r="L45" i="33" s="1"/>
  <c r="S38" i="34"/>
  <c r="S40" i="34"/>
  <c r="AN18" i="35"/>
  <c r="AP18" i="35" s="1"/>
  <c r="S28" i="35"/>
  <c r="L38" i="35"/>
  <c r="AL35" i="31"/>
  <c r="AL25" i="32"/>
  <c r="AL30" i="32"/>
  <c r="AL33" i="32"/>
  <c r="AE38" i="32"/>
  <c r="AG38" i="32" s="1"/>
  <c r="AL38" i="32"/>
  <c r="AN38" i="32" s="1"/>
  <c r="AP38" i="32" s="1"/>
  <c r="F40" i="32"/>
  <c r="H40" i="32" s="1"/>
  <c r="F41" i="32"/>
  <c r="AL46" i="32"/>
  <c r="AN18" i="33"/>
  <c r="AP18" i="33" s="1"/>
  <c r="X19" i="33"/>
  <c r="H21" i="33"/>
  <c r="J27" i="33"/>
  <c r="L27" i="33" s="1"/>
  <c r="X27" i="33"/>
  <c r="Q27" i="33"/>
  <c r="S27" i="33" s="1"/>
  <c r="S28" i="33"/>
  <c r="Q31" i="33"/>
  <c r="S31" i="33" s="1"/>
  <c r="AE31" i="33"/>
  <c r="AG31" i="33" s="1"/>
  <c r="X31" i="33"/>
  <c r="AL33" i="33"/>
  <c r="AN33" i="33" s="1"/>
  <c r="H38" i="33"/>
  <c r="O38" i="33" s="1"/>
  <c r="L19" i="34"/>
  <c r="Q30" i="34"/>
  <c r="S30" i="34" s="1"/>
  <c r="AE30" i="34"/>
  <c r="AG30" i="34" s="1"/>
  <c r="X30" i="34"/>
  <c r="Z30" i="34" s="1"/>
  <c r="F30" i="34"/>
  <c r="H30" i="34" s="1"/>
  <c r="J30" i="34"/>
  <c r="H15" i="35"/>
  <c r="Z17" i="35"/>
  <c r="AG36" i="32"/>
  <c r="AE15" i="33"/>
  <c r="AG15" i="33" s="1"/>
  <c r="J15" i="33"/>
  <c r="L16" i="33"/>
  <c r="Q17" i="33"/>
  <c r="S17" i="33" s="1"/>
  <c r="Q18" i="33"/>
  <c r="J20" i="33"/>
  <c r="L20" i="33" s="1"/>
  <c r="F20" i="33"/>
  <c r="H20" i="33" s="1"/>
  <c r="O20" i="33" s="1"/>
  <c r="AE24" i="33"/>
  <c r="AG24" i="33" s="1"/>
  <c r="AG33" i="33"/>
  <c r="S16" i="34"/>
  <c r="Q25" i="34"/>
  <c r="S25" i="34" s="1"/>
  <c r="AE25" i="34"/>
  <c r="AG25" i="34" s="1"/>
  <c r="X25" i="34"/>
  <c r="Z25" i="34" s="1"/>
  <c r="F25" i="34"/>
  <c r="H25" i="34" s="1"/>
  <c r="O25" i="34" s="1"/>
  <c r="J25" i="34"/>
  <c r="L25" i="34" s="1"/>
  <c r="S31" i="34"/>
  <c r="AL33" i="34"/>
  <c r="AN33" i="34" s="1"/>
  <c r="AP33" i="34" s="1"/>
  <c r="AN22" i="35"/>
  <c r="J43" i="32"/>
  <c r="AE43" i="32"/>
  <c r="Q45" i="32"/>
  <c r="S45" i="32" s="1"/>
  <c r="F15" i="33"/>
  <c r="H15" i="33" s="1"/>
  <c r="S18" i="33"/>
  <c r="AE20" i="33"/>
  <c r="AG20" i="33" s="1"/>
  <c r="Z28" i="33"/>
  <c r="X34" i="33"/>
  <c r="L35" i="33"/>
  <c r="X36" i="33"/>
  <c r="Z36" i="33" s="1"/>
  <c r="Q36" i="33"/>
  <c r="S36" i="33" s="1"/>
  <c r="AE36" i="33"/>
  <c r="AG36" i="33" s="1"/>
  <c r="F36" i="33"/>
  <c r="H36" i="33" s="1"/>
  <c r="AL36" i="33"/>
  <c r="AN36" i="33"/>
  <c r="Z16" i="34"/>
  <c r="X45" i="34"/>
  <c r="Z45" i="34" s="1"/>
  <c r="L15" i="35"/>
  <c r="L18" i="36"/>
  <c r="S22" i="37"/>
  <c r="L15" i="34"/>
  <c r="S22" i="34"/>
  <c r="S28" i="34"/>
  <c r="AG35" i="34"/>
  <c r="H40" i="34"/>
  <c r="F17" i="35"/>
  <c r="H17" i="35" s="1"/>
  <c r="O17" i="35" s="1"/>
  <c r="X17" i="35"/>
  <c r="AL17" i="35"/>
  <c r="AN17" i="35" s="1"/>
  <c r="Q17" i="35"/>
  <c r="J17" i="35"/>
  <c r="L17" i="35" s="1"/>
  <c r="AN20" i="35"/>
  <c r="L20" i="37"/>
  <c r="AG17" i="38"/>
  <c r="F38" i="33"/>
  <c r="X38" i="33"/>
  <c r="S41" i="33"/>
  <c r="Q44" i="33"/>
  <c r="AL32" i="34"/>
  <c r="AN32" i="34" s="1"/>
  <c r="AP32" i="34" s="1"/>
  <c r="L34" i="34"/>
  <c r="H38" i="34"/>
  <c r="O38" i="34" s="1"/>
  <c r="F43" i="34"/>
  <c r="AL21" i="35"/>
  <c r="AN21" i="35" s="1"/>
  <c r="AP21" i="35" s="1"/>
  <c r="AE32" i="35"/>
  <c r="AG32" i="35" s="1"/>
  <c r="X32" i="35"/>
  <c r="Z32" i="35" s="1"/>
  <c r="J32" i="35"/>
  <c r="L32" i="35" s="1"/>
  <c r="F32" i="35"/>
  <c r="H32" i="35" s="1"/>
  <c r="Q32" i="35"/>
  <c r="S32" i="35" s="1"/>
  <c r="AL32" i="35"/>
  <c r="AE38" i="35"/>
  <c r="AG38" i="35" s="1"/>
  <c r="X38" i="35"/>
  <c r="Z38" i="35" s="1"/>
  <c r="Q38" i="35"/>
  <c r="S38" i="35" s="1"/>
  <c r="AL38" i="35"/>
  <c r="J38" i="35"/>
  <c r="AL32" i="36"/>
  <c r="H45" i="36"/>
  <c r="X24" i="34"/>
  <c r="Z24" i="34" s="1"/>
  <c r="AL27" i="34"/>
  <c r="AN27" i="34" s="1"/>
  <c r="AP27" i="34" s="1"/>
  <c r="Q35" i="34"/>
  <c r="L40" i="34"/>
  <c r="Q41" i="34"/>
  <c r="S41" i="34" s="1"/>
  <c r="AE41" i="34"/>
  <c r="AG41" i="34" s="1"/>
  <c r="X41" i="34"/>
  <c r="F41" i="34"/>
  <c r="H41" i="34" s="1"/>
  <c r="AE44" i="34"/>
  <c r="AG18" i="35"/>
  <c r="L20" i="35"/>
  <c r="AG22" i="35"/>
  <c r="AN35" i="35"/>
  <c r="S15" i="37"/>
  <c r="AL24" i="33"/>
  <c r="AN24" i="33" s="1"/>
  <c r="AP24" i="33" s="1"/>
  <c r="AE25" i="33"/>
  <c r="AG25" i="33" s="1"/>
  <c r="AE30" i="33"/>
  <c r="Y43" i="33"/>
  <c r="Z43" i="33" s="1"/>
  <c r="Z37" i="33"/>
  <c r="N21" i="34"/>
  <c r="O21" i="34" s="1"/>
  <c r="AN21" i="34"/>
  <c r="H32" i="34"/>
  <c r="AL41" i="34"/>
  <c r="AN41" i="34" s="1"/>
  <c r="H43" i="34"/>
  <c r="Q15" i="35"/>
  <c r="S15" i="35" s="1"/>
  <c r="AE15" i="35"/>
  <c r="AG15" i="35" s="1"/>
  <c r="X15" i="35"/>
  <c r="Z15" i="35" s="1"/>
  <c r="H21" i="35"/>
  <c r="AE30" i="35"/>
  <c r="AG30" i="35" s="1"/>
  <c r="J30" i="35"/>
  <c r="L30" i="35" s="1"/>
  <c r="X30" i="35"/>
  <c r="F30" i="35"/>
  <c r="H30" i="35" s="1"/>
  <c r="Q30" i="35"/>
  <c r="S30" i="35" s="1"/>
  <c r="AG34" i="35"/>
  <c r="S15" i="36"/>
  <c r="AL19" i="34"/>
  <c r="AN19" i="34" s="1"/>
  <c r="AP19" i="34" s="1"/>
  <c r="Z23" i="34"/>
  <c r="AN25" i="34"/>
  <c r="S32" i="34"/>
  <c r="J36" i="34"/>
  <c r="L36" i="34" s="1"/>
  <c r="L45" i="34"/>
  <c r="Q46" i="34"/>
  <c r="AE46" i="34"/>
  <c r="X46" i="34"/>
  <c r="Z46" i="34" s="1"/>
  <c r="F46" i="34"/>
  <c r="H46" i="34" s="1"/>
  <c r="S17" i="35"/>
  <c r="AE23" i="35"/>
  <c r="AG23" i="35" s="1"/>
  <c r="J23" i="35"/>
  <c r="F23" i="35"/>
  <c r="AL23" i="35"/>
  <c r="AN23" i="35" s="1"/>
  <c r="AP23" i="35" s="1"/>
  <c r="L36" i="36"/>
  <c r="AE24" i="37"/>
  <c r="J24" i="37"/>
  <c r="L24" i="37" s="1"/>
  <c r="X24" i="37"/>
  <c r="Z24" i="37" s="1"/>
  <c r="Q24" i="37"/>
  <c r="AL24" i="37"/>
  <c r="AN24" i="37" s="1"/>
  <c r="AP24" i="37" s="1"/>
  <c r="AL25" i="33"/>
  <c r="AL30" i="33"/>
  <c r="AN30" i="33" s="1"/>
  <c r="X15" i="34"/>
  <c r="Z15" i="34" s="1"/>
  <c r="U21" i="34"/>
  <c r="V21" i="34" s="1"/>
  <c r="S24" i="34"/>
  <c r="S27" i="34"/>
  <c r="L30" i="34"/>
  <c r="H36" i="34"/>
  <c r="Z38" i="34"/>
  <c r="Z43" i="34"/>
  <c r="J16" i="35"/>
  <c r="X16" i="35"/>
  <c r="Z16" i="35" s="1"/>
  <c r="Q16" i="35"/>
  <c r="S16" i="35" s="1"/>
  <c r="AG16" i="35"/>
  <c r="L18" i="35"/>
  <c r="X19" i="35"/>
  <c r="J19" i="35"/>
  <c r="L19" i="35" s="1"/>
  <c r="F19" i="35"/>
  <c r="H19" i="35" s="1"/>
  <c r="Q19" i="35"/>
  <c r="S19" i="35" s="1"/>
  <c r="AL19" i="35"/>
  <c r="U21" i="35"/>
  <c r="AG28" i="35"/>
  <c r="N37" i="35"/>
  <c r="AG45" i="35"/>
  <c r="Z37" i="35"/>
  <c r="Y43" i="35"/>
  <c r="Z28" i="36"/>
  <c r="S36" i="36"/>
  <c r="F24" i="37"/>
  <c r="H24" i="37" s="1"/>
  <c r="O24" i="37" s="1"/>
  <c r="AL35" i="33"/>
  <c r="AN35" i="33" s="1"/>
  <c r="AP35" i="33" s="1"/>
  <c r="Q38" i="33"/>
  <c r="S38" i="33" s="1"/>
  <c r="X45" i="33"/>
  <c r="Z45" i="33" s="1"/>
  <c r="H19" i="34"/>
  <c r="X21" i="34"/>
  <c r="AG26" i="34"/>
  <c r="L28" i="34"/>
  <c r="J31" i="34"/>
  <c r="L31" i="34" s="1"/>
  <c r="X31" i="34"/>
  <c r="Z31" i="34" s="1"/>
  <c r="F31" i="34"/>
  <c r="Q31" i="34"/>
  <c r="X34" i="34"/>
  <c r="AN46" i="34"/>
  <c r="J46" i="34"/>
  <c r="R43" i="34"/>
  <c r="S37" i="34"/>
  <c r="F16" i="35"/>
  <c r="H16" i="35" s="1"/>
  <c r="O16" i="35" s="1"/>
  <c r="AN19" i="35"/>
  <c r="AP19" i="35" s="1"/>
  <c r="AG20" i="35"/>
  <c r="X25" i="35"/>
  <c r="Z25" i="35" s="1"/>
  <c r="Z41" i="35"/>
  <c r="AF43" i="35"/>
  <c r="AG37" i="35"/>
  <c r="AB48" i="37"/>
  <c r="AJ48" i="37"/>
  <c r="X35" i="32"/>
  <c r="Z35" i="32" s="1"/>
  <c r="F35" i="33"/>
  <c r="H35" i="33" s="1"/>
  <c r="O35" i="33" s="1"/>
  <c r="AL38" i="33"/>
  <c r="AN38" i="33" s="1"/>
  <c r="AP38" i="33" s="1"/>
  <c r="Y46" i="33"/>
  <c r="Z46" i="33" s="1"/>
  <c r="Z21" i="34"/>
  <c r="AE23" i="34"/>
  <c r="AG23" i="34" s="1"/>
  <c r="J26" i="34"/>
  <c r="L26" i="34" s="1"/>
  <c r="X26" i="34"/>
  <c r="Z26" i="34" s="1"/>
  <c r="F26" i="34"/>
  <c r="H26" i="34" s="1"/>
  <c r="O26" i="34" s="1"/>
  <c r="Q26" i="34"/>
  <c r="S26" i="34" s="1"/>
  <c r="H31" i="34"/>
  <c r="O31" i="34" s="1"/>
  <c r="Z32" i="34"/>
  <c r="AP37" i="34"/>
  <c r="Y44" i="34"/>
  <c r="Z44" i="34" s="1"/>
  <c r="K46" i="34"/>
  <c r="AL16" i="35"/>
  <c r="AE17" i="35"/>
  <c r="AG17" i="35" s="1"/>
  <c r="AL20" i="35"/>
  <c r="Q23" i="35"/>
  <c r="S23" i="35" s="1"/>
  <c r="H24" i="35"/>
  <c r="O24" i="35" s="1"/>
  <c r="AN25" i="35"/>
  <c r="AP25" i="35" s="1"/>
  <c r="AN26" i="35"/>
  <c r="AP26" i="35" s="1"/>
  <c r="Z30" i="35"/>
  <c r="X33" i="35"/>
  <c r="Z33" i="35" s="1"/>
  <c r="Q33" i="35"/>
  <c r="S33" i="35" s="1"/>
  <c r="AL33" i="35"/>
  <c r="J33" i="35"/>
  <c r="L33" i="35" s="1"/>
  <c r="F46" i="35"/>
  <c r="X46" i="35"/>
  <c r="Q46" i="35"/>
  <c r="J46" i="35"/>
  <c r="AE46" i="35"/>
  <c r="N47" i="37"/>
  <c r="O47" i="37" s="1"/>
  <c r="AL46" i="33"/>
  <c r="AE21" i="34"/>
  <c r="AG21" i="34" s="1"/>
  <c r="Z27" i="34"/>
  <c r="AL31" i="34"/>
  <c r="AN31" i="34" s="1"/>
  <c r="AN34" i="34"/>
  <c r="AP34" i="34" s="1"/>
  <c r="AL38" i="34"/>
  <c r="AN38" i="34" s="1"/>
  <c r="AP38" i="34" s="1"/>
  <c r="X40" i="34"/>
  <c r="Z40" i="34" s="1"/>
  <c r="AF44" i="34"/>
  <c r="AF46" i="34"/>
  <c r="AG46" i="34" s="1"/>
  <c r="AG43" i="34"/>
  <c r="L16" i="35"/>
  <c r="AN16" i="35"/>
  <c r="AP16" i="35" s="1"/>
  <c r="F33" i="35"/>
  <c r="H33" i="35" s="1"/>
  <c r="AG40" i="35"/>
  <c r="H35" i="36"/>
  <c r="O35" i="36" s="1"/>
  <c r="AL26" i="35"/>
  <c r="Z34" i="35"/>
  <c r="H17" i="36"/>
  <c r="O17" i="36" s="1"/>
  <c r="H18" i="36"/>
  <c r="O18" i="36" s="1"/>
  <c r="O21" i="36"/>
  <c r="AN32" i="36"/>
  <c r="AP32" i="36" s="1"/>
  <c r="S16" i="37"/>
  <c r="X18" i="37"/>
  <c r="AE27" i="35"/>
  <c r="AG27" i="35" s="1"/>
  <c r="AN32" i="35"/>
  <c r="S36" i="35"/>
  <c r="L17" i="36"/>
  <c r="H22" i="36"/>
  <c r="O22" i="36" s="1"/>
  <c r="L24" i="36"/>
  <c r="L31" i="36"/>
  <c r="AL33" i="36"/>
  <c r="AL35" i="34"/>
  <c r="AN35" i="34" s="1"/>
  <c r="AP35" i="34" s="1"/>
  <c r="X21" i="35"/>
  <c r="H26" i="35"/>
  <c r="O26" i="35" s="1"/>
  <c r="F27" i="35"/>
  <c r="H27" i="35" s="1"/>
  <c r="O27" i="35" s="1"/>
  <c r="X27" i="35"/>
  <c r="Z27" i="35" s="1"/>
  <c r="AL34" i="35"/>
  <c r="AN34" i="35" s="1"/>
  <c r="AP34" i="35" s="1"/>
  <c r="AM46" i="35"/>
  <c r="AN43" i="35"/>
  <c r="G46" i="35"/>
  <c r="H46" i="35" s="1"/>
  <c r="G44" i="35"/>
  <c r="H44" i="35" s="1"/>
  <c r="H43" i="35"/>
  <c r="AM44" i="35"/>
  <c r="N21" i="36"/>
  <c r="U21" i="36"/>
  <c r="V21" i="36" s="1"/>
  <c r="Z16" i="37"/>
  <c r="AL23" i="34"/>
  <c r="AN23" i="34" s="1"/>
  <c r="AP23" i="34" s="1"/>
  <c r="AE24" i="34"/>
  <c r="AG24" i="34" s="1"/>
  <c r="F35" i="34"/>
  <c r="H35" i="34" s="1"/>
  <c r="O35" i="34" s="1"/>
  <c r="AE40" i="34"/>
  <c r="AG40" i="34" s="1"/>
  <c r="AL44" i="34"/>
  <c r="AN44" i="34" s="1"/>
  <c r="AE45" i="34"/>
  <c r="AE20" i="35"/>
  <c r="Z21" i="35"/>
  <c r="X28" i="35"/>
  <c r="Z28" i="35" s="1"/>
  <c r="Q35" i="35"/>
  <c r="S35" i="35" s="1"/>
  <c r="AP37" i="35"/>
  <c r="J45" i="35"/>
  <c r="L45" i="35" s="1"/>
  <c r="Q45" i="35"/>
  <c r="F45" i="35"/>
  <c r="H45" i="35" s="1"/>
  <c r="AL45" i="35"/>
  <c r="AN45" i="35" s="1"/>
  <c r="AG37" i="36"/>
  <c r="Q46" i="33"/>
  <c r="Q22" i="34"/>
  <c r="J23" i="34"/>
  <c r="AL36" i="34"/>
  <c r="AN36" i="34" s="1"/>
  <c r="AP36" i="34" s="1"/>
  <c r="J44" i="34"/>
  <c r="L44" i="34" s="1"/>
  <c r="J22" i="35"/>
  <c r="L22" i="35" s="1"/>
  <c r="F24" i="35"/>
  <c r="X24" i="35"/>
  <c r="Z24" i="35" s="1"/>
  <c r="AL25" i="35"/>
  <c r="J28" i="35"/>
  <c r="L28" i="35" s="1"/>
  <c r="AG33" i="35"/>
  <c r="U37" i="35"/>
  <c r="AL41" i="35"/>
  <c r="AN41" i="35" s="1"/>
  <c r="AP41" i="35" s="1"/>
  <c r="R46" i="35"/>
  <c r="S46" i="35" s="1"/>
  <c r="S43" i="35"/>
  <c r="AG18" i="36"/>
  <c r="AN19" i="36"/>
  <c r="AP19" i="36" s="1"/>
  <c r="S30" i="36"/>
  <c r="S37" i="36"/>
  <c r="R43" i="36"/>
  <c r="AG15" i="37"/>
  <c r="AL24" i="34"/>
  <c r="AN24" i="34" s="1"/>
  <c r="AP24" i="34" s="1"/>
  <c r="AL40" i="34"/>
  <c r="AN40" i="34" s="1"/>
  <c r="AP40" i="34" s="1"/>
  <c r="AL45" i="34"/>
  <c r="AN45" i="34" s="1"/>
  <c r="AP45" i="34" s="1"/>
  <c r="H23" i="35"/>
  <c r="O23" i="35" s="1"/>
  <c r="Z35" i="35"/>
  <c r="S45" i="35"/>
  <c r="AE26" i="36"/>
  <c r="AG26" i="36" s="1"/>
  <c r="L32" i="36"/>
  <c r="AL34" i="36"/>
  <c r="AN34" i="36" s="1"/>
  <c r="S40" i="36"/>
  <c r="Y43" i="36"/>
  <c r="Z37" i="36"/>
  <c r="H19" i="38"/>
  <c r="H25" i="38"/>
  <c r="O25" i="38" s="1"/>
  <c r="AL15" i="34"/>
  <c r="AN15" i="34" s="1"/>
  <c r="F24" i="34"/>
  <c r="H24" i="34" s="1"/>
  <c r="O24" i="34" s="1"/>
  <c r="AL34" i="34"/>
  <c r="AE35" i="34"/>
  <c r="F40" i="34"/>
  <c r="F45" i="34"/>
  <c r="Q20" i="35"/>
  <c r="S20" i="35" s="1"/>
  <c r="Q27" i="35"/>
  <c r="S27" i="35" s="1"/>
  <c r="AL31" i="35"/>
  <c r="AN31" i="35" s="1"/>
  <c r="AP31" i="35" s="1"/>
  <c r="AE35" i="35"/>
  <c r="AG35" i="35" s="1"/>
  <c r="J35" i="35"/>
  <c r="L35" i="35" s="1"/>
  <c r="L36" i="35"/>
  <c r="AF44" i="36"/>
  <c r="AF46" i="36"/>
  <c r="L43" i="37"/>
  <c r="AG45" i="37"/>
  <c r="F15" i="34"/>
  <c r="H15" i="34" s="1"/>
  <c r="F34" i="34"/>
  <c r="H34" i="34" s="1"/>
  <c r="O34" i="34" s="1"/>
  <c r="AL43" i="34"/>
  <c r="AN43" i="34" s="1"/>
  <c r="F20" i="35"/>
  <c r="H20" i="35" s="1"/>
  <c r="O20" i="35" s="1"/>
  <c r="X20" i="35"/>
  <c r="Z20" i="35" s="1"/>
  <c r="L23" i="35"/>
  <c r="J24" i="35"/>
  <c r="L24" i="35" s="1"/>
  <c r="F25" i="35"/>
  <c r="H25" i="35" s="1"/>
  <c r="O25" i="35" s="1"/>
  <c r="AL27" i="35"/>
  <c r="AN27" i="35" s="1"/>
  <c r="AP27" i="35" s="1"/>
  <c r="F35" i="35"/>
  <c r="H35" i="35" s="1"/>
  <c r="O35" i="35" s="1"/>
  <c r="AN36" i="35"/>
  <c r="AP36" i="35" s="1"/>
  <c r="AC37" i="35"/>
  <c r="AN38" i="35"/>
  <c r="F40" i="35"/>
  <c r="H40" i="35" s="1"/>
  <c r="X40" i="35"/>
  <c r="Z40" i="35" s="1"/>
  <c r="Q16" i="36"/>
  <c r="S16" i="36" s="1"/>
  <c r="AE16" i="36"/>
  <c r="AG16" i="36" s="1"/>
  <c r="X16" i="36"/>
  <c r="Z16" i="36" s="1"/>
  <c r="AL16" i="36"/>
  <c r="X20" i="36"/>
  <c r="Z20" i="36" s="1"/>
  <c r="AE20" i="36"/>
  <c r="AG20" i="36" s="1"/>
  <c r="F20" i="36"/>
  <c r="H20" i="36" s="1"/>
  <c r="O20" i="36" s="1"/>
  <c r="Q20" i="36"/>
  <c r="S20" i="36" s="1"/>
  <c r="AL20" i="36"/>
  <c r="AN30" i="36"/>
  <c r="AP30" i="36" s="1"/>
  <c r="S38" i="36"/>
  <c r="AG17" i="37"/>
  <c r="S43" i="37"/>
  <c r="H31" i="35"/>
  <c r="O31" i="35" s="1"/>
  <c r="AN33" i="35"/>
  <c r="F16" i="36"/>
  <c r="H16" i="36" s="1"/>
  <c r="O16" i="36" s="1"/>
  <c r="X18" i="36"/>
  <c r="Z18" i="36" s="1"/>
  <c r="AN21" i="36"/>
  <c r="Z27" i="36"/>
  <c r="J31" i="36"/>
  <c r="Q41" i="35"/>
  <c r="X43" i="35"/>
  <c r="J26" i="36"/>
  <c r="AN36" i="36"/>
  <c r="Z18" i="37"/>
  <c r="AG24" i="37"/>
  <c r="H26" i="37"/>
  <c r="O26" i="37" s="1"/>
  <c r="Z40" i="37"/>
  <c r="Z22" i="38"/>
  <c r="Q44" i="35"/>
  <c r="S44" i="35" s="1"/>
  <c r="X44" i="35"/>
  <c r="AN16" i="36"/>
  <c r="AN20" i="36"/>
  <c r="AP20" i="36" s="1"/>
  <c r="AE24" i="36"/>
  <c r="AG24" i="36" s="1"/>
  <c r="AL24" i="36"/>
  <c r="F24" i="36"/>
  <c r="L26" i="36"/>
  <c r="H27" i="36"/>
  <c r="O27" i="36" s="1"/>
  <c r="AG34" i="36"/>
  <c r="J41" i="36"/>
  <c r="L16" i="37"/>
  <c r="AE21" i="37"/>
  <c r="X21" i="37"/>
  <c r="Z21" i="37" s="1"/>
  <c r="AL21" i="37"/>
  <c r="AN21" i="37" s="1"/>
  <c r="AN41" i="37"/>
  <c r="AP41" i="37" s="1"/>
  <c r="Z31" i="38"/>
  <c r="L33" i="38"/>
  <c r="AL18" i="36"/>
  <c r="AN18" i="36" s="1"/>
  <c r="AP18" i="36" s="1"/>
  <c r="H24" i="36"/>
  <c r="O24" i="36" s="1"/>
  <c r="AG33" i="36"/>
  <c r="H37" i="36"/>
  <c r="G43" i="36"/>
  <c r="AL33" i="37"/>
  <c r="AN33" i="37" s="1"/>
  <c r="AP33" i="37" s="1"/>
  <c r="H37" i="37"/>
  <c r="AC48" i="37"/>
  <c r="U48" i="37"/>
  <c r="V48" i="37" s="1"/>
  <c r="Z45" i="35"/>
  <c r="F18" i="36"/>
  <c r="J24" i="36"/>
  <c r="AN24" i="36"/>
  <c r="AP24" i="36" s="1"/>
  <c r="X26" i="36"/>
  <c r="Z26" i="36" s="1"/>
  <c r="S27" i="36"/>
  <c r="AN33" i="36"/>
  <c r="AL36" i="36"/>
  <c r="K46" i="36"/>
  <c r="L46" i="36" s="1"/>
  <c r="K44" i="36"/>
  <c r="L44" i="36" s="1"/>
  <c r="L43" i="36"/>
  <c r="H40" i="36"/>
  <c r="X43" i="36"/>
  <c r="AE45" i="36"/>
  <c r="AG45" i="36" s="1"/>
  <c r="Q45" i="36"/>
  <c r="AL45" i="36"/>
  <c r="AN45" i="36" s="1"/>
  <c r="AP45" i="36" s="1"/>
  <c r="J45" i="36"/>
  <c r="X45" i="36"/>
  <c r="Z45" i="36" s="1"/>
  <c r="X25" i="37"/>
  <c r="Z25" i="37" s="1"/>
  <c r="Z31" i="37"/>
  <c r="AC21" i="38"/>
  <c r="U21" i="38"/>
  <c r="S22" i="36"/>
  <c r="X24" i="36"/>
  <c r="Z24" i="36" s="1"/>
  <c r="L30" i="36"/>
  <c r="S35" i="36"/>
  <c r="AG41" i="36"/>
  <c r="S16" i="38"/>
  <c r="AL36" i="35"/>
  <c r="AL44" i="35"/>
  <c r="X15" i="36"/>
  <c r="Z15" i="36" s="1"/>
  <c r="Q18" i="36"/>
  <c r="S18" i="36" s="1"/>
  <c r="Q26" i="36"/>
  <c r="S26" i="36" s="1"/>
  <c r="AL26" i="36"/>
  <c r="AN26" i="36" s="1"/>
  <c r="AP26" i="36" s="1"/>
  <c r="F26" i="36"/>
  <c r="H26" i="36" s="1"/>
  <c r="O26" i="36" s="1"/>
  <c r="AN27" i="36"/>
  <c r="S19" i="37"/>
  <c r="AG25" i="37"/>
  <c r="S32" i="37"/>
  <c r="Q38" i="37"/>
  <c r="S38" i="37" s="1"/>
  <c r="Q36" i="38"/>
  <c r="J36" i="38"/>
  <c r="L36" i="38" s="1"/>
  <c r="AL36" i="38"/>
  <c r="AE36" i="38"/>
  <c r="F36" i="38"/>
  <c r="H36" i="38" s="1"/>
  <c r="X36" i="38"/>
  <c r="Z36" i="38" s="1"/>
  <c r="AF43" i="38"/>
  <c r="AF44" i="38"/>
  <c r="AG44" i="38" s="1"/>
  <c r="AE28" i="36"/>
  <c r="AG28" i="36" s="1"/>
  <c r="J28" i="36"/>
  <c r="L28" i="36" s="1"/>
  <c r="AL28" i="36"/>
  <c r="AN28" i="36" s="1"/>
  <c r="AP28" i="36" s="1"/>
  <c r="Q28" i="36"/>
  <c r="S28" i="36" s="1"/>
  <c r="AL44" i="36"/>
  <c r="AN44" i="36" s="1"/>
  <c r="AN15" i="37"/>
  <c r="AE17" i="37"/>
  <c r="J17" i="37"/>
  <c r="L17" i="37" s="1"/>
  <c r="X17" i="37"/>
  <c r="Z17" i="37" s="1"/>
  <c r="AL17" i="37"/>
  <c r="F17" i="37"/>
  <c r="H17" i="37" s="1"/>
  <c r="O17" i="37" s="1"/>
  <c r="Q17" i="37"/>
  <c r="S17" i="37" s="1"/>
  <c r="AN25" i="37"/>
  <c r="AP25" i="37" s="1"/>
  <c r="Z32" i="37"/>
  <c r="F15" i="38"/>
  <c r="H15" i="38" s="1"/>
  <c r="S34" i="38"/>
  <c r="J27" i="36"/>
  <c r="L27" i="36" s="1"/>
  <c r="Q27" i="36"/>
  <c r="AE27" i="36"/>
  <c r="AG27" i="36" s="1"/>
  <c r="AL27" i="36"/>
  <c r="F28" i="36"/>
  <c r="H28" i="36" s="1"/>
  <c r="O28" i="36" s="1"/>
  <c r="X38" i="36"/>
  <c r="Z38" i="36" s="1"/>
  <c r="AG21" i="37"/>
  <c r="H23" i="37"/>
  <c r="O23" i="37" s="1"/>
  <c r="Z41" i="37"/>
  <c r="S45" i="36"/>
  <c r="AG16" i="37"/>
  <c r="F22" i="37"/>
  <c r="H22" i="37" s="1"/>
  <c r="O22" i="37" s="1"/>
  <c r="S27" i="37"/>
  <c r="X30" i="37"/>
  <c r="Q31" i="37"/>
  <c r="S31" i="37" s="1"/>
  <c r="AL32" i="37"/>
  <c r="AN32" i="37" s="1"/>
  <c r="AP32" i="37" s="1"/>
  <c r="J34" i="37"/>
  <c r="L34" i="37" s="1"/>
  <c r="X34" i="37"/>
  <c r="Z34" i="37" s="1"/>
  <c r="F34" i="37"/>
  <c r="H34" i="37" s="1"/>
  <c r="O34" i="37" s="1"/>
  <c r="Q34" i="37"/>
  <c r="S34" i="37" s="1"/>
  <c r="AN34" i="37"/>
  <c r="AP34" i="37" s="1"/>
  <c r="AF44" i="37"/>
  <c r="AF43" i="37"/>
  <c r="H41" i="37"/>
  <c r="L45" i="37"/>
  <c r="AF50" i="37"/>
  <c r="AG50" i="37" s="1"/>
  <c r="L27" i="38"/>
  <c r="X25" i="36"/>
  <c r="Z25" i="36" s="1"/>
  <c r="F25" i="36"/>
  <c r="H25" i="36" s="1"/>
  <c r="O25" i="36" s="1"/>
  <c r="H32" i="36"/>
  <c r="H38" i="36"/>
  <c r="O38" i="36" s="1"/>
  <c r="L41" i="36"/>
  <c r="AG18" i="37"/>
  <c r="X20" i="37"/>
  <c r="Z20" i="37" s="1"/>
  <c r="Z27" i="37"/>
  <c r="H32" i="37"/>
  <c r="F35" i="37"/>
  <c r="H35" i="37" s="1"/>
  <c r="O35" i="37" s="1"/>
  <c r="AG37" i="37"/>
  <c r="AE44" i="37"/>
  <c r="J44" i="37"/>
  <c r="L44" i="37" s="1"/>
  <c r="AL44" i="37"/>
  <c r="Q44" i="37"/>
  <c r="S44" i="37" s="1"/>
  <c r="AM49" i="37"/>
  <c r="AN49" i="37" s="1"/>
  <c r="N21" i="38"/>
  <c r="O21" i="38" s="1"/>
  <c r="H20" i="37"/>
  <c r="O20" i="37" s="1"/>
  <c r="AL23" i="37"/>
  <c r="AN23" i="37" s="1"/>
  <c r="AP23" i="37" s="1"/>
  <c r="Z26" i="37"/>
  <c r="L32" i="37"/>
  <c r="L33" i="37"/>
  <c r="AE36" i="37"/>
  <c r="AG36" i="37" s="1"/>
  <c r="AN37" i="37"/>
  <c r="Q43" i="37"/>
  <c r="AE43" i="37"/>
  <c r="X43" i="37"/>
  <c r="Z43" i="37" s="1"/>
  <c r="F43" i="37"/>
  <c r="H43" i="37" s="1"/>
  <c r="F44" i="37"/>
  <c r="V46" i="37"/>
  <c r="AJ47" i="37"/>
  <c r="H16" i="38"/>
  <c r="O16" i="38" s="1"/>
  <c r="L22" i="38"/>
  <c r="G44" i="38"/>
  <c r="H44" i="38" s="1"/>
  <c r="G43" i="38"/>
  <c r="H43" i="38" s="1"/>
  <c r="AN38" i="38"/>
  <c r="V21" i="39"/>
  <c r="N21" i="39"/>
  <c r="AE19" i="36"/>
  <c r="AG19" i="36" s="1"/>
  <c r="AG21" i="36"/>
  <c r="AE32" i="36"/>
  <c r="AG32" i="36" s="1"/>
  <c r="J33" i="36"/>
  <c r="L33" i="36" s="1"/>
  <c r="AL35" i="36"/>
  <c r="AN35" i="36" s="1"/>
  <c r="L40" i="36"/>
  <c r="X46" i="36"/>
  <c r="F46" i="36"/>
  <c r="L15" i="37"/>
  <c r="L30" i="37"/>
  <c r="S33" i="37"/>
  <c r="Z45" i="37"/>
  <c r="N46" i="37"/>
  <c r="AB47" i="37"/>
  <c r="H31" i="38"/>
  <c r="O31" i="38" s="1"/>
  <c r="AG32" i="38"/>
  <c r="AL38" i="36"/>
  <c r="AN38" i="36" s="1"/>
  <c r="AP38" i="36" s="1"/>
  <c r="AL46" i="36"/>
  <c r="AN46" i="36" s="1"/>
  <c r="AE19" i="37"/>
  <c r="AG19" i="37" s="1"/>
  <c r="Z22" i="37"/>
  <c r="S23" i="37"/>
  <c r="Q28" i="37"/>
  <c r="S28" i="37" s="1"/>
  <c r="AE28" i="37"/>
  <c r="AG28" i="37" s="1"/>
  <c r="X28" i="37"/>
  <c r="Z28" i="37" s="1"/>
  <c r="F28" i="37"/>
  <c r="Z30" i="37"/>
  <c r="AG31" i="37"/>
  <c r="S36" i="37"/>
  <c r="AG40" i="37"/>
  <c r="X18" i="38"/>
  <c r="Z18" i="38" s="1"/>
  <c r="Z20" i="38"/>
  <c r="AG26" i="40"/>
  <c r="AL15" i="36"/>
  <c r="AN15" i="36" s="1"/>
  <c r="X30" i="36"/>
  <c r="Z30" i="36" s="1"/>
  <c r="F30" i="36"/>
  <c r="H30" i="36" s="1"/>
  <c r="Q33" i="36"/>
  <c r="S33" i="36" s="1"/>
  <c r="Q43" i="36"/>
  <c r="J43" i="36"/>
  <c r="Q46" i="36"/>
  <c r="G49" i="37"/>
  <c r="H49" i="37" s="1"/>
  <c r="K50" i="37"/>
  <c r="L50" i="37" s="1"/>
  <c r="R49" i="37"/>
  <c r="S49" i="37" s="1"/>
  <c r="K49" i="37"/>
  <c r="L49" i="37" s="1"/>
  <c r="G50" i="37"/>
  <c r="H50" i="37" s="1"/>
  <c r="O50" i="37" s="1"/>
  <c r="Y50" i="37"/>
  <c r="Z50" i="37" s="1"/>
  <c r="Y49" i="37"/>
  <c r="Z49" i="37" s="1"/>
  <c r="R50" i="37"/>
  <c r="S50" i="37" s="1"/>
  <c r="S20" i="37"/>
  <c r="Q26" i="37"/>
  <c r="S26" i="37" s="1"/>
  <c r="AL27" i="37"/>
  <c r="AN27" i="37" s="1"/>
  <c r="H28" i="37"/>
  <c r="O28" i="37" s="1"/>
  <c r="AE34" i="37"/>
  <c r="Z35" i="37"/>
  <c r="L38" i="37"/>
  <c r="AB46" i="37"/>
  <c r="AC46" i="37" s="1"/>
  <c r="L24" i="38"/>
  <c r="Z25" i="38"/>
  <c r="S36" i="38"/>
  <c r="Q31" i="36"/>
  <c r="S31" i="36" s="1"/>
  <c r="X31" i="36"/>
  <c r="Z31" i="36" s="1"/>
  <c r="Q34" i="36"/>
  <c r="S34" i="36" s="1"/>
  <c r="X41" i="36"/>
  <c r="Z41" i="36" s="1"/>
  <c r="F41" i="36"/>
  <c r="H41" i="36" s="1"/>
  <c r="L45" i="36"/>
  <c r="F16" i="37"/>
  <c r="H16" i="37" s="1"/>
  <c r="O16" i="37" s="1"/>
  <c r="H19" i="37"/>
  <c r="H27" i="37"/>
  <c r="O27" i="37" s="1"/>
  <c r="J28" i="37"/>
  <c r="AG30" i="37"/>
  <c r="AG34" i="37"/>
  <c r="S37" i="37"/>
  <c r="AB37" i="37" s="1"/>
  <c r="F40" i="37"/>
  <c r="H40" i="37" s="1"/>
  <c r="AG25" i="38"/>
  <c r="S43" i="38"/>
  <c r="AN46" i="39"/>
  <c r="J22" i="36"/>
  <c r="L22" i="36" s="1"/>
  <c r="AL25" i="36"/>
  <c r="F31" i="36"/>
  <c r="H31" i="36" s="1"/>
  <c r="O31" i="36" s="1"/>
  <c r="AE40" i="36"/>
  <c r="AG40" i="36" s="1"/>
  <c r="AE43" i="36"/>
  <c r="AG43" i="36" s="1"/>
  <c r="AN17" i="37"/>
  <c r="AP17" i="37" s="1"/>
  <c r="L21" i="37"/>
  <c r="AG22" i="37"/>
  <c r="Z23" i="37"/>
  <c r="S24" i="37"/>
  <c r="L25" i="37"/>
  <c r="L28" i="37"/>
  <c r="AN30" i="37"/>
  <c r="AP30" i="37" s="1"/>
  <c r="Z36" i="37"/>
  <c r="Z44" i="37"/>
  <c r="AE41" i="37"/>
  <c r="AG41" i="37" s="1"/>
  <c r="AG46" i="37"/>
  <c r="AQ48" i="37"/>
  <c r="AI48" i="37"/>
  <c r="S18" i="38"/>
  <c r="Y44" i="38"/>
  <c r="Z44" i="38" s="1"/>
  <c r="Z37" i="38"/>
  <c r="Y43" i="38"/>
  <c r="Z43" i="38" s="1"/>
  <c r="AL23" i="36"/>
  <c r="AN23" i="36" s="1"/>
  <c r="AN25" i="36"/>
  <c r="AP25" i="36" s="1"/>
  <c r="J32" i="36"/>
  <c r="X32" i="36"/>
  <c r="Z32" i="36" s="1"/>
  <c r="J38" i="36"/>
  <c r="L38" i="36" s="1"/>
  <c r="AE41" i="36"/>
  <c r="X15" i="37"/>
  <c r="Z15" i="37" s="1"/>
  <c r="F15" i="37"/>
  <c r="H15" i="37" s="1"/>
  <c r="F18" i="37"/>
  <c r="H18" i="37" s="1"/>
  <c r="O18" i="37" s="1"/>
  <c r="AL18" i="37"/>
  <c r="AN18" i="37" s="1"/>
  <c r="AP18" i="37" s="1"/>
  <c r="Q18" i="37"/>
  <c r="S18" i="37" s="1"/>
  <c r="Q33" i="37"/>
  <c r="AE33" i="37"/>
  <c r="AG33" i="37" s="1"/>
  <c r="X33" i="37"/>
  <c r="Z33" i="37" s="1"/>
  <c r="F33" i="37"/>
  <c r="H33" i="37" s="1"/>
  <c r="O33" i="37" s="1"/>
  <c r="AL34" i="37"/>
  <c r="AG35" i="37"/>
  <c r="AL43" i="37"/>
  <c r="AN43" i="37" s="1"/>
  <c r="H45" i="37"/>
  <c r="O46" i="37"/>
  <c r="U47" i="37"/>
  <c r="V47" i="37" s="1"/>
  <c r="AC47" i="37"/>
  <c r="AF49" i="37"/>
  <c r="AG49" i="37" s="1"/>
  <c r="AG15" i="38"/>
  <c r="AG40" i="38"/>
  <c r="S38" i="39"/>
  <c r="AL38" i="37"/>
  <c r="AN38" i="37" s="1"/>
  <c r="H23" i="38"/>
  <c r="O23" i="38" s="1"/>
  <c r="AL24" i="38"/>
  <c r="AN24" i="38"/>
  <c r="AP24" i="38" s="1"/>
  <c r="AL33" i="38"/>
  <c r="AN33" i="38" s="1"/>
  <c r="AP33" i="38" s="1"/>
  <c r="K43" i="38"/>
  <c r="L43" i="38" s="1"/>
  <c r="K44" i="38"/>
  <c r="L44" i="38" s="1"/>
  <c r="L22" i="39"/>
  <c r="AL26" i="37"/>
  <c r="AN26" i="37" s="1"/>
  <c r="AL31" i="37"/>
  <c r="AN31" i="37" s="1"/>
  <c r="L37" i="37"/>
  <c r="F38" i="37"/>
  <c r="H38" i="37" s="1"/>
  <c r="O38" i="37" s="1"/>
  <c r="Z15" i="38"/>
  <c r="L16" i="38"/>
  <c r="L18" i="38"/>
  <c r="X21" i="38"/>
  <c r="Z21" i="38" s="1"/>
  <c r="H33" i="38"/>
  <c r="AE16" i="39"/>
  <c r="AL19" i="37"/>
  <c r="AN19" i="37" s="1"/>
  <c r="AP19" i="37" s="1"/>
  <c r="AE20" i="37"/>
  <c r="AG20" i="37" s="1"/>
  <c r="F26" i="37"/>
  <c r="F31" i="37"/>
  <c r="H31" i="37" s="1"/>
  <c r="O31" i="37" s="1"/>
  <c r="AL36" i="37"/>
  <c r="AN36" i="37" s="1"/>
  <c r="X38" i="37"/>
  <c r="Z38" i="37" s="1"/>
  <c r="AL41" i="37"/>
  <c r="AM44" i="37"/>
  <c r="AN44" i="37" s="1"/>
  <c r="X17" i="38"/>
  <c r="Z17" i="38" s="1"/>
  <c r="F17" i="38"/>
  <c r="H17" i="38" s="1"/>
  <c r="O17" i="38" s="1"/>
  <c r="AL17" i="38"/>
  <c r="AE17" i="38"/>
  <c r="X19" i="38"/>
  <c r="Z19" i="38" s="1"/>
  <c r="F19" i="38"/>
  <c r="AE19" i="38"/>
  <c r="AG19" i="38" s="1"/>
  <c r="AE21" i="38"/>
  <c r="AG21" i="38" s="1"/>
  <c r="Q25" i="38"/>
  <c r="S25" i="38" s="1"/>
  <c r="X30" i="38"/>
  <c r="AE30" i="38"/>
  <c r="AG30" i="38" s="1"/>
  <c r="J30" i="38"/>
  <c r="Q30" i="38"/>
  <c r="S30" i="38" s="1"/>
  <c r="AL30" i="38"/>
  <c r="Q31" i="38"/>
  <c r="S31" i="38" s="1"/>
  <c r="AL31" i="38"/>
  <c r="AN31" i="38" s="1"/>
  <c r="J31" i="38"/>
  <c r="AE31" i="38"/>
  <c r="AE36" i="36"/>
  <c r="AG36" i="36" s="1"/>
  <c r="AL22" i="37"/>
  <c r="AN22" i="37" s="1"/>
  <c r="AP22" i="37" s="1"/>
  <c r="AE23" i="37"/>
  <c r="AG23" i="37" s="1"/>
  <c r="Q25" i="37"/>
  <c r="S25" i="37" s="1"/>
  <c r="J26" i="37"/>
  <c r="L26" i="37" s="1"/>
  <c r="Q30" i="37"/>
  <c r="S30" i="37" s="1"/>
  <c r="J31" i="37"/>
  <c r="L31" i="37" s="1"/>
  <c r="G44" i="37"/>
  <c r="J17" i="38"/>
  <c r="L17" i="38" s="1"/>
  <c r="L19" i="38"/>
  <c r="X26" i="38"/>
  <c r="Z26" i="38" s="1"/>
  <c r="AN26" i="38"/>
  <c r="AP26" i="38" s="1"/>
  <c r="L30" i="38"/>
  <c r="Z33" i="39"/>
  <c r="Z44" i="41"/>
  <c r="Q16" i="37"/>
  <c r="J19" i="37"/>
  <c r="L19" i="37" s="1"/>
  <c r="Q35" i="37"/>
  <c r="S35" i="37" s="1"/>
  <c r="J36" i="37"/>
  <c r="L36" i="37" s="1"/>
  <c r="Q40" i="37"/>
  <c r="S40" i="37" s="1"/>
  <c r="J41" i="37"/>
  <c r="L41" i="37" s="1"/>
  <c r="Z16" i="38"/>
  <c r="AN17" i="38"/>
  <c r="AP17" i="38" s="1"/>
  <c r="V21" i="38"/>
  <c r="AL21" i="38"/>
  <c r="AN21" i="38" s="1"/>
  <c r="AL27" i="38"/>
  <c r="AN27" i="38" s="1"/>
  <c r="Q27" i="38"/>
  <c r="S27" i="38" s="1"/>
  <c r="X27" i="38"/>
  <c r="Z27" i="38" s="1"/>
  <c r="F27" i="38"/>
  <c r="H27" i="38" s="1"/>
  <c r="O27" i="38" s="1"/>
  <c r="Z35" i="38"/>
  <c r="AN25" i="39"/>
  <c r="AP25" i="39" s="1"/>
  <c r="AG16" i="40"/>
  <c r="L22" i="40"/>
  <c r="AL20" i="37"/>
  <c r="AN20" i="37" s="1"/>
  <c r="AP20" i="37" s="1"/>
  <c r="AE38" i="37"/>
  <c r="AG38" i="37" s="1"/>
  <c r="Q19" i="38"/>
  <c r="Q20" i="38"/>
  <c r="S20" i="38" s="1"/>
  <c r="AE20" i="38"/>
  <c r="AG20" i="38" s="1"/>
  <c r="X20" i="38"/>
  <c r="F20" i="38"/>
  <c r="H20" i="38" s="1"/>
  <c r="O20" i="38" s="1"/>
  <c r="X31" i="38"/>
  <c r="J38" i="38"/>
  <c r="L38" i="38" s="1"/>
  <c r="X44" i="38"/>
  <c r="Z16" i="39"/>
  <c r="AG21" i="39"/>
  <c r="AL25" i="37"/>
  <c r="AE26" i="37"/>
  <c r="AG26" i="37" s="1"/>
  <c r="AL30" i="37"/>
  <c r="AE31" i="37"/>
  <c r="S19" i="38"/>
  <c r="AL22" i="38"/>
  <c r="AN22" i="38" s="1"/>
  <c r="AP22" i="38" s="1"/>
  <c r="Z24" i="38"/>
  <c r="AN28" i="38"/>
  <c r="AP28" i="38" s="1"/>
  <c r="AN36" i="38"/>
  <c r="H38" i="38"/>
  <c r="O38" i="38" s="1"/>
  <c r="L23" i="39"/>
  <c r="AL16" i="37"/>
  <c r="AN16" i="37" s="1"/>
  <c r="AP16" i="37" s="1"/>
  <c r="F25" i="37"/>
  <c r="H25" i="37" s="1"/>
  <c r="O25" i="37" s="1"/>
  <c r="F30" i="37"/>
  <c r="H30" i="37" s="1"/>
  <c r="AL35" i="37"/>
  <c r="AN35" i="37" s="1"/>
  <c r="AP35" i="37" s="1"/>
  <c r="AL40" i="37"/>
  <c r="AN40" i="37" s="1"/>
  <c r="J16" i="38"/>
  <c r="Q17" i="38"/>
  <c r="S17" i="38" s="1"/>
  <c r="AE18" i="38"/>
  <c r="AG18" i="38" s="1"/>
  <c r="J18" i="38"/>
  <c r="AL18" i="38"/>
  <c r="AN18" i="38" s="1"/>
  <c r="AL20" i="38"/>
  <c r="AN20" i="38" s="1"/>
  <c r="AP20" i="38" s="1"/>
  <c r="AN34" i="38"/>
  <c r="AN28" i="39"/>
  <c r="F18" i="38"/>
  <c r="H18" i="38" s="1"/>
  <c r="O18" i="38" s="1"/>
  <c r="J20" i="38"/>
  <c r="L20" i="38" s="1"/>
  <c r="H22" i="38"/>
  <c r="O22" i="38" s="1"/>
  <c r="AE23" i="38"/>
  <c r="AG23" i="38" s="1"/>
  <c r="J23" i="38"/>
  <c r="L23" i="38" s="1"/>
  <c r="Q23" i="38"/>
  <c r="S23" i="38" s="1"/>
  <c r="Z30" i="38"/>
  <c r="AG32" i="39"/>
  <c r="AI32" i="39" s="1"/>
  <c r="AL34" i="40"/>
  <c r="AN34" i="40" s="1"/>
  <c r="AN21" i="39"/>
  <c r="AP21" i="39" s="1"/>
  <c r="J44" i="39"/>
  <c r="X44" i="39"/>
  <c r="F44" i="39"/>
  <c r="Q44" i="39"/>
  <c r="S44" i="39" s="1"/>
  <c r="AE44" i="39"/>
  <c r="AG44" i="39" s="1"/>
  <c r="AL44" i="39"/>
  <c r="AG40" i="40"/>
  <c r="J15" i="38"/>
  <c r="L15" i="38" s="1"/>
  <c r="AL25" i="38"/>
  <c r="AN25" i="38" s="1"/>
  <c r="AN30" i="38"/>
  <c r="Z32" i="38"/>
  <c r="L34" i="38"/>
  <c r="AN35" i="38"/>
  <c r="AP35" i="38" s="1"/>
  <c r="L41" i="38"/>
  <c r="AN46" i="38"/>
  <c r="X21" i="39"/>
  <c r="Z21" i="39" s="1"/>
  <c r="AE21" i="39"/>
  <c r="X25" i="39"/>
  <c r="Z25" i="39" s="1"/>
  <c r="K44" i="39"/>
  <c r="K43" i="39"/>
  <c r="L43" i="39" s="1"/>
  <c r="Z15" i="40"/>
  <c r="AL16" i="38"/>
  <c r="AN16" i="38" s="1"/>
  <c r="AP16" i="38" s="1"/>
  <c r="F25" i="38"/>
  <c r="AE28" i="38"/>
  <c r="AG28" i="38" s="1"/>
  <c r="X28" i="38"/>
  <c r="Z28" i="38" s="1"/>
  <c r="F32" i="38"/>
  <c r="H32" i="38" s="1"/>
  <c r="X40" i="38"/>
  <c r="Z40" i="38" s="1"/>
  <c r="AL19" i="39"/>
  <c r="AN19" i="39" s="1"/>
  <c r="O21" i="39"/>
  <c r="AG41" i="39"/>
  <c r="L27" i="40"/>
  <c r="Z44" i="40"/>
  <c r="U49" i="40"/>
  <c r="Q15" i="38"/>
  <c r="S15" i="38" s="1"/>
  <c r="AL26" i="38"/>
  <c r="J28" i="38"/>
  <c r="L28" i="38" s="1"/>
  <c r="X35" i="38"/>
  <c r="F35" i="38"/>
  <c r="H35" i="38" s="1"/>
  <c r="O35" i="38" s="1"/>
  <c r="Q35" i="38"/>
  <c r="S35" i="38" s="1"/>
  <c r="Q32" i="39"/>
  <c r="AG31" i="38"/>
  <c r="S33" i="38"/>
  <c r="AG36" i="38"/>
  <c r="AN43" i="38"/>
  <c r="AN40" i="38"/>
  <c r="AM44" i="38"/>
  <c r="Z46" i="38"/>
  <c r="AG16" i="39"/>
  <c r="AC21" i="39"/>
  <c r="U21" i="39"/>
  <c r="AG26" i="39"/>
  <c r="AG15" i="41"/>
  <c r="AE25" i="38"/>
  <c r="L31" i="38"/>
  <c r="AN37" i="38"/>
  <c r="X45" i="38"/>
  <c r="Z45" i="38" s="1"/>
  <c r="H15" i="39"/>
  <c r="AN36" i="39"/>
  <c r="H43" i="39"/>
  <c r="AL15" i="38"/>
  <c r="AN15" i="38" s="1"/>
  <c r="AE34" i="38"/>
  <c r="AG34" i="38" s="1"/>
  <c r="X34" i="38"/>
  <c r="Z34" i="38" s="1"/>
  <c r="Q38" i="38"/>
  <c r="S38" i="38" s="1"/>
  <c r="AE38" i="38"/>
  <c r="AG38" i="38" s="1"/>
  <c r="F41" i="38"/>
  <c r="H41" i="38" s="1"/>
  <c r="AL41" i="38"/>
  <c r="AN41" i="38" s="1"/>
  <c r="Q41" i="38"/>
  <c r="S41" i="38" s="1"/>
  <c r="AE41" i="38"/>
  <c r="AG41" i="38" s="1"/>
  <c r="J16" i="39"/>
  <c r="L16" i="39" s="1"/>
  <c r="X16" i="39"/>
  <c r="Q16" i="39"/>
  <c r="S16" i="39" s="1"/>
  <c r="AL16" i="39"/>
  <c r="AN16" i="39" s="1"/>
  <c r="AP16" i="39" s="1"/>
  <c r="Z18" i="39"/>
  <c r="Z20" i="39"/>
  <c r="L41" i="39"/>
  <c r="AE46" i="39"/>
  <c r="J46" i="39"/>
  <c r="X46" i="39"/>
  <c r="F46" i="39"/>
  <c r="F37" i="39" s="1"/>
  <c r="H37" i="39" s="1"/>
  <c r="AL46" i="39"/>
  <c r="AL37" i="39" s="1"/>
  <c r="AN37" i="39" s="1"/>
  <c r="Q46" i="39"/>
  <c r="AG44" i="40"/>
  <c r="AB46" i="40"/>
  <c r="F34" i="38"/>
  <c r="H34" i="38" s="1"/>
  <c r="O34" i="38" s="1"/>
  <c r="AG35" i="38"/>
  <c r="R44" i="38"/>
  <c r="F38" i="38"/>
  <c r="L15" i="39"/>
  <c r="F16" i="39"/>
  <c r="H16" i="39" s="1"/>
  <c r="O16" i="39" s="1"/>
  <c r="AL17" i="39"/>
  <c r="AN17" i="39" s="1"/>
  <c r="X28" i="39"/>
  <c r="Z28" i="39" s="1"/>
  <c r="AN45" i="40"/>
  <c r="AP45" i="40" s="1"/>
  <c r="O48" i="40"/>
  <c r="AE18" i="40"/>
  <c r="AG18" i="40" s="1"/>
  <c r="J18" i="40"/>
  <c r="L18" i="40" s="1"/>
  <c r="Q18" i="40"/>
  <c r="S18" i="40" s="1"/>
  <c r="AL18" i="40"/>
  <c r="AN18" i="40" s="1"/>
  <c r="F18" i="40"/>
  <c r="H18" i="40" s="1"/>
  <c r="O18" i="40" s="1"/>
  <c r="X35" i="40"/>
  <c r="Z35" i="40" s="1"/>
  <c r="L41" i="40"/>
  <c r="N48" i="41"/>
  <c r="O48" i="41" s="1"/>
  <c r="AL32" i="38"/>
  <c r="AN32" i="38" s="1"/>
  <c r="AE33" i="38"/>
  <c r="AG33" i="38" s="1"/>
  <c r="Q40" i="38"/>
  <c r="S40" i="38" s="1"/>
  <c r="Q44" i="38"/>
  <c r="S24" i="39"/>
  <c r="R43" i="39"/>
  <c r="S43" i="39" s="1"/>
  <c r="H17" i="40"/>
  <c r="O17" i="40" s="1"/>
  <c r="S27" i="40"/>
  <c r="AE30" i="40"/>
  <c r="AG30" i="40" s="1"/>
  <c r="J30" i="40"/>
  <c r="L30" i="40" s="1"/>
  <c r="X30" i="40"/>
  <c r="Z30" i="40" s="1"/>
  <c r="Q30" i="40"/>
  <c r="AL30" i="40"/>
  <c r="AN30" i="40" s="1"/>
  <c r="AP30" i="40" s="1"/>
  <c r="F30" i="40"/>
  <c r="H30" i="40" s="1"/>
  <c r="J43" i="38"/>
  <c r="AL44" i="38"/>
  <c r="AE46" i="38"/>
  <c r="AE20" i="39"/>
  <c r="AG20" i="39" s="1"/>
  <c r="J20" i="39"/>
  <c r="L20" i="39" s="1"/>
  <c r="AL20" i="39"/>
  <c r="AN20" i="39" s="1"/>
  <c r="AP20" i="39" s="1"/>
  <c r="Q20" i="39"/>
  <c r="L25" i="39"/>
  <c r="X26" i="39"/>
  <c r="Z26" i="39" s="1"/>
  <c r="AG43" i="39"/>
  <c r="Z43" i="39"/>
  <c r="Q15" i="39"/>
  <c r="S15" i="39" s="1"/>
  <c r="AE18" i="39"/>
  <c r="AG35" i="40"/>
  <c r="AE30" i="39"/>
  <c r="AG30" i="39" s="1"/>
  <c r="AL30" i="39"/>
  <c r="AN30" i="39" s="1"/>
  <c r="AP30" i="39" s="1"/>
  <c r="Q30" i="39"/>
  <c r="S30" i="39" s="1"/>
  <c r="J30" i="39"/>
  <c r="L30" i="39" s="1"/>
  <c r="X30" i="39"/>
  <c r="Z30" i="39" s="1"/>
  <c r="L40" i="39"/>
  <c r="X18" i="40"/>
  <c r="Z18" i="40" s="1"/>
  <c r="N21" i="40"/>
  <c r="O21" i="40" s="1"/>
  <c r="H15" i="41"/>
  <c r="F40" i="38"/>
  <c r="H40" i="38" s="1"/>
  <c r="F44" i="38"/>
  <c r="Z17" i="39"/>
  <c r="F30" i="39"/>
  <c r="H30" i="39" s="1"/>
  <c r="H20" i="40"/>
  <c r="O20" i="40" s="1"/>
  <c r="H28" i="40"/>
  <c r="O28" i="40" s="1"/>
  <c r="Q20" i="41"/>
  <c r="X20" i="41"/>
  <c r="Z20" i="41" s="1"/>
  <c r="AL20" i="41"/>
  <c r="AN20" i="41" s="1"/>
  <c r="AP20" i="41" s="1"/>
  <c r="J20" i="41"/>
  <c r="AE20" i="41"/>
  <c r="AG20" i="41" s="1"/>
  <c r="F20" i="41"/>
  <c r="H20" i="41" s="1"/>
  <c r="O20" i="41" s="1"/>
  <c r="AG24" i="39"/>
  <c r="AN44" i="39"/>
  <c r="S26" i="40"/>
  <c r="L35" i="41"/>
  <c r="Z35" i="39"/>
  <c r="AJ35" i="39" s="1"/>
  <c r="S25" i="40"/>
  <c r="S20" i="39"/>
  <c r="X31" i="39"/>
  <c r="Z31" i="39" s="1"/>
  <c r="F31" i="39"/>
  <c r="H31" i="39" s="1"/>
  <c r="O31" i="39" s="1"/>
  <c r="AG35" i="39"/>
  <c r="J43" i="39"/>
  <c r="AE43" i="39"/>
  <c r="AL43" i="39"/>
  <c r="AN43" i="39" s="1"/>
  <c r="Q33" i="40"/>
  <c r="S33" i="40" s="1"/>
  <c r="AE33" i="40"/>
  <c r="AG33" i="40" s="1"/>
  <c r="J33" i="40"/>
  <c r="L33" i="40" s="1"/>
  <c r="AL33" i="40"/>
  <c r="AN33" i="40" s="1"/>
  <c r="AP33" i="40" s="1"/>
  <c r="F33" i="40"/>
  <c r="H33" i="40" s="1"/>
  <c r="AE34" i="40"/>
  <c r="AG34" i="40" s="1"/>
  <c r="J34" i="40"/>
  <c r="X34" i="40"/>
  <c r="Z34" i="40" s="1"/>
  <c r="X45" i="40"/>
  <c r="Z45" i="40" s="1"/>
  <c r="L35" i="40"/>
  <c r="Q17" i="39"/>
  <c r="S17" i="39" s="1"/>
  <c r="F22" i="39"/>
  <c r="H22" i="39" s="1"/>
  <c r="O22" i="39" s="1"/>
  <c r="Q22" i="39"/>
  <c r="S22" i="39" s="1"/>
  <c r="AE34" i="39"/>
  <c r="AG34" i="39" s="1"/>
  <c r="J34" i="39"/>
  <c r="L34" i="39" s="1"/>
  <c r="Z34" i="39"/>
  <c r="Q36" i="39"/>
  <c r="S36" i="39" s="1"/>
  <c r="AE36" i="39"/>
  <c r="AG36" i="39" s="1"/>
  <c r="AN40" i="39"/>
  <c r="AN15" i="40"/>
  <c r="Q34" i="40"/>
  <c r="S34" i="40" s="1"/>
  <c r="S41" i="40"/>
  <c r="AJ48" i="40"/>
  <c r="G44" i="40"/>
  <c r="H44" i="40" s="1"/>
  <c r="G43" i="40"/>
  <c r="H43" i="40" s="1"/>
  <c r="Z16" i="41"/>
  <c r="AE15" i="39"/>
  <c r="AG15" i="39" s="1"/>
  <c r="J23" i="39"/>
  <c r="X23" i="39"/>
  <c r="F24" i="39"/>
  <c r="F26" i="39"/>
  <c r="AL27" i="39"/>
  <c r="AN27" i="39" s="1"/>
  <c r="AP27" i="39" s="1"/>
  <c r="AE28" i="39"/>
  <c r="AG28" i="39" s="1"/>
  <c r="J28" i="39"/>
  <c r="L28" i="39" s="1"/>
  <c r="S32" i="39"/>
  <c r="AC32" i="39" s="1"/>
  <c r="F41" i="39"/>
  <c r="H41" i="39" s="1"/>
  <c r="X41" i="39"/>
  <c r="Z41" i="39" s="1"/>
  <c r="AL41" i="39"/>
  <c r="AN41" i="39" s="1"/>
  <c r="AP41" i="39" s="1"/>
  <c r="J16" i="40"/>
  <c r="L16" i="40" s="1"/>
  <c r="X16" i="40"/>
  <c r="Z16" i="40" s="1"/>
  <c r="Q16" i="40"/>
  <c r="S16" i="40" s="1"/>
  <c r="AL16" i="40"/>
  <c r="AN16" i="40" s="1"/>
  <c r="AP16" i="40" s="1"/>
  <c r="Z21" i="40"/>
  <c r="AN23" i="40"/>
  <c r="AP23" i="40" s="1"/>
  <c r="Q25" i="40"/>
  <c r="AE25" i="40"/>
  <c r="J25" i="40"/>
  <c r="X25" i="40"/>
  <c r="Z28" i="40"/>
  <c r="X33" i="40"/>
  <c r="Z33" i="40" s="1"/>
  <c r="S40" i="40"/>
  <c r="AG43" i="40"/>
  <c r="AC46" i="40"/>
  <c r="U46" i="40"/>
  <c r="V46" i="40" s="1"/>
  <c r="AB48" i="40"/>
  <c r="AC48" i="40" s="1"/>
  <c r="L37" i="40"/>
  <c r="K43" i="40"/>
  <c r="L43" i="40" s="1"/>
  <c r="K44" i="40"/>
  <c r="AG16" i="41"/>
  <c r="AG18" i="39"/>
  <c r="F23" i="39"/>
  <c r="H23" i="39" s="1"/>
  <c r="O23" i="39" s="1"/>
  <c r="Z23" i="39"/>
  <c r="H24" i="39"/>
  <c r="O24" i="39" s="1"/>
  <c r="H26" i="39"/>
  <c r="O26" i="39" s="1"/>
  <c r="F28" i="39"/>
  <c r="H28" i="39" s="1"/>
  <c r="O28" i="39" s="1"/>
  <c r="Q31" i="39"/>
  <c r="S31" i="39" s="1"/>
  <c r="AL31" i="39"/>
  <c r="AN31" i="39" s="1"/>
  <c r="AP31" i="39" s="1"/>
  <c r="H36" i="39"/>
  <c r="X38" i="39"/>
  <c r="Z38" i="39" s="1"/>
  <c r="AE45" i="39"/>
  <c r="AG45" i="39" s="1"/>
  <c r="F16" i="40"/>
  <c r="H16" i="40" s="1"/>
  <c r="O16" i="40" s="1"/>
  <c r="AE21" i="40"/>
  <c r="AG21" i="40" s="1"/>
  <c r="F25" i="40"/>
  <c r="H25" i="40" s="1"/>
  <c r="O25" i="40" s="1"/>
  <c r="AQ48" i="41"/>
  <c r="J24" i="39"/>
  <c r="L24" i="39" s="1"/>
  <c r="X43" i="39"/>
  <c r="G44" i="39"/>
  <c r="J19" i="40"/>
  <c r="L19" i="40" s="1"/>
  <c r="AG31" i="40"/>
  <c r="AG45" i="40"/>
  <c r="AN28" i="41"/>
  <c r="AP28" i="41" s="1"/>
  <c r="Q15" i="40"/>
  <c r="S15" i="40" s="1"/>
  <c r="AE15" i="40"/>
  <c r="AG15" i="40" s="1"/>
  <c r="L25" i="40"/>
  <c r="L32" i="40"/>
  <c r="L34" i="40"/>
  <c r="Z38" i="40"/>
  <c r="AP48" i="41"/>
  <c r="AL20" i="40"/>
  <c r="AN20" i="40" s="1"/>
  <c r="AP20" i="40" s="1"/>
  <c r="X24" i="40"/>
  <c r="Z24" i="40" s="1"/>
  <c r="Q24" i="40"/>
  <c r="S24" i="40" s="1"/>
  <c r="AE24" i="40"/>
  <c r="AG24" i="40" s="1"/>
  <c r="J40" i="40"/>
  <c r="L40" i="40" s="1"/>
  <c r="U49" i="41"/>
  <c r="X26" i="41"/>
  <c r="Z26" i="41" s="1"/>
  <c r="AE30" i="41"/>
  <c r="AG30" i="41" s="1"/>
  <c r="X30" i="41"/>
  <c r="Z30" i="41" s="1"/>
  <c r="F30" i="41"/>
  <c r="H30" i="41" s="1"/>
  <c r="Q30" i="41"/>
  <c r="S30" i="41" s="1"/>
  <c r="J30" i="41"/>
  <c r="L30" i="41" s="1"/>
  <c r="X45" i="39"/>
  <c r="Z45" i="39" s="1"/>
  <c r="J15" i="40"/>
  <c r="L15" i="40" s="1"/>
  <c r="AL15" i="40"/>
  <c r="F24" i="40"/>
  <c r="H24" i="40" s="1"/>
  <c r="O24" i="40" s="1"/>
  <c r="R44" i="40"/>
  <c r="S44" i="40" s="1"/>
  <c r="R43" i="40"/>
  <c r="S43" i="40" s="1"/>
  <c r="Y44" i="39"/>
  <c r="AL17" i="40"/>
  <c r="AN17" i="40" s="1"/>
  <c r="AP17" i="40" s="1"/>
  <c r="S30" i="40"/>
  <c r="AC37" i="40"/>
  <c r="H38" i="40"/>
  <c r="O38" i="40" s="1"/>
  <c r="AG41" i="40"/>
  <c r="AN38" i="41"/>
  <c r="AP38" i="41" s="1"/>
  <c r="S43" i="41"/>
  <c r="AG22" i="40"/>
  <c r="AL24" i="40"/>
  <c r="AN24" i="40" s="1"/>
  <c r="Z25" i="40"/>
  <c r="AN26" i="40"/>
  <c r="AP26" i="40" s="1"/>
  <c r="AL36" i="40"/>
  <c r="AN36" i="40" s="1"/>
  <c r="AP36" i="40" s="1"/>
  <c r="Q36" i="40"/>
  <c r="S36" i="40" s="1"/>
  <c r="U37" i="40"/>
  <c r="L38" i="40"/>
  <c r="N48" i="40"/>
  <c r="S26" i="41"/>
  <c r="AN34" i="41"/>
  <c r="AP34" i="41" s="1"/>
  <c r="N50" i="40"/>
  <c r="AC21" i="40"/>
  <c r="U21" i="40"/>
  <c r="V21" i="40" s="1"/>
  <c r="J24" i="40"/>
  <c r="L31" i="40"/>
  <c r="AN31" i="40"/>
  <c r="AL16" i="41"/>
  <c r="AN16" i="41" s="1"/>
  <c r="AP16" i="41" s="1"/>
  <c r="L24" i="40"/>
  <c r="H36" i="40"/>
  <c r="AB47" i="40"/>
  <c r="AC47" i="40" s="1"/>
  <c r="AN23" i="41"/>
  <c r="AP23" i="41" s="1"/>
  <c r="X32" i="41"/>
  <c r="AI48" i="40"/>
  <c r="AQ48" i="40"/>
  <c r="AL15" i="41"/>
  <c r="AN15" i="41" s="1"/>
  <c r="AL21" i="41"/>
  <c r="AN21" i="41" s="1"/>
  <c r="AP21" i="41" s="1"/>
  <c r="AE21" i="41"/>
  <c r="AG21" i="41" s="1"/>
  <c r="L24" i="41"/>
  <c r="AN40" i="41"/>
  <c r="AP40" i="41" s="1"/>
  <c r="G50" i="40"/>
  <c r="H50" i="40" s="1"/>
  <c r="AM50" i="40"/>
  <c r="AN50" i="40" s="1"/>
  <c r="AP50" i="40" s="1"/>
  <c r="K49" i="40"/>
  <c r="L49" i="40" s="1"/>
  <c r="R50" i="40"/>
  <c r="S50" i="40" s="1"/>
  <c r="Y49" i="40"/>
  <c r="Z49" i="40" s="1"/>
  <c r="AF49" i="40"/>
  <c r="AG49" i="40" s="1"/>
  <c r="AL19" i="40"/>
  <c r="AN19" i="40" s="1"/>
  <c r="AP19" i="40" s="1"/>
  <c r="AL22" i="40"/>
  <c r="AN22" i="40" s="1"/>
  <c r="J26" i="40"/>
  <c r="L26" i="40" s="1"/>
  <c r="H34" i="40"/>
  <c r="O34" i="40" s="1"/>
  <c r="AL35" i="40"/>
  <c r="AN35" i="40" s="1"/>
  <c r="AP35" i="40" s="1"/>
  <c r="AN41" i="40"/>
  <c r="AP41" i="40" s="1"/>
  <c r="J41" i="41"/>
  <c r="L41" i="41" s="1"/>
  <c r="X41" i="41"/>
  <c r="F41" i="41"/>
  <c r="Q41" i="41"/>
  <c r="AE41" i="41"/>
  <c r="AL41" i="41"/>
  <c r="AB47" i="41"/>
  <c r="AC47" i="41" s="1"/>
  <c r="Q17" i="40"/>
  <c r="S17" i="40" s="1"/>
  <c r="Q20" i="40"/>
  <c r="S20" i="40" s="1"/>
  <c r="AE37" i="40"/>
  <c r="AG37" i="40" s="1"/>
  <c r="X40" i="40"/>
  <c r="Z40" i="40" s="1"/>
  <c r="F37" i="40"/>
  <c r="H37" i="40" s="1"/>
  <c r="H46" i="40"/>
  <c r="N46" i="40" s="1"/>
  <c r="F19" i="40"/>
  <c r="H19" i="40" s="1"/>
  <c r="X19" i="40"/>
  <c r="Z19" i="40" s="1"/>
  <c r="F35" i="40"/>
  <c r="H35" i="40" s="1"/>
  <c r="O35" i="40" s="1"/>
  <c r="F40" i="40"/>
  <c r="AE44" i="40"/>
  <c r="S45" i="40"/>
  <c r="U48" i="40"/>
  <c r="V48" i="40" s="1"/>
  <c r="G49" i="40"/>
  <c r="H49" i="40" s="1"/>
  <c r="AM49" i="40"/>
  <c r="AN49" i="40" s="1"/>
  <c r="L18" i="41"/>
  <c r="S20" i="41"/>
  <c r="S23" i="41"/>
  <c r="AN32" i="41"/>
  <c r="AE23" i="40"/>
  <c r="AG23" i="40" s="1"/>
  <c r="F32" i="40"/>
  <c r="H32" i="40" s="1"/>
  <c r="X32" i="40"/>
  <c r="Z32" i="40" s="1"/>
  <c r="H40" i="40"/>
  <c r="AF50" i="40"/>
  <c r="AG50" i="40" s="1"/>
  <c r="AG24" i="41"/>
  <c r="H27" i="41"/>
  <c r="O27" i="41" s="1"/>
  <c r="S41" i="41"/>
  <c r="AJ48" i="41"/>
  <c r="AB48" i="41"/>
  <c r="AG25" i="40"/>
  <c r="AL43" i="40"/>
  <c r="AN43" i="40" s="1"/>
  <c r="G50" i="41"/>
  <c r="H50" i="41" s="1"/>
  <c r="O50" i="41" s="1"/>
  <c r="AM50" i="41"/>
  <c r="AN50" i="41" s="1"/>
  <c r="AP50" i="41" s="1"/>
  <c r="K49" i="41"/>
  <c r="L49" i="41" s="1"/>
  <c r="AF50" i="41"/>
  <c r="AG50" i="41" s="1"/>
  <c r="AM49" i="41"/>
  <c r="AN49" i="41" s="1"/>
  <c r="Y50" i="41"/>
  <c r="Z50" i="41" s="1"/>
  <c r="G49" i="41"/>
  <c r="H49" i="41" s="1"/>
  <c r="R50" i="41"/>
  <c r="S50" i="41" s="1"/>
  <c r="AF49" i="41"/>
  <c r="AG49" i="41" s="1"/>
  <c r="K50" i="41"/>
  <c r="L50" i="41" s="1"/>
  <c r="Z15" i="41"/>
  <c r="S18" i="41"/>
  <c r="X21" i="41"/>
  <c r="Z21" i="41" s="1"/>
  <c r="S22" i="41"/>
  <c r="L27" i="41"/>
  <c r="L36" i="41"/>
  <c r="AQ37" i="41"/>
  <c r="Y49" i="41"/>
  <c r="Z49" i="41" s="1"/>
  <c r="Q33" i="41"/>
  <c r="J33" i="41"/>
  <c r="L33" i="41" s="1"/>
  <c r="F33" i="41"/>
  <c r="H33" i="41" s="1"/>
  <c r="O33" i="41" s="1"/>
  <c r="X33" i="41"/>
  <c r="AL33" i="41"/>
  <c r="AN33" i="41" s="1"/>
  <c r="H35" i="41"/>
  <c r="AG18" i="41"/>
  <c r="F17" i="41"/>
  <c r="H17" i="41" s="1"/>
  <c r="O17" i="41" s="1"/>
  <c r="AL17" i="41"/>
  <c r="AN17" i="41" s="1"/>
  <c r="X17" i="41"/>
  <c r="Z17" i="41" s="1"/>
  <c r="Q17" i="41"/>
  <c r="S17" i="41" s="1"/>
  <c r="AE17" i="41"/>
  <c r="AG17" i="41" s="1"/>
  <c r="V21" i="41"/>
  <c r="Z28" i="41"/>
  <c r="S34" i="41"/>
  <c r="Z35" i="41"/>
  <c r="AJ35" i="41" s="1"/>
  <c r="Z43" i="41"/>
  <c r="O47" i="41"/>
  <c r="AE18" i="41"/>
  <c r="AL18" i="41"/>
  <c r="AN18" i="41" s="1"/>
  <c r="AP18" i="41" s="1"/>
  <c r="Q18" i="41"/>
  <c r="X18" i="41"/>
  <c r="Z18" i="41" s="1"/>
  <c r="N21" i="41"/>
  <c r="G44" i="41"/>
  <c r="H44" i="41" s="1"/>
  <c r="G41" i="41"/>
  <c r="H41" i="41" s="1"/>
  <c r="G36" i="41"/>
  <c r="H36" i="41" s="1"/>
  <c r="G40" i="41"/>
  <c r="G43" i="41"/>
  <c r="Q40" i="41"/>
  <c r="S40" i="41" s="1"/>
  <c r="AE40" i="41"/>
  <c r="X40" i="41"/>
  <c r="AL40" i="41"/>
  <c r="J40" i="41"/>
  <c r="AG43" i="41"/>
  <c r="AQ47" i="41"/>
  <c r="AI47" i="41"/>
  <c r="AJ47" i="41" s="1"/>
  <c r="AG47" i="40"/>
  <c r="AP47" i="40" s="1"/>
  <c r="L16" i="41"/>
  <c r="J17" i="41"/>
  <c r="F18" i="41"/>
  <c r="S31" i="41"/>
  <c r="F40" i="41"/>
  <c r="U46" i="41"/>
  <c r="V46" i="41" s="1"/>
  <c r="AI46" i="40"/>
  <c r="AJ46" i="40" s="1"/>
  <c r="V47" i="40"/>
  <c r="S16" i="41"/>
  <c r="L17" i="41"/>
  <c r="H18" i="41"/>
  <c r="O18" i="41" s="1"/>
  <c r="AL23" i="41"/>
  <c r="J23" i="41"/>
  <c r="L23" i="41" s="1"/>
  <c r="AE23" i="41"/>
  <c r="AG23" i="41" s="1"/>
  <c r="F23" i="41"/>
  <c r="AE33" i="41"/>
  <c r="AG33" i="41" s="1"/>
  <c r="AL36" i="41"/>
  <c r="V37" i="41"/>
  <c r="L40" i="41"/>
  <c r="AL44" i="40"/>
  <c r="AN44" i="40" s="1"/>
  <c r="AE45" i="40"/>
  <c r="AN19" i="41"/>
  <c r="F24" i="41"/>
  <c r="H24" i="41" s="1"/>
  <c r="O24" i="41" s="1"/>
  <c r="J28" i="41"/>
  <c r="L28" i="41" s="1"/>
  <c r="X28" i="41"/>
  <c r="AE28" i="41"/>
  <c r="AG28" i="41" s="1"/>
  <c r="H32" i="41"/>
  <c r="AL38" i="41"/>
  <c r="Q43" i="40"/>
  <c r="J44" i="40"/>
  <c r="H26" i="41"/>
  <c r="O26" i="41" s="1"/>
  <c r="Z32" i="41"/>
  <c r="J34" i="41"/>
  <c r="L34" i="41" s="1"/>
  <c r="AE36" i="41"/>
  <c r="AG36" i="41" s="1"/>
  <c r="Y41" i="41"/>
  <c r="Y36" i="41"/>
  <c r="Y40" i="41"/>
  <c r="Z40" i="41" s="1"/>
  <c r="Z37" i="41"/>
  <c r="AI37" i="41" s="1"/>
  <c r="Z46" i="41"/>
  <c r="L43" i="41"/>
  <c r="AL45" i="40"/>
  <c r="Q15" i="41"/>
  <c r="S15" i="41" s="1"/>
  <c r="Z22" i="41"/>
  <c r="H23" i="41"/>
  <c r="O23" i="41" s="1"/>
  <c r="X31" i="41"/>
  <c r="Z31" i="41" s="1"/>
  <c r="S33" i="41"/>
  <c r="U48" i="41"/>
  <c r="V48" i="41" s="1"/>
  <c r="AC48" i="41"/>
  <c r="X19" i="41"/>
  <c r="Z19" i="41" s="1"/>
  <c r="F19" i="41"/>
  <c r="H19" i="41" s="1"/>
  <c r="AE19" i="41"/>
  <c r="AG19" i="41" s="1"/>
  <c r="J19" i="41"/>
  <c r="L19" i="41" s="1"/>
  <c r="Q28" i="41"/>
  <c r="S28" i="41" s="1"/>
  <c r="H34" i="41"/>
  <c r="O34" i="41" s="1"/>
  <c r="AE43" i="41"/>
  <c r="F37" i="41"/>
  <c r="H37" i="41" s="1"/>
  <c r="N37" i="41" s="1"/>
  <c r="N47" i="41"/>
  <c r="L20" i="41"/>
  <c r="J22" i="41"/>
  <c r="L22" i="41" s="1"/>
  <c r="F22" i="41"/>
  <c r="H22" i="41" s="1"/>
  <c r="O22" i="41" s="1"/>
  <c r="AE25" i="41"/>
  <c r="AG25" i="41" s="1"/>
  <c r="X25" i="41"/>
  <c r="Z25" i="41" s="1"/>
  <c r="F25" i="41"/>
  <c r="H25" i="41" s="1"/>
  <c r="O25" i="41" s="1"/>
  <c r="AG40" i="41"/>
  <c r="AG41" i="41"/>
  <c r="X44" i="41"/>
  <c r="AL45" i="41"/>
  <c r="AN45" i="41" s="1"/>
  <c r="AP45" i="41" s="1"/>
  <c r="Q45" i="41"/>
  <c r="S45" i="41" s="1"/>
  <c r="AE45" i="41"/>
  <c r="AG45" i="41" s="1"/>
  <c r="J45" i="41"/>
  <c r="L45" i="41" s="1"/>
  <c r="X45" i="41"/>
  <c r="Z45" i="41" s="1"/>
  <c r="H46" i="41"/>
  <c r="AN47" i="41"/>
  <c r="AP47" i="41" s="1"/>
  <c r="U21" i="41"/>
  <c r="AE22" i="41"/>
  <c r="AG22" i="41" s="1"/>
  <c r="Q27" i="41"/>
  <c r="S27" i="41" s="1"/>
  <c r="AG27" i="41"/>
  <c r="AN31" i="41"/>
  <c r="AP31" i="41" s="1"/>
  <c r="Z33" i="41"/>
  <c r="AE35" i="41"/>
  <c r="AG35" i="41" s="1"/>
  <c r="AI35" i="41" s="1"/>
  <c r="J36" i="41"/>
  <c r="X36" i="41"/>
  <c r="F36" i="41"/>
  <c r="Q36" i="41"/>
  <c r="S36" i="41" s="1"/>
  <c r="AQ46" i="41"/>
  <c r="AL27" i="41"/>
  <c r="AN27" i="41" s="1"/>
  <c r="Q43" i="41"/>
  <c r="J44" i="41"/>
  <c r="L44" i="41" s="1"/>
  <c r="AE32" i="41"/>
  <c r="AG32" i="41" s="1"/>
  <c r="AL35" i="41"/>
  <c r="AN35" i="41" s="1"/>
  <c r="AL43" i="41"/>
  <c r="AE44" i="41"/>
  <c r="AL34" i="41"/>
  <c r="F43" i="41"/>
  <c r="AM43" i="41"/>
  <c r="AF44" i="41"/>
  <c r="AL26" i="41"/>
  <c r="AN26" i="41" s="1"/>
  <c r="AP26" i="41" s="1"/>
  <c r="AE27" i="41"/>
  <c r="AL31" i="41"/>
  <c r="Q32" i="41"/>
  <c r="S32" i="41" s="1"/>
  <c r="AC32" i="41" s="1"/>
  <c r="X35" i="41"/>
  <c r="AM36" i="41"/>
  <c r="AN36" i="41" s="1"/>
  <c r="AP36" i="41" s="1"/>
  <c r="AM41" i="41"/>
  <c r="AN41" i="41" s="1"/>
  <c r="J43" i="41"/>
  <c r="AL44" i="41"/>
  <c r="AN44" i="41" s="1"/>
  <c r="AL24" i="41"/>
  <c r="AN24" i="41" s="1"/>
  <c r="AP24" i="41" s="1"/>
  <c r="F44" i="41"/>
  <c r="F35" i="41"/>
  <c r="N28" i="38" l="1"/>
  <c r="V28" i="38"/>
  <c r="AC30" i="38"/>
  <c r="U30" i="38"/>
  <c r="AB17" i="38"/>
  <c r="AJ17" i="38"/>
  <c r="AC28" i="36"/>
  <c r="U28" i="36"/>
  <c r="U20" i="35"/>
  <c r="AC20" i="35"/>
  <c r="U17" i="34"/>
  <c r="AC17" i="34"/>
  <c r="AC27" i="32"/>
  <c r="U27" i="32"/>
  <c r="AQ30" i="28"/>
  <c r="AI30" i="28"/>
  <c r="U41" i="21"/>
  <c r="AB38" i="20"/>
  <c r="U38" i="16"/>
  <c r="AC17" i="18"/>
  <c r="U17" i="18"/>
  <c r="AQ19" i="9"/>
  <c r="AI19" i="9"/>
  <c r="AG29" i="9"/>
  <c r="U18" i="11"/>
  <c r="AC18" i="11"/>
  <c r="AJ18" i="38"/>
  <c r="AB18" i="38"/>
  <c r="H29" i="38"/>
  <c r="N44" i="34"/>
  <c r="AB28" i="35"/>
  <c r="AJ28" i="35"/>
  <c r="AI41" i="34"/>
  <c r="N33" i="34"/>
  <c r="AI25" i="30"/>
  <c r="AQ25" i="30"/>
  <c r="AI31" i="32"/>
  <c r="AQ31" i="32"/>
  <c r="L28" i="3"/>
  <c r="U20" i="30"/>
  <c r="AC20" i="30"/>
  <c r="AI18" i="29"/>
  <c r="AQ18" i="29"/>
  <c r="AI21" i="28"/>
  <c r="AQ21" i="28"/>
  <c r="U40" i="27"/>
  <c r="L29" i="24"/>
  <c r="N15" i="24"/>
  <c r="U22" i="22"/>
  <c r="AC22" i="22"/>
  <c r="AJ21" i="10"/>
  <c r="AB21" i="10"/>
  <c r="V28" i="12"/>
  <c r="N28" i="12"/>
  <c r="V26" i="14"/>
  <c r="N26" i="14"/>
  <c r="V24" i="39"/>
  <c r="N24" i="39"/>
  <c r="AI36" i="33"/>
  <c r="AI30" i="34"/>
  <c r="H32" i="3" s="1"/>
  <c r="AQ30" i="34"/>
  <c r="H31" i="3"/>
  <c r="AB43" i="29"/>
  <c r="AC18" i="29"/>
  <c r="U18" i="29"/>
  <c r="AJ24" i="27"/>
  <c r="AB24" i="27"/>
  <c r="N27" i="27"/>
  <c r="V27" i="27"/>
  <c r="AI42" i="23"/>
  <c r="AJ42" i="23" s="1"/>
  <c r="AI44" i="25"/>
  <c r="AB41" i="23"/>
  <c r="AJ24" i="18"/>
  <c r="AB24" i="18"/>
  <c r="AC20" i="18"/>
  <c r="U20" i="18"/>
  <c r="AI43" i="12"/>
  <c r="AJ19" i="15"/>
  <c r="AB19" i="15"/>
  <c r="U28" i="15"/>
  <c r="AC28" i="15"/>
  <c r="U22" i="17"/>
  <c r="AC22" i="17"/>
  <c r="N39" i="20"/>
  <c r="U39" i="10"/>
  <c r="V33" i="36"/>
  <c r="N33" i="36"/>
  <c r="N36" i="34"/>
  <c r="AJ17" i="30"/>
  <c r="AB17" i="30"/>
  <c r="AC22" i="27"/>
  <c r="U22" i="27"/>
  <c r="AI24" i="27"/>
  <c r="AQ24" i="27"/>
  <c r="U36" i="24"/>
  <c r="N39" i="22"/>
  <c r="O39" i="22" s="1"/>
  <c r="AB16" i="20"/>
  <c r="AJ16" i="20"/>
  <c r="AB42" i="23"/>
  <c r="N28" i="17"/>
  <c r="V28" i="17"/>
  <c r="N32" i="16"/>
  <c r="AJ22" i="15"/>
  <c r="AB22" i="15"/>
  <c r="O15" i="18"/>
  <c r="H29" i="18"/>
  <c r="U39" i="19"/>
  <c r="AB23" i="19"/>
  <c r="AJ23" i="19"/>
  <c r="AI15" i="19"/>
  <c r="AG29" i="19"/>
  <c r="AQ39" i="20"/>
  <c r="AI39" i="20"/>
  <c r="AC18" i="27"/>
  <c r="U18" i="27"/>
  <c r="V33" i="22"/>
  <c r="N33" i="22"/>
  <c r="AI35" i="25"/>
  <c r="AQ35" i="25"/>
  <c r="AC32" i="16"/>
  <c r="U32" i="16"/>
  <c r="V32" i="16" s="1"/>
  <c r="AB28" i="14"/>
  <c r="AJ28" i="14"/>
  <c r="V23" i="13"/>
  <c r="N23" i="13"/>
  <c r="AQ28" i="15"/>
  <c r="AI28" i="15"/>
  <c r="AB19" i="13"/>
  <c r="AJ19" i="13"/>
  <c r="AI15" i="14"/>
  <c r="AG29" i="14"/>
  <c r="U31" i="16"/>
  <c r="AC31" i="16"/>
  <c r="U39" i="17"/>
  <c r="V39" i="17" s="1"/>
  <c r="AI17" i="18"/>
  <c r="AQ17" i="18"/>
  <c r="AI16" i="18"/>
  <c r="AQ16" i="18"/>
  <c r="U23" i="21"/>
  <c r="AC23" i="21"/>
  <c r="N16" i="23"/>
  <c r="V16" i="23"/>
  <c r="U41" i="25"/>
  <c r="V41" i="25" s="1"/>
  <c r="U41" i="22"/>
  <c r="U19" i="28"/>
  <c r="N32" i="30"/>
  <c r="O43" i="31"/>
  <c r="AC16" i="31"/>
  <c r="U16" i="31"/>
  <c r="N45" i="32"/>
  <c r="AQ27" i="33"/>
  <c r="AI27" i="33"/>
  <c r="AJ22" i="34"/>
  <c r="AB22" i="34"/>
  <c r="U45" i="34"/>
  <c r="AC22" i="35"/>
  <c r="U22" i="35"/>
  <c r="AC37" i="38"/>
  <c r="AQ22" i="39"/>
  <c r="AI22" i="39"/>
  <c r="AI43" i="10"/>
  <c r="N44" i="41"/>
  <c r="N41" i="41"/>
  <c r="AI15" i="35"/>
  <c r="AG29" i="35"/>
  <c r="AQ15" i="35"/>
  <c r="N25" i="34"/>
  <c r="V25" i="34"/>
  <c r="AI20" i="34"/>
  <c r="AQ20" i="34"/>
  <c r="AC25" i="18"/>
  <c r="U25" i="18"/>
  <c r="AI28" i="18"/>
  <c r="AQ28" i="18"/>
  <c r="U22" i="11"/>
  <c r="AC22" i="11"/>
  <c r="AJ40" i="40"/>
  <c r="AB40" i="40"/>
  <c r="AG29" i="40"/>
  <c r="AI15" i="40"/>
  <c r="AB25" i="39"/>
  <c r="AJ25" i="39"/>
  <c r="AQ23" i="38"/>
  <c r="AI23" i="38"/>
  <c r="AC26" i="37"/>
  <c r="U26" i="37"/>
  <c r="U44" i="37"/>
  <c r="V44" i="37" s="1"/>
  <c r="AB36" i="38"/>
  <c r="AI40" i="34"/>
  <c r="AQ40" i="34"/>
  <c r="S29" i="35"/>
  <c r="U15" i="35"/>
  <c r="AJ32" i="35"/>
  <c r="AB32" i="35"/>
  <c r="AB32" i="33"/>
  <c r="AJ32" i="33"/>
  <c r="N36" i="29"/>
  <c r="O36" i="29" s="1"/>
  <c r="AJ23" i="26"/>
  <c r="AB23" i="26"/>
  <c r="N30" i="26"/>
  <c r="AJ35" i="25"/>
  <c r="AB35" i="25"/>
  <c r="AJ20" i="23"/>
  <c r="AB20" i="23"/>
  <c r="N42" i="19"/>
  <c r="AB28" i="19"/>
  <c r="AJ28" i="19"/>
  <c r="N39" i="12"/>
  <c r="V17" i="10"/>
  <c r="N17" i="10"/>
  <c r="U38" i="11"/>
  <c r="AC25" i="38"/>
  <c r="U25" i="38"/>
  <c r="AQ32" i="33"/>
  <c r="AI32" i="33"/>
  <c r="AB19" i="41"/>
  <c r="N23" i="41"/>
  <c r="V23" i="41"/>
  <c r="AI37" i="40"/>
  <c r="AJ37" i="40" s="1"/>
  <c r="AQ37" i="40"/>
  <c r="AP37" i="40"/>
  <c r="AI20" i="41"/>
  <c r="AQ20" i="41"/>
  <c r="O40" i="37"/>
  <c r="AJ18" i="36"/>
  <c r="AB18" i="36"/>
  <c r="AB36" i="30"/>
  <c r="AB45" i="31"/>
  <c r="AQ28" i="29"/>
  <c r="AI28" i="29"/>
  <c r="N26" i="29"/>
  <c r="V26" i="29"/>
  <c r="U34" i="22"/>
  <c r="V34" i="22" s="1"/>
  <c r="AB39" i="14"/>
  <c r="N40" i="40"/>
  <c r="AJ30" i="40"/>
  <c r="AB30" i="40"/>
  <c r="AI38" i="38"/>
  <c r="AQ38" i="38"/>
  <c r="AQ26" i="37"/>
  <c r="AI26" i="37"/>
  <c r="AI38" i="37"/>
  <c r="AQ38" i="37"/>
  <c r="AB26" i="38"/>
  <c r="AJ26" i="38"/>
  <c r="N17" i="37"/>
  <c r="V17" i="37"/>
  <c r="AB15" i="34"/>
  <c r="Z29" i="34"/>
  <c r="AP41" i="34"/>
  <c r="AQ41" i="34" s="1"/>
  <c r="AI31" i="33"/>
  <c r="AQ31" i="33"/>
  <c r="AP28" i="34"/>
  <c r="AB27" i="22"/>
  <c r="AJ27" i="22"/>
  <c r="AC31" i="21"/>
  <c r="U31" i="21"/>
  <c r="AB31" i="24"/>
  <c r="AJ31" i="24"/>
  <c r="U36" i="17"/>
  <c r="AJ19" i="16"/>
  <c r="AB19" i="16"/>
  <c r="AB27" i="13"/>
  <c r="AJ27" i="13"/>
  <c r="AI24" i="40"/>
  <c r="AQ24" i="40"/>
  <c r="AC28" i="37"/>
  <c r="U28" i="37"/>
  <c r="AC31" i="37"/>
  <c r="U31" i="37"/>
  <c r="AQ27" i="36"/>
  <c r="AI27" i="36"/>
  <c r="AJ16" i="36"/>
  <c r="AB16" i="36"/>
  <c r="AB31" i="34"/>
  <c r="AJ31" i="34"/>
  <c r="U40" i="30"/>
  <c r="AP43" i="28"/>
  <c r="AI42" i="22"/>
  <c r="AB26" i="19"/>
  <c r="AJ26" i="19"/>
  <c r="AB32" i="12"/>
  <c r="AJ32" i="12"/>
  <c r="AB39" i="11"/>
  <c r="AJ30" i="39"/>
  <c r="AB30" i="39"/>
  <c r="V17" i="38"/>
  <c r="N17" i="38"/>
  <c r="O33" i="34"/>
  <c r="U44" i="32"/>
  <c r="AB16" i="31"/>
  <c r="AJ16" i="31"/>
  <c r="AB45" i="28"/>
  <c r="AJ15" i="19"/>
  <c r="AB15" i="19"/>
  <c r="Z29" i="19"/>
  <c r="N27" i="21"/>
  <c r="V27" i="21"/>
  <c r="AQ21" i="18"/>
  <c r="AI21" i="18"/>
  <c r="AB30" i="21"/>
  <c r="AJ30" i="21"/>
  <c r="O41" i="10"/>
  <c r="AI36" i="39"/>
  <c r="N30" i="39"/>
  <c r="AI34" i="38"/>
  <c r="AQ34" i="38"/>
  <c r="AI43" i="36"/>
  <c r="AQ28" i="34"/>
  <c r="AI28" i="34"/>
  <c r="AB40" i="31"/>
  <c r="AI19" i="29"/>
  <c r="AB27" i="27"/>
  <c r="AJ27" i="27"/>
  <c r="AB34" i="24"/>
  <c r="AC34" i="24" s="1"/>
  <c r="AQ35" i="26"/>
  <c r="AI35" i="26"/>
  <c r="AI27" i="20"/>
  <c r="AQ27" i="20"/>
  <c r="N17" i="18"/>
  <c r="V17" i="18"/>
  <c r="V33" i="41"/>
  <c r="N33" i="41"/>
  <c r="H29" i="41"/>
  <c r="AB21" i="39"/>
  <c r="AJ21" i="39"/>
  <c r="AC38" i="37"/>
  <c r="U38" i="37"/>
  <c r="AI34" i="36"/>
  <c r="AQ34" i="36"/>
  <c r="N36" i="35"/>
  <c r="AQ37" i="36"/>
  <c r="AP37" i="36"/>
  <c r="AI37" i="36"/>
  <c r="AB31" i="27"/>
  <c r="AJ31" i="27"/>
  <c r="O30" i="26"/>
  <c r="Z29" i="24"/>
  <c r="AB15" i="24"/>
  <c r="AB19" i="23"/>
  <c r="AP28" i="18"/>
  <c r="AJ24" i="22"/>
  <c r="AB24" i="22"/>
  <c r="AJ19" i="14"/>
  <c r="AB19" i="14"/>
  <c r="AP41" i="14"/>
  <c r="AJ26" i="16"/>
  <c r="AB26" i="16"/>
  <c r="O46" i="41"/>
  <c r="N46" i="41"/>
  <c r="AB46" i="41"/>
  <c r="AC46" i="41" s="1"/>
  <c r="AJ46" i="41"/>
  <c r="AI46" i="41"/>
  <c r="U20" i="40"/>
  <c r="AC20" i="40"/>
  <c r="N30" i="41"/>
  <c r="N30" i="40"/>
  <c r="O30" i="40" s="1"/>
  <c r="U36" i="38"/>
  <c r="AC36" i="38"/>
  <c r="N27" i="38"/>
  <c r="V27" i="38"/>
  <c r="AC22" i="36"/>
  <c r="U22" i="36"/>
  <c r="AI22" i="35"/>
  <c r="AQ22" i="35"/>
  <c r="V20" i="37"/>
  <c r="N20" i="37"/>
  <c r="U22" i="34"/>
  <c r="AC22" i="34"/>
  <c r="U17" i="36"/>
  <c r="AC17" i="36"/>
  <c r="AJ38" i="33"/>
  <c r="AB38" i="33"/>
  <c r="AI45" i="31"/>
  <c r="AJ45" i="31" s="1"/>
  <c r="AQ25" i="32"/>
  <c r="AI25" i="32"/>
  <c r="AQ30" i="33"/>
  <c r="AI30" i="33"/>
  <c r="AJ25" i="30"/>
  <c r="AB25" i="30"/>
  <c r="N46" i="30"/>
  <c r="V18" i="31"/>
  <c r="N18" i="31"/>
  <c r="AB28" i="29"/>
  <c r="AJ28" i="29"/>
  <c r="N30" i="30"/>
  <c r="AB21" i="28"/>
  <c r="AC21" i="28" s="1"/>
  <c r="AJ21" i="28"/>
  <c r="N25" i="28"/>
  <c r="V25" i="28"/>
  <c r="AI28" i="30"/>
  <c r="AQ28" i="30"/>
  <c r="AI22" i="28"/>
  <c r="AQ22" i="28"/>
  <c r="U30" i="24"/>
  <c r="AC30" i="24"/>
  <c r="U47" i="23"/>
  <c r="AI22" i="22"/>
  <c r="AQ22" i="22"/>
  <c r="AI44" i="20"/>
  <c r="AJ44" i="20" s="1"/>
  <c r="U37" i="25"/>
  <c r="AC37" i="25"/>
  <c r="AJ18" i="19"/>
  <c r="AB18" i="19"/>
  <c r="AI44" i="19"/>
  <c r="AJ44" i="19" s="1"/>
  <c r="AP44" i="19"/>
  <c r="AQ44" i="19" s="1"/>
  <c r="AB38" i="16"/>
  <c r="AC38" i="16" s="1"/>
  <c r="AP16" i="18"/>
  <c r="N30" i="21"/>
  <c r="AJ48" i="17"/>
  <c r="AB48" i="17"/>
  <c r="U19" i="19"/>
  <c r="U47" i="13"/>
  <c r="AQ21" i="12"/>
  <c r="AI21" i="12"/>
  <c r="AB41" i="15"/>
  <c r="AC41" i="15" s="1"/>
  <c r="N45" i="41"/>
  <c r="AB40" i="41"/>
  <c r="V31" i="40"/>
  <c r="N31" i="40"/>
  <c r="U27" i="40"/>
  <c r="AC27" i="40"/>
  <c r="V27" i="40"/>
  <c r="N27" i="40"/>
  <c r="N38" i="38"/>
  <c r="V38" i="38"/>
  <c r="AJ16" i="38"/>
  <c r="AB16" i="38"/>
  <c r="AI21" i="36"/>
  <c r="AQ21" i="36"/>
  <c r="AB21" i="37"/>
  <c r="AJ21" i="37"/>
  <c r="U45" i="35"/>
  <c r="AQ37" i="35"/>
  <c r="AI37" i="35"/>
  <c r="AJ17" i="36"/>
  <c r="AB17" i="36"/>
  <c r="AB27" i="33"/>
  <c r="AJ27" i="33"/>
  <c r="AP25" i="30"/>
  <c r="U30" i="32"/>
  <c r="F27" i="3" s="1"/>
  <c r="AC30" i="32"/>
  <c r="F26" i="3"/>
  <c r="AI37" i="32"/>
  <c r="AQ37" i="32"/>
  <c r="L29" i="31"/>
  <c r="N15" i="31"/>
  <c r="AJ30" i="29"/>
  <c r="AB30" i="29"/>
  <c r="AP28" i="29"/>
  <c r="S29" i="28"/>
  <c r="U15" i="28"/>
  <c r="H29" i="29"/>
  <c r="V28" i="28"/>
  <c r="N28" i="28"/>
  <c r="AI31" i="29"/>
  <c r="AQ31" i="29"/>
  <c r="AI30" i="27"/>
  <c r="AQ30" i="27"/>
  <c r="L23" i="3"/>
  <c r="V24" i="30"/>
  <c r="N24" i="30"/>
  <c r="AP22" i="24"/>
  <c r="U23" i="27"/>
  <c r="AC23" i="27"/>
  <c r="N34" i="25"/>
  <c r="V34" i="25"/>
  <c r="AJ17" i="26"/>
  <c r="AB17" i="26"/>
  <c r="O34" i="22"/>
  <c r="N34" i="22"/>
  <c r="N19" i="24"/>
  <c r="O19" i="24" s="1"/>
  <c r="AP36" i="25"/>
  <c r="AJ24" i="21"/>
  <c r="AB24" i="21"/>
  <c r="N42" i="23"/>
  <c r="N31" i="24"/>
  <c r="V31" i="24"/>
  <c r="N32" i="25"/>
  <c r="R44" i="25"/>
  <c r="S44" i="25" s="1"/>
  <c r="AC23" i="19"/>
  <c r="U23" i="19"/>
  <c r="AC30" i="20"/>
  <c r="U30" i="20"/>
  <c r="AI18" i="18"/>
  <c r="AQ18" i="18"/>
  <c r="N36" i="18"/>
  <c r="AB30" i="16"/>
  <c r="AJ30" i="16"/>
  <c r="N43" i="14"/>
  <c r="O43" i="14" s="1"/>
  <c r="V27" i="19"/>
  <c r="N27" i="19"/>
  <c r="N32" i="19"/>
  <c r="AP27" i="16"/>
  <c r="N20" i="18"/>
  <c r="V20" i="18"/>
  <c r="O31" i="15"/>
  <c r="N31" i="15"/>
  <c r="N33" i="14"/>
  <c r="V33" i="14"/>
  <c r="N15" i="13"/>
  <c r="L29" i="13"/>
  <c r="N16" i="14"/>
  <c r="V16" i="14"/>
  <c r="AI42" i="13"/>
  <c r="N31" i="11"/>
  <c r="V31" i="11"/>
  <c r="AQ31" i="14"/>
  <c r="AI31" i="14"/>
  <c r="AB25" i="17"/>
  <c r="AJ25" i="17"/>
  <c r="AC25" i="16"/>
  <c r="U25" i="16"/>
  <c r="AJ16" i="18"/>
  <c r="AB16" i="18"/>
  <c r="N43" i="16"/>
  <c r="Z29" i="23"/>
  <c r="AB15" i="23"/>
  <c r="AI33" i="21"/>
  <c r="AQ33" i="21"/>
  <c r="AB45" i="25"/>
  <c r="AJ45" i="25"/>
  <c r="N36" i="25"/>
  <c r="AC18" i="31"/>
  <c r="U18" i="31"/>
  <c r="AB20" i="12"/>
  <c r="AJ20" i="12"/>
  <c r="AB32" i="15"/>
  <c r="AJ32" i="15"/>
  <c r="AI27" i="9"/>
  <c r="AQ27" i="9"/>
  <c r="N25" i="12"/>
  <c r="V25" i="12"/>
  <c r="AQ24" i="12"/>
  <c r="AI24" i="12"/>
  <c r="AC17" i="11"/>
  <c r="U17" i="11"/>
  <c r="AI19" i="10"/>
  <c r="AQ19" i="10"/>
  <c r="U28" i="13"/>
  <c r="AC28" i="13"/>
  <c r="AQ45" i="41"/>
  <c r="AI45" i="41"/>
  <c r="AI33" i="41"/>
  <c r="AQ33" i="41"/>
  <c r="U31" i="41"/>
  <c r="AC31" i="41"/>
  <c r="AC40" i="41"/>
  <c r="U40" i="41"/>
  <c r="AB43" i="41"/>
  <c r="AP33" i="41"/>
  <c r="AJ15" i="41"/>
  <c r="AB15" i="41"/>
  <c r="Z29" i="41"/>
  <c r="AB30" i="41"/>
  <c r="AJ30" i="41"/>
  <c r="H44" i="39"/>
  <c r="V37" i="40"/>
  <c r="N37" i="40"/>
  <c r="AC33" i="40"/>
  <c r="U33" i="40"/>
  <c r="AP44" i="39"/>
  <c r="AQ44" i="39" s="1"/>
  <c r="AJ17" i="39"/>
  <c r="AB17" i="39"/>
  <c r="AC18" i="40"/>
  <c r="U18" i="40"/>
  <c r="N41" i="39"/>
  <c r="AC38" i="38"/>
  <c r="U38" i="38"/>
  <c r="AG29" i="41"/>
  <c r="AI15" i="41"/>
  <c r="AC23" i="38"/>
  <c r="U23" i="38"/>
  <c r="AQ18" i="38"/>
  <c r="AI18" i="38"/>
  <c r="AJ24" i="38"/>
  <c r="AB24" i="38"/>
  <c r="N22" i="39"/>
  <c r="AG29" i="38"/>
  <c r="AI15" i="38"/>
  <c r="AJ15" i="38" s="1"/>
  <c r="AP23" i="36"/>
  <c r="AB36" i="37"/>
  <c r="AJ36" i="37"/>
  <c r="AI40" i="36"/>
  <c r="U23" i="37"/>
  <c r="AC23" i="37"/>
  <c r="N30" i="37"/>
  <c r="AI19" i="36"/>
  <c r="AQ19" i="36"/>
  <c r="AB43" i="37"/>
  <c r="AJ20" i="37"/>
  <c r="AB20" i="37"/>
  <c r="Z29" i="36"/>
  <c r="AB15" i="36"/>
  <c r="AB31" i="37"/>
  <c r="AJ31" i="37"/>
  <c r="AB35" i="35"/>
  <c r="AJ35" i="35"/>
  <c r="AJ21" i="35"/>
  <c r="AB21" i="35"/>
  <c r="AN44" i="35"/>
  <c r="AI46" i="34"/>
  <c r="AC23" i="35"/>
  <c r="U23" i="35"/>
  <c r="N30" i="34"/>
  <c r="E32" i="3" s="1"/>
  <c r="E31" i="3"/>
  <c r="V45" i="34"/>
  <c r="N45" i="34"/>
  <c r="AP21" i="34"/>
  <c r="V18" i="36"/>
  <c r="N18" i="36"/>
  <c r="AJ17" i="35"/>
  <c r="AB17" i="35"/>
  <c r="AC31" i="33"/>
  <c r="U31" i="33"/>
  <c r="U38" i="34"/>
  <c r="AC38" i="34"/>
  <c r="N18" i="34"/>
  <c r="V18" i="34"/>
  <c r="AI26" i="32"/>
  <c r="AQ26" i="32"/>
  <c r="N19" i="32"/>
  <c r="AB41" i="33"/>
  <c r="AI21" i="33"/>
  <c r="AQ21" i="33"/>
  <c r="AQ24" i="32"/>
  <c r="AI24" i="32"/>
  <c r="AN43" i="33"/>
  <c r="AB19" i="33"/>
  <c r="AJ19" i="33"/>
  <c r="AQ38" i="31"/>
  <c r="AI38" i="31"/>
  <c r="AJ33" i="31"/>
  <c r="AB33" i="31"/>
  <c r="AC22" i="32"/>
  <c r="U22" i="32"/>
  <c r="S29" i="31"/>
  <c r="U15" i="31"/>
  <c r="V15" i="31" s="1"/>
  <c r="AC15" i="31"/>
  <c r="N26" i="30"/>
  <c r="V26" i="30"/>
  <c r="AI28" i="31"/>
  <c r="AQ28" i="31"/>
  <c r="AP33" i="29"/>
  <c r="AP15" i="32"/>
  <c r="AN29" i="32"/>
  <c r="AQ31" i="30"/>
  <c r="AI31" i="30"/>
  <c r="AB38" i="29"/>
  <c r="AJ38" i="29"/>
  <c r="AJ32" i="30"/>
  <c r="AB32" i="30"/>
  <c r="H44" i="30"/>
  <c r="AB27" i="29"/>
  <c r="AJ27" i="29"/>
  <c r="AB19" i="29"/>
  <c r="AJ19" i="29"/>
  <c r="AJ25" i="29"/>
  <c r="AB25" i="29"/>
  <c r="AQ16" i="31"/>
  <c r="AI16" i="31"/>
  <c r="AJ36" i="32"/>
  <c r="AB36" i="32"/>
  <c r="AB21" i="29"/>
  <c r="AC21" i="29" s="1"/>
  <c r="AJ21" i="29"/>
  <c r="U17" i="31"/>
  <c r="AC17" i="31"/>
  <c r="V20" i="32"/>
  <c r="N20" i="32"/>
  <c r="AI34" i="28"/>
  <c r="AQ34" i="28"/>
  <c r="Z43" i="28"/>
  <c r="N46" i="29"/>
  <c r="AP23" i="29"/>
  <c r="U23" i="28"/>
  <c r="AC23" i="28"/>
  <c r="N34" i="27"/>
  <c r="AJ18" i="29"/>
  <c r="AB18" i="29"/>
  <c r="AB41" i="27"/>
  <c r="N32" i="28"/>
  <c r="U28" i="27"/>
  <c r="AC28" i="27"/>
  <c r="AC34" i="27"/>
  <c r="U34" i="27"/>
  <c r="V34" i="27" s="1"/>
  <c r="V24" i="25"/>
  <c r="N24" i="25"/>
  <c r="N31" i="25"/>
  <c r="V31" i="25"/>
  <c r="N32" i="26"/>
  <c r="AB47" i="23"/>
  <c r="AC47" i="23" s="1"/>
  <c r="AJ47" i="23"/>
  <c r="AI26" i="26"/>
  <c r="AQ26" i="26"/>
  <c r="AJ34" i="25"/>
  <c r="AB34" i="25"/>
  <c r="U33" i="23"/>
  <c r="AC33" i="23"/>
  <c r="AQ32" i="22"/>
  <c r="AI32" i="22"/>
  <c r="AI41" i="24"/>
  <c r="AJ41" i="24" s="1"/>
  <c r="O35" i="24"/>
  <c r="AI24" i="22"/>
  <c r="AQ24" i="22"/>
  <c r="AQ28" i="25"/>
  <c r="AI28" i="25"/>
  <c r="S29" i="24"/>
  <c r="U15" i="24"/>
  <c r="V15" i="24" s="1"/>
  <c r="AC15" i="24"/>
  <c r="U30" i="22"/>
  <c r="AC30" i="22"/>
  <c r="U38" i="21"/>
  <c r="AJ20" i="28"/>
  <c r="AB20" i="28"/>
  <c r="AJ16" i="22"/>
  <c r="AB16" i="22"/>
  <c r="AJ22" i="23"/>
  <c r="AB22" i="23"/>
  <c r="AJ22" i="22"/>
  <c r="AB22" i="22"/>
  <c r="AC27" i="23"/>
  <c r="U27" i="23"/>
  <c r="AJ16" i="24"/>
  <c r="AB16" i="24"/>
  <c r="N23" i="22"/>
  <c r="V23" i="22"/>
  <c r="AQ25" i="20"/>
  <c r="AI25" i="20"/>
  <c r="S41" i="24"/>
  <c r="AB41" i="24" s="1"/>
  <c r="U48" i="24"/>
  <c r="AJ28" i="23"/>
  <c r="AB28" i="23"/>
  <c r="AP41" i="23"/>
  <c r="AQ41" i="23" s="1"/>
  <c r="N32" i="21"/>
  <c r="AI23" i="25"/>
  <c r="AQ23" i="25"/>
  <c r="AI16" i="23"/>
  <c r="AQ16" i="23"/>
  <c r="AI15" i="23"/>
  <c r="AJ15" i="23" s="1"/>
  <c r="AG29" i="23"/>
  <c r="AI20" i="20"/>
  <c r="AQ20" i="20"/>
  <c r="AP19" i="19"/>
  <c r="AG32" i="20"/>
  <c r="AG42" i="21"/>
  <c r="AP34" i="20"/>
  <c r="AQ34" i="20" s="1"/>
  <c r="N43" i="19"/>
  <c r="AB42" i="19"/>
  <c r="V19" i="19"/>
  <c r="N19" i="19"/>
  <c r="R46" i="25"/>
  <c r="S46" i="25" s="1"/>
  <c r="AN33" i="25"/>
  <c r="AP33" i="25" s="1"/>
  <c r="AB19" i="22"/>
  <c r="AI44" i="18"/>
  <c r="AJ44" i="18" s="1"/>
  <c r="AQ44" i="18"/>
  <c r="AI48" i="18"/>
  <c r="AB27" i="21"/>
  <c r="AJ27" i="21"/>
  <c r="AP18" i="18"/>
  <c r="AB18" i="16"/>
  <c r="AJ18" i="16"/>
  <c r="AJ17" i="20"/>
  <c r="AB17" i="20"/>
  <c r="N47" i="18"/>
  <c r="AB20" i="16"/>
  <c r="AJ20" i="16"/>
  <c r="N30" i="19"/>
  <c r="AI19" i="21"/>
  <c r="AC22" i="21"/>
  <c r="U22" i="21"/>
  <c r="U42" i="17"/>
  <c r="AB21" i="16"/>
  <c r="AJ21" i="16"/>
  <c r="N18" i="19"/>
  <c r="V18" i="19"/>
  <c r="V17" i="16"/>
  <c r="N17" i="16"/>
  <c r="AC18" i="20"/>
  <c r="U18" i="20"/>
  <c r="U42" i="18"/>
  <c r="AI33" i="18"/>
  <c r="AQ33" i="18"/>
  <c r="AI28" i="16"/>
  <c r="AQ28" i="16"/>
  <c r="AB25" i="16"/>
  <c r="AJ25" i="16"/>
  <c r="AQ39" i="16"/>
  <c r="AI39" i="16"/>
  <c r="AQ33" i="14"/>
  <c r="AI33" i="14"/>
  <c r="AC24" i="14"/>
  <c r="U24" i="14"/>
  <c r="N47" i="12"/>
  <c r="O47" i="12" s="1"/>
  <c r="V47" i="12"/>
  <c r="U47" i="12"/>
  <c r="AP47" i="19"/>
  <c r="AI30" i="15"/>
  <c r="AQ30" i="15"/>
  <c r="L8" i="3"/>
  <c r="V25" i="21"/>
  <c r="N25" i="21"/>
  <c r="AQ44" i="14"/>
  <c r="AI44" i="14"/>
  <c r="AJ44" i="14" s="1"/>
  <c r="AP44" i="14"/>
  <c r="AB38" i="12"/>
  <c r="U19" i="14"/>
  <c r="AC19" i="14"/>
  <c r="AJ16" i="14"/>
  <c r="AB16" i="14"/>
  <c r="Z29" i="13"/>
  <c r="AB15" i="13"/>
  <c r="V17" i="15"/>
  <c r="N17" i="15"/>
  <c r="AP22" i="20"/>
  <c r="AI39" i="12"/>
  <c r="AQ39" i="12"/>
  <c r="AJ28" i="11"/>
  <c r="AB28" i="11"/>
  <c r="AG29" i="10"/>
  <c r="AI15" i="10"/>
  <c r="AJ15" i="10" s="1"/>
  <c r="O30" i="15"/>
  <c r="AJ23" i="13"/>
  <c r="AB23" i="13"/>
  <c r="AB30" i="14"/>
  <c r="AJ30" i="14"/>
  <c r="U46" i="14"/>
  <c r="V46" i="14" s="1"/>
  <c r="AC23" i="12"/>
  <c r="U23" i="12"/>
  <c r="U17" i="12"/>
  <c r="AC17" i="12"/>
  <c r="U25" i="11"/>
  <c r="AC25" i="11"/>
  <c r="U41" i="10"/>
  <c r="U22" i="9"/>
  <c r="AC22" i="9"/>
  <c r="AQ27" i="13"/>
  <c r="AI27" i="13"/>
  <c r="V39" i="13"/>
  <c r="AB30" i="11"/>
  <c r="AJ30" i="11"/>
  <c r="AI24" i="9"/>
  <c r="AQ24" i="9"/>
  <c r="N27" i="9"/>
  <c r="V27" i="9"/>
  <c r="U27" i="14"/>
  <c r="AC27" i="14"/>
  <c r="AB40" i="38"/>
  <c r="V31" i="36"/>
  <c r="N31" i="36"/>
  <c r="AQ30" i="35"/>
  <c r="AI30" i="35"/>
  <c r="AC35" i="34"/>
  <c r="U35" i="34"/>
  <c r="AB37" i="29"/>
  <c r="AJ37" i="29"/>
  <c r="V23" i="32"/>
  <c r="N23" i="32"/>
  <c r="U15" i="27"/>
  <c r="S29" i="27"/>
  <c r="AJ22" i="28"/>
  <c r="AB22" i="28"/>
  <c r="AC17" i="25"/>
  <c r="U17" i="25"/>
  <c r="AI42" i="19"/>
  <c r="AJ42" i="19" s="1"/>
  <c r="AI31" i="17"/>
  <c r="AQ31" i="17"/>
  <c r="Z29" i="20"/>
  <c r="AB15" i="20"/>
  <c r="AC34" i="18"/>
  <c r="U34" i="18"/>
  <c r="AB39" i="16"/>
  <c r="AJ39" i="16"/>
  <c r="AC26" i="17"/>
  <c r="U26" i="17"/>
  <c r="N30" i="15"/>
  <c r="AI19" i="41"/>
  <c r="AJ19" i="41" s="1"/>
  <c r="AC22" i="41"/>
  <c r="U22" i="41"/>
  <c r="AJ16" i="41"/>
  <c r="AB16" i="41"/>
  <c r="AQ21" i="38"/>
  <c r="AI21" i="38"/>
  <c r="AC50" i="37"/>
  <c r="U50" i="37"/>
  <c r="S29" i="36"/>
  <c r="U15" i="36"/>
  <c r="AC15" i="36"/>
  <c r="AI15" i="33"/>
  <c r="AG29" i="33"/>
  <c r="O40" i="33"/>
  <c r="N31" i="32"/>
  <c r="V31" i="32"/>
  <c r="AC31" i="30"/>
  <c r="U31" i="30"/>
  <c r="N43" i="31"/>
  <c r="AB28" i="30"/>
  <c r="AJ28" i="30"/>
  <c r="U19" i="31"/>
  <c r="O41" i="30"/>
  <c r="AI46" i="32"/>
  <c r="V37" i="30"/>
  <c r="N37" i="30"/>
  <c r="U37" i="30"/>
  <c r="AC31" i="29"/>
  <c r="U31" i="29"/>
  <c r="U24" i="27"/>
  <c r="AC24" i="27"/>
  <c r="N19" i="23"/>
  <c r="AQ15" i="24"/>
  <c r="AI15" i="24"/>
  <c r="AJ15" i="24" s="1"/>
  <c r="AG29" i="24"/>
  <c r="AB48" i="22"/>
  <c r="AJ48" i="22"/>
  <c r="AB42" i="22"/>
  <c r="AJ42" i="22"/>
  <c r="AP47" i="24"/>
  <c r="AQ22" i="24"/>
  <c r="AI22" i="24"/>
  <c r="V18" i="25"/>
  <c r="N18" i="25"/>
  <c r="AB38" i="22"/>
  <c r="AI15" i="22"/>
  <c r="AG29" i="22"/>
  <c r="AB33" i="19"/>
  <c r="AJ33" i="19"/>
  <c r="AQ19" i="19"/>
  <c r="AI19" i="19"/>
  <c r="AQ21" i="20"/>
  <c r="AI21" i="20"/>
  <c r="R18" i="3"/>
  <c r="AC24" i="18"/>
  <c r="U24" i="18"/>
  <c r="AI33" i="16"/>
  <c r="AQ33" i="16"/>
  <c r="AI43" i="21"/>
  <c r="U41" i="20"/>
  <c r="V41" i="20" s="1"/>
  <c r="AB15" i="17"/>
  <c r="Z29" i="17"/>
  <c r="AB35" i="15"/>
  <c r="AC35" i="15" s="1"/>
  <c r="N42" i="11"/>
  <c r="V22" i="41"/>
  <c r="N22" i="41"/>
  <c r="AJ32" i="40"/>
  <c r="AB32" i="40"/>
  <c r="O30" i="41"/>
  <c r="N19" i="40"/>
  <c r="O19" i="40" s="1"/>
  <c r="AI33" i="40"/>
  <c r="AQ33" i="40"/>
  <c r="AC26" i="40"/>
  <c r="U26" i="40"/>
  <c r="AP26" i="37"/>
  <c r="AC20" i="36"/>
  <c r="U20" i="36"/>
  <c r="AC26" i="34"/>
  <c r="U26" i="34"/>
  <c r="N24" i="37"/>
  <c r="V24" i="37"/>
  <c r="V17" i="35"/>
  <c r="N17" i="35"/>
  <c r="V35" i="33"/>
  <c r="N35" i="33"/>
  <c r="U16" i="34"/>
  <c r="AC16" i="34"/>
  <c r="AI36" i="32"/>
  <c r="AQ36" i="32"/>
  <c r="AB40" i="32"/>
  <c r="O44" i="33"/>
  <c r="AI41" i="31"/>
  <c r="U16" i="32"/>
  <c r="AC16" i="32"/>
  <c r="AI36" i="31"/>
  <c r="AI15" i="31"/>
  <c r="AG29" i="31"/>
  <c r="AI32" i="31"/>
  <c r="AQ32" i="31"/>
  <c r="AB40" i="29"/>
  <c r="AC40" i="29" s="1"/>
  <c r="AI40" i="30"/>
  <c r="U40" i="29"/>
  <c r="AI40" i="27"/>
  <c r="AQ40" i="27"/>
  <c r="AQ26" i="29"/>
  <c r="AI26" i="29"/>
  <c r="U30" i="29"/>
  <c r="AC30" i="29"/>
  <c r="AP16" i="28"/>
  <c r="AB40" i="26"/>
  <c r="AQ36" i="23"/>
  <c r="AI36" i="23"/>
  <c r="AB28" i="25"/>
  <c r="AJ28" i="25"/>
  <c r="U39" i="24"/>
  <c r="AP45" i="23"/>
  <c r="AI45" i="23"/>
  <c r="AJ45" i="23" s="1"/>
  <c r="AQ45" i="23"/>
  <c r="AP39" i="21"/>
  <c r="N17" i="21"/>
  <c r="V17" i="21"/>
  <c r="AI41" i="23"/>
  <c r="AJ41" i="23" s="1"/>
  <c r="AQ20" i="21"/>
  <c r="AI20" i="21"/>
  <c r="AJ33" i="16"/>
  <c r="AB33" i="16"/>
  <c r="AI39" i="19"/>
  <c r="AJ17" i="15"/>
  <c r="AB17" i="15"/>
  <c r="AC30" i="16"/>
  <c r="U30" i="16"/>
  <c r="N47" i="19"/>
  <c r="AG32" i="15"/>
  <c r="AP32" i="15" s="1"/>
  <c r="O7" i="3"/>
  <c r="V20" i="14"/>
  <c r="N20" i="14"/>
  <c r="AB17" i="14"/>
  <c r="AJ17" i="14"/>
  <c r="AB23" i="12"/>
  <c r="AJ23" i="12"/>
  <c r="AI33" i="13"/>
  <c r="AQ33" i="13"/>
  <c r="V20" i="13"/>
  <c r="N20" i="13"/>
  <c r="AP15" i="16"/>
  <c r="AN29" i="16"/>
  <c r="AB38" i="19"/>
  <c r="U25" i="23"/>
  <c r="AC25" i="23"/>
  <c r="U30" i="13"/>
  <c r="AC30" i="13"/>
  <c r="AQ42" i="12"/>
  <c r="AI42" i="12"/>
  <c r="U45" i="41"/>
  <c r="V45" i="41" s="1"/>
  <c r="N20" i="41"/>
  <c r="V20" i="41"/>
  <c r="AQ28" i="41"/>
  <c r="AI28" i="41"/>
  <c r="H43" i="41"/>
  <c r="V50" i="41"/>
  <c r="N50" i="41"/>
  <c r="AP43" i="40"/>
  <c r="AI30" i="41"/>
  <c r="AQ30" i="41"/>
  <c r="AB21" i="40"/>
  <c r="AJ21" i="40"/>
  <c r="N28" i="39"/>
  <c r="V28" i="39"/>
  <c r="U41" i="40"/>
  <c r="V41" i="40" s="1"/>
  <c r="U17" i="39"/>
  <c r="AC17" i="39"/>
  <c r="AP43" i="39"/>
  <c r="U43" i="39"/>
  <c r="N18" i="40"/>
  <c r="V18" i="40"/>
  <c r="S44" i="38"/>
  <c r="AJ20" i="39"/>
  <c r="AB20" i="39"/>
  <c r="AB34" i="38"/>
  <c r="AJ34" i="38"/>
  <c r="AQ26" i="39"/>
  <c r="AI26" i="39"/>
  <c r="AC35" i="38"/>
  <c r="U35" i="38"/>
  <c r="N23" i="38"/>
  <c r="V23" i="38"/>
  <c r="U17" i="38"/>
  <c r="AC17" i="38"/>
  <c r="AB35" i="38"/>
  <c r="AJ35" i="38"/>
  <c r="U40" i="37"/>
  <c r="AP31" i="38"/>
  <c r="AI49" i="37"/>
  <c r="S46" i="38"/>
  <c r="AB22" i="37"/>
  <c r="AJ22" i="37"/>
  <c r="N27" i="36"/>
  <c r="V27" i="36"/>
  <c r="AN29" i="37"/>
  <c r="AP15" i="37"/>
  <c r="N36" i="38"/>
  <c r="V36" i="38"/>
  <c r="AJ25" i="37"/>
  <c r="AB25" i="37"/>
  <c r="AP33" i="36"/>
  <c r="G46" i="36"/>
  <c r="H46" i="36" s="1"/>
  <c r="H43" i="36"/>
  <c r="G44" i="36"/>
  <c r="H44" i="36" s="1"/>
  <c r="V16" i="37"/>
  <c r="N16" i="37"/>
  <c r="AG44" i="34"/>
  <c r="AB26" i="34"/>
  <c r="AJ26" i="34"/>
  <c r="AB41" i="35"/>
  <c r="N19" i="35"/>
  <c r="N36" i="36"/>
  <c r="O36" i="36" s="1"/>
  <c r="N15" i="35"/>
  <c r="O15" i="35" s="1"/>
  <c r="L29" i="35"/>
  <c r="V15" i="35"/>
  <c r="AI33" i="33"/>
  <c r="AQ33" i="33"/>
  <c r="H29" i="35"/>
  <c r="U28" i="33"/>
  <c r="AC28" i="33"/>
  <c r="AQ38" i="32"/>
  <c r="AI38" i="32"/>
  <c r="AI28" i="33"/>
  <c r="AQ28" i="33"/>
  <c r="AQ22" i="34"/>
  <c r="AI22" i="34"/>
  <c r="R33" i="3"/>
  <c r="AB18" i="34"/>
  <c r="AJ18" i="34"/>
  <c r="AC26" i="32"/>
  <c r="U26" i="32"/>
  <c r="AN44" i="31"/>
  <c r="AP44" i="31" s="1"/>
  <c r="AI18" i="32"/>
  <c r="AQ18" i="32"/>
  <c r="AI44" i="33"/>
  <c r="AJ44" i="33" s="1"/>
  <c r="AQ44" i="33"/>
  <c r="N34" i="32"/>
  <c r="V34" i="32"/>
  <c r="AN29" i="30"/>
  <c r="AP15" i="30"/>
  <c r="AC18" i="32"/>
  <c r="U18" i="32"/>
  <c r="AJ30" i="31"/>
  <c r="AB30" i="31"/>
  <c r="AP31" i="32"/>
  <c r="AJ21" i="30"/>
  <c r="AB21" i="30"/>
  <c r="AC21" i="30" s="1"/>
  <c r="AQ33" i="30"/>
  <c r="AI33" i="30"/>
  <c r="S29" i="32"/>
  <c r="U15" i="32"/>
  <c r="AP21" i="30"/>
  <c r="N25" i="30"/>
  <c r="V25" i="30"/>
  <c r="U37" i="28"/>
  <c r="AC37" i="28"/>
  <c r="V40" i="30"/>
  <c r="N40" i="30"/>
  <c r="AQ21" i="29"/>
  <c r="AI21" i="29"/>
  <c r="AP17" i="31"/>
  <c r="N45" i="29"/>
  <c r="O45" i="29" s="1"/>
  <c r="U26" i="28"/>
  <c r="AC26" i="28"/>
  <c r="O34" i="28"/>
  <c r="AB23" i="29"/>
  <c r="AJ23" i="29"/>
  <c r="V33" i="28"/>
  <c r="N33" i="28"/>
  <c r="AI15" i="27"/>
  <c r="AI43" i="28"/>
  <c r="AQ43" i="28"/>
  <c r="AQ20" i="27"/>
  <c r="AI20" i="27"/>
  <c r="N34" i="28"/>
  <c r="Z44" i="26"/>
  <c r="AI26" i="27"/>
  <c r="AQ26" i="27"/>
  <c r="N20" i="28"/>
  <c r="V20" i="28"/>
  <c r="U28" i="25"/>
  <c r="AC28" i="25"/>
  <c r="AI45" i="26"/>
  <c r="AJ45" i="26" s="1"/>
  <c r="AQ45" i="26"/>
  <c r="U25" i="25"/>
  <c r="AC25" i="25"/>
  <c r="AP32" i="26"/>
  <c r="U48" i="23"/>
  <c r="V48" i="23" s="1"/>
  <c r="AC48" i="23"/>
  <c r="AB48" i="23"/>
  <c r="AI31" i="25"/>
  <c r="AQ31" i="25"/>
  <c r="AP30" i="23"/>
  <c r="AC32" i="22"/>
  <c r="U32" i="22"/>
  <c r="AP15" i="24"/>
  <c r="AN29" i="24"/>
  <c r="N47" i="24"/>
  <c r="AI39" i="23"/>
  <c r="AI27" i="23"/>
  <c r="AQ27" i="23"/>
  <c r="S38" i="24"/>
  <c r="AP33" i="22"/>
  <c r="N34" i="24"/>
  <c r="AB33" i="24"/>
  <c r="AJ33" i="24"/>
  <c r="AC24" i="21"/>
  <c r="U24" i="21"/>
  <c r="AQ16" i="20"/>
  <c r="AI16" i="20"/>
  <c r="AI38" i="23"/>
  <c r="AJ21" i="23"/>
  <c r="AB21" i="23"/>
  <c r="AB25" i="19"/>
  <c r="AJ25" i="19"/>
  <c r="AI38" i="21"/>
  <c r="AN39" i="20"/>
  <c r="AP39" i="20" s="1"/>
  <c r="Z41" i="19"/>
  <c r="AB46" i="25"/>
  <c r="AI39" i="18"/>
  <c r="AJ39" i="18" s="1"/>
  <c r="AP48" i="18"/>
  <c r="AQ48" i="18" s="1"/>
  <c r="AQ27" i="21"/>
  <c r="AI27" i="21"/>
  <c r="AI39" i="17"/>
  <c r="V17" i="20"/>
  <c r="N17" i="20"/>
  <c r="N44" i="17"/>
  <c r="V44" i="17"/>
  <c r="AP18" i="16"/>
  <c r="N28" i="23"/>
  <c r="V28" i="23"/>
  <c r="AC19" i="21"/>
  <c r="U19" i="21"/>
  <c r="AB45" i="18"/>
  <c r="AC45" i="18" s="1"/>
  <c r="AJ45" i="18"/>
  <c r="AB32" i="17"/>
  <c r="AJ32" i="17"/>
  <c r="N20" i="21"/>
  <c r="V20" i="21"/>
  <c r="AP30" i="16"/>
  <c r="AB43" i="23"/>
  <c r="O35" i="17"/>
  <c r="AI15" i="17"/>
  <c r="AJ15" i="17" s="1"/>
  <c r="AG29" i="17"/>
  <c r="U15" i="19"/>
  <c r="AC15" i="19"/>
  <c r="S29" i="19"/>
  <c r="AC28" i="17"/>
  <c r="U28" i="17"/>
  <c r="N28" i="18"/>
  <c r="V28" i="18"/>
  <c r="AJ28" i="16"/>
  <c r="AB28" i="16"/>
  <c r="AJ23" i="17"/>
  <c r="AB23" i="17"/>
  <c r="AP34" i="17"/>
  <c r="AC22" i="16"/>
  <c r="U22" i="16"/>
  <c r="U47" i="18"/>
  <c r="V47" i="18" s="1"/>
  <c r="AC16" i="15"/>
  <c r="U16" i="15"/>
  <c r="N34" i="20"/>
  <c r="AI27" i="14"/>
  <c r="AQ27" i="14"/>
  <c r="N32" i="15"/>
  <c r="N30" i="12"/>
  <c r="AQ48" i="19"/>
  <c r="AI48" i="19"/>
  <c r="AC19" i="17"/>
  <c r="U19" i="17"/>
  <c r="AP41" i="17"/>
  <c r="AQ32" i="13"/>
  <c r="AI32" i="13"/>
  <c r="AI41" i="13"/>
  <c r="AB42" i="13"/>
  <c r="AJ42" i="13"/>
  <c r="AI32" i="14"/>
  <c r="AQ32" i="14"/>
  <c r="AI25" i="18"/>
  <c r="AQ25" i="18"/>
  <c r="AI38" i="13"/>
  <c r="AJ38" i="13" s="1"/>
  <c r="AQ38" i="13"/>
  <c r="AB26" i="14"/>
  <c r="AJ26" i="14"/>
  <c r="V20" i="16"/>
  <c r="N20" i="16"/>
  <c r="U26" i="16"/>
  <c r="AC26" i="16"/>
  <c r="AG29" i="18"/>
  <c r="AI15" i="18"/>
  <c r="AJ15" i="18" s="1"/>
  <c r="U16" i="17"/>
  <c r="AC16" i="17"/>
  <c r="S29" i="18"/>
  <c r="U15" i="18"/>
  <c r="AC15" i="18"/>
  <c r="AI27" i="19"/>
  <c r="AQ27" i="19"/>
  <c r="AB15" i="18"/>
  <c r="Z29" i="18"/>
  <c r="AC30" i="26"/>
  <c r="U30" i="26"/>
  <c r="V30" i="26" s="1"/>
  <c r="U24" i="24"/>
  <c r="AC24" i="24"/>
  <c r="AB19" i="26"/>
  <c r="AJ25" i="24"/>
  <c r="AB25" i="24"/>
  <c r="AJ21" i="27"/>
  <c r="AB21" i="27"/>
  <c r="AC21" i="27" s="1"/>
  <c r="AI32" i="30"/>
  <c r="AQ32" i="30"/>
  <c r="V20" i="29"/>
  <c r="N20" i="29"/>
  <c r="U24" i="28"/>
  <c r="AC24" i="28"/>
  <c r="N31" i="33"/>
  <c r="V31" i="33"/>
  <c r="AN29" i="35"/>
  <c r="AP15" i="35"/>
  <c r="AC23" i="34"/>
  <c r="U23" i="34"/>
  <c r="AB48" i="13"/>
  <c r="U35" i="12"/>
  <c r="V35" i="12" s="1"/>
  <c r="U47" i="11"/>
  <c r="V47" i="11" s="1"/>
  <c r="AI26" i="11"/>
  <c r="AQ26" i="11"/>
  <c r="AI36" i="10"/>
  <c r="AQ36" i="10"/>
  <c r="AB17" i="13"/>
  <c r="AJ17" i="13"/>
  <c r="V41" i="10"/>
  <c r="N41" i="10"/>
  <c r="AJ20" i="9"/>
  <c r="AB20" i="9"/>
  <c r="AP39" i="10"/>
  <c r="V24" i="10"/>
  <c r="N24" i="10"/>
  <c r="V17" i="9"/>
  <c r="N17" i="9"/>
  <c r="AQ18" i="11"/>
  <c r="AI18" i="11"/>
  <c r="L34" i="9"/>
  <c r="AB20" i="10"/>
  <c r="AJ20" i="10"/>
  <c r="V20" i="9"/>
  <c r="N20" i="9"/>
  <c r="AP20" i="13"/>
  <c r="N42" i="13"/>
  <c r="U36" i="11"/>
  <c r="AP19" i="9"/>
  <c r="AI20" i="9"/>
  <c r="AQ20" i="9"/>
  <c r="AB34" i="10"/>
  <c r="AC34" i="10" s="1"/>
  <c r="O37" i="41"/>
  <c r="N50" i="37"/>
  <c r="V50" i="37"/>
  <c r="N18" i="35"/>
  <c r="V18" i="35"/>
  <c r="AQ20" i="33"/>
  <c r="AI20" i="33"/>
  <c r="AI18" i="34"/>
  <c r="AQ18" i="34"/>
  <c r="AI37" i="33"/>
  <c r="AQ37" i="33"/>
  <c r="AB18" i="30"/>
  <c r="AJ18" i="30"/>
  <c r="AC34" i="28"/>
  <c r="U34" i="28"/>
  <c r="V34" i="28" s="1"/>
  <c r="AI37" i="29"/>
  <c r="AQ37" i="29"/>
  <c r="AP30" i="28"/>
  <c r="N41" i="27"/>
  <c r="O41" i="27" s="1"/>
  <c r="N17" i="26"/>
  <c r="V17" i="26"/>
  <c r="N43" i="24"/>
  <c r="AI41" i="21"/>
  <c r="AC23" i="18"/>
  <c r="U23" i="18"/>
  <c r="O47" i="18"/>
  <c r="AQ22" i="21"/>
  <c r="AI22" i="21"/>
  <c r="AC27" i="17"/>
  <c r="U27" i="17"/>
  <c r="N22" i="17"/>
  <c r="V22" i="17"/>
  <c r="AB17" i="18"/>
  <c r="AJ17" i="18"/>
  <c r="V16" i="18"/>
  <c r="N16" i="18"/>
  <c r="AB20" i="14"/>
  <c r="AJ20" i="14"/>
  <c r="U36" i="41"/>
  <c r="O40" i="40"/>
  <c r="N34" i="39"/>
  <c r="V34" i="39"/>
  <c r="N25" i="39"/>
  <c r="V25" i="39"/>
  <c r="N31" i="38"/>
  <c r="V31" i="38"/>
  <c r="AI36" i="38"/>
  <c r="AJ36" i="38" s="1"/>
  <c r="AB16" i="39"/>
  <c r="AJ16" i="39"/>
  <c r="AI36" i="36"/>
  <c r="N37" i="37"/>
  <c r="AQ34" i="37"/>
  <c r="AI34" i="37"/>
  <c r="AP38" i="35"/>
  <c r="AJ32" i="34"/>
  <c r="AB32" i="34"/>
  <c r="AC16" i="33"/>
  <c r="U16" i="33"/>
  <c r="AQ27" i="32"/>
  <c r="AI27" i="32"/>
  <c r="AQ20" i="31"/>
  <c r="AI20" i="31"/>
  <c r="O44" i="34"/>
  <c r="U36" i="29"/>
  <c r="V36" i="29" s="1"/>
  <c r="N44" i="29"/>
  <c r="AQ28" i="28"/>
  <c r="AI28" i="28"/>
  <c r="AB40" i="28"/>
  <c r="N44" i="28"/>
  <c r="U24" i="26"/>
  <c r="AC24" i="26"/>
  <c r="N20" i="26"/>
  <c r="V20" i="26"/>
  <c r="N46" i="26"/>
  <c r="O46" i="26" s="1"/>
  <c r="U26" i="22"/>
  <c r="AC26" i="22"/>
  <c r="N39" i="23"/>
  <c r="AC28" i="19"/>
  <c r="U28" i="19"/>
  <c r="N21" i="21"/>
  <c r="O21" i="21"/>
  <c r="AJ22" i="20"/>
  <c r="AB22" i="20"/>
  <c r="AQ24" i="23"/>
  <c r="AI24" i="23"/>
  <c r="N23" i="24"/>
  <c r="V23" i="24"/>
  <c r="L29" i="20"/>
  <c r="N15" i="20"/>
  <c r="AJ16" i="23"/>
  <c r="AB16" i="23"/>
  <c r="AB43" i="19"/>
  <c r="N43" i="21"/>
  <c r="AC43" i="19"/>
  <c r="U43" i="19"/>
  <c r="V43" i="19" s="1"/>
  <c r="V28" i="16"/>
  <c r="N28" i="16"/>
  <c r="AQ23" i="18"/>
  <c r="AI23" i="18"/>
  <c r="U34" i="17"/>
  <c r="AP34" i="21"/>
  <c r="AI34" i="19"/>
  <c r="N19" i="16"/>
  <c r="V19" i="16"/>
  <c r="AI35" i="14"/>
  <c r="AJ35" i="14" s="1"/>
  <c r="AP22" i="15"/>
  <c r="V19" i="12"/>
  <c r="N19" i="12"/>
  <c r="U33" i="21"/>
  <c r="AC33" i="21"/>
  <c r="AC18" i="41"/>
  <c r="U18" i="41"/>
  <c r="AC30" i="40"/>
  <c r="U30" i="40"/>
  <c r="V30" i="40" s="1"/>
  <c r="AB38" i="40"/>
  <c r="AJ38" i="40"/>
  <c r="AC22" i="39"/>
  <c r="U22" i="39"/>
  <c r="V22" i="39" s="1"/>
  <c r="AE37" i="39"/>
  <c r="AG37" i="39" s="1"/>
  <c r="AG46" i="39"/>
  <c r="AI31" i="38"/>
  <c r="AQ31" i="38"/>
  <c r="N43" i="39"/>
  <c r="V43" i="39"/>
  <c r="AJ30" i="38"/>
  <c r="AB30" i="38"/>
  <c r="AQ16" i="40"/>
  <c r="AI16" i="40"/>
  <c r="AI40" i="38"/>
  <c r="AJ40" i="38" s="1"/>
  <c r="AB44" i="37"/>
  <c r="AC44" i="37" s="1"/>
  <c r="AP15" i="36"/>
  <c r="AN29" i="36"/>
  <c r="AC33" i="37"/>
  <c r="U33" i="37"/>
  <c r="U18" i="36"/>
  <c r="AC18" i="36"/>
  <c r="N46" i="36"/>
  <c r="N43" i="37"/>
  <c r="O43" i="37" s="1"/>
  <c r="U43" i="35"/>
  <c r="U16" i="37"/>
  <c r="AC16" i="37"/>
  <c r="AI43" i="34"/>
  <c r="AJ43" i="34" s="1"/>
  <c r="U19" i="35"/>
  <c r="V19" i="35" s="1"/>
  <c r="AC30" i="35"/>
  <c r="U30" i="35"/>
  <c r="U40" i="34"/>
  <c r="U35" i="33"/>
  <c r="AC35" i="33"/>
  <c r="AP18" i="34"/>
  <c r="U28" i="32"/>
  <c r="AC28" i="32"/>
  <c r="AJ15" i="31"/>
  <c r="Z29" i="31"/>
  <c r="AB15" i="31"/>
  <c r="O45" i="32"/>
  <c r="AJ17" i="31"/>
  <c r="AB17" i="31"/>
  <c r="AG29" i="30"/>
  <c r="AI15" i="30"/>
  <c r="AJ15" i="30" s="1"/>
  <c r="AQ15" i="30"/>
  <c r="AI46" i="28"/>
  <c r="AQ46" i="28"/>
  <c r="AI34" i="32"/>
  <c r="AQ34" i="32"/>
  <c r="Q28" i="3"/>
  <c r="AQ38" i="25"/>
  <c r="AI38" i="25"/>
  <c r="U46" i="27"/>
  <c r="O32" i="26"/>
  <c r="AQ22" i="26"/>
  <c r="AI22" i="26"/>
  <c r="AJ34" i="27"/>
  <c r="AB34" i="27"/>
  <c r="AB38" i="26"/>
  <c r="AJ38" i="26"/>
  <c r="AP42" i="23"/>
  <c r="AQ42" i="23" s="1"/>
  <c r="AB25" i="20"/>
  <c r="AJ25" i="20"/>
  <c r="AJ18" i="23"/>
  <c r="AB18" i="23"/>
  <c r="N42" i="22"/>
  <c r="O42" i="22" s="1"/>
  <c r="V42" i="22"/>
  <c r="AB24" i="23"/>
  <c r="AJ24" i="23"/>
  <c r="N20" i="20"/>
  <c r="V20" i="20"/>
  <c r="AI25" i="19"/>
  <c r="AQ25" i="19"/>
  <c r="AJ35" i="20"/>
  <c r="AB35" i="20"/>
  <c r="AP26" i="19"/>
  <c r="AJ19" i="19"/>
  <c r="AB19" i="19"/>
  <c r="AC19" i="19" s="1"/>
  <c r="AP24" i="23"/>
  <c r="N18" i="18"/>
  <c r="V18" i="18"/>
  <c r="U25" i="20"/>
  <c r="AC25" i="20"/>
  <c r="AB48" i="18"/>
  <c r="AJ48" i="18"/>
  <c r="N24" i="17"/>
  <c r="V24" i="17"/>
  <c r="S29" i="20"/>
  <c r="AC15" i="20"/>
  <c r="U15" i="20"/>
  <c r="V15" i="20" s="1"/>
  <c r="AI26" i="15"/>
  <c r="AQ26" i="15"/>
  <c r="AB16" i="15"/>
  <c r="AJ16" i="15"/>
  <c r="AB18" i="15"/>
  <c r="AJ18" i="15"/>
  <c r="U16" i="13"/>
  <c r="AC16" i="13"/>
  <c r="AI33" i="15"/>
  <c r="AQ33" i="15"/>
  <c r="N38" i="26"/>
  <c r="V38" i="26"/>
  <c r="AQ28" i="32"/>
  <c r="AI28" i="32"/>
  <c r="AB16" i="10"/>
  <c r="AJ16" i="10"/>
  <c r="U31" i="13"/>
  <c r="AC31" i="13"/>
  <c r="AB25" i="11"/>
  <c r="AJ25" i="11"/>
  <c r="AJ22" i="9"/>
  <c r="AB22" i="9"/>
  <c r="AI18" i="12"/>
  <c r="AQ18" i="12"/>
  <c r="U30" i="11"/>
  <c r="AC30" i="11"/>
  <c r="N16" i="9"/>
  <c r="V16" i="9"/>
  <c r="AQ18" i="16"/>
  <c r="AI18" i="16"/>
  <c r="O30" i="10"/>
  <c r="V22" i="11"/>
  <c r="N22" i="11"/>
  <c r="U18" i="10"/>
  <c r="AC18" i="10"/>
  <c r="AP41" i="41"/>
  <c r="AJ33" i="41"/>
  <c r="AB33" i="41"/>
  <c r="U33" i="41"/>
  <c r="AC33" i="41"/>
  <c r="AQ36" i="41"/>
  <c r="AI23" i="41"/>
  <c r="AQ23" i="41"/>
  <c r="H40" i="41"/>
  <c r="AC34" i="41"/>
  <c r="U34" i="41"/>
  <c r="AI49" i="41"/>
  <c r="AI25" i="40"/>
  <c r="AQ25" i="40"/>
  <c r="U50" i="40"/>
  <c r="V50" i="40" s="1"/>
  <c r="AC50" i="40"/>
  <c r="AB25" i="40"/>
  <c r="AJ25" i="40"/>
  <c r="Z44" i="39"/>
  <c r="AI44" i="39" s="1"/>
  <c r="AB26" i="41"/>
  <c r="AJ26" i="41"/>
  <c r="N25" i="40"/>
  <c r="V25" i="40"/>
  <c r="AC31" i="39"/>
  <c r="U31" i="39"/>
  <c r="AQ28" i="39"/>
  <c r="AI28" i="39"/>
  <c r="AG46" i="38"/>
  <c r="AE37" i="38"/>
  <c r="AG37" i="38" s="1"/>
  <c r="AC24" i="39"/>
  <c r="U24" i="39"/>
  <c r="AQ18" i="40"/>
  <c r="AI18" i="40"/>
  <c r="AI35" i="38"/>
  <c r="AQ35" i="38"/>
  <c r="AB18" i="39"/>
  <c r="AJ18" i="39"/>
  <c r="N44" i="38"/>
  <c r="O44" i="38" s="1"/>
  <c r="U18" i="37"/>
  <c r="AC18" i="37"/>
  <c r="AB43" i="38"/>
  <c r="N38" i="37"/>
  <c r="V38" i="37"/>
  <c r="U49" i="37"/>
  <c r="AJ20" i="38"/>
  <c r="AB20" i="38"/>
  <c r="AQ19" i="37"/>
  <c r="AI19" i="37"/>
  <c r="N41" i="36"/>
  <c r="AG44" i="37"/>
  <c r="AI16" i="37"/>
  <c r="AQ16" i="37"/>
  <c r="AB45" i="36"/>
  <c r="U27" i="36"/>
  <c r="AC27" i="36"/>
  <c r="AJ20" i="36"/>
  <c r="AB20" i="36"/>
  <c r="AJ40" i="34"/>
  <c r="AB40" i="34"/>
  <c r="AC40" i="34" s="1"/>
  <c r="AB25" i="35"/>
  <c r="AJ25" i="35"/>
  <c r="U36" i="36"/>
  <c r="V36" i="36" s="1"/>
  <c r="U27" i="34"/>
  <c r="AC27" i="34"/>
  <c r="AJ45" i="34"/>
  <c r="AB45" i="34"/>
  <c r="AC45" i="34" s="1"/>
  <c r="AJ28" i="33"/>
  <c r="AB28" i="33"/>
  <c r="AI24" i="33"/>
  <c r="AQ24" i="33"/>
  <c r="AP31" i="33"/>
  <c r="AB23" i="32"/>
  <c r="AJ23" i="32"/>
  <c r="AB17" i="32"/>
  <c r="AJ17" i="32"/>
  <c r="AB34" i="31"/>
  <c r="AJ34" i="31"/>
  <c r="N34" i="33"/>
  <c r="V34" i="33"/>
  <c r="AB23" i="31"/>
  <c r="AJ23" i="31"/>
  <c r="N36" i="31"/>
  <c r="AP38" i="29"/>
  <c r="AI46" i="30"/>
  <c r="H43" i="32"/>
  <c r="U19" i="30"/>
  <c r="V19" i="30" s="1"/>
  <c r="AJ21" i="32"/>
  <c r="AB21" i="32"/>
  <c r="AB23" i="30"/>
  <c r="AJ23" i="30"/>
  <c r="AP20" i="30"/>
  <c r="V18" i="33"/>
  <c r="N18" i="33"/>
  <c r="AQ36" i="28"/>
  <c r="AI36" i="28"/>
  <c r="AB26" i="30"/>
  <c r="AJ26" i="30"/>
  <c r="U37" i="29"/>
  <c r="AC37" i="29"/>
  <c r="AB15" i="29"/>
  <c r="Z29" i="29"/>
  <c r="AP40" i="30"/>
  <c r="AQ40" i="30" s="1"/>
  <c r="AC40" i="32"/>
  <c r="U40" i="32"/>
  <c r="AQ25" i="28"/>
  <c r="AI25" i="28"/>
  <c r="U45" i="30"/>
  <c r="V45" i="30" s="1"/>
  <c r="U28" i="29"/>
  <c r="AC28" i="29"/>
  <c r="AC32" i="28"/>
  <c r="U32" i="28"/>
  <c r="V32" i="28" s="1"/>
  <c r="AI43" i="29"/>
  <c r="AJ43" i="29" s="1"/>
  <c r="U45" i="28"/>
  <c r="AC45" i="28"/>
  <c r="AG29" i="28"/>
  <c r="AI15" i="28"/>
  <c r="AJ15" i="28" s="1"/>
  <c r="U36" i="26"/>
  <c r="N16" i="29"/>
  <c r="V16" i="29"/>
  <c r="AC20" i="27"/>
  <c r="U20" i="27"/>
  <c r="AB24" i="25"/>
  <c r="AJ24" i="25"/>
  <c r="U23" i="25"/>
  <c r="AC23" i="25"/>
  <c r="AB30" i="26"/>
  <c r="AJ30" i="26"/>
  <c r="AP21" i="25"/>
  <c r="U30" i="25"/>
  <c r="AC30" i="25"/>
  <c r="AC25" i="26"/>
  <c r="U25" i="26"/>
  <c r="X53" i="23"/>
  <c r="Q59" i="23"/>
  <c r="U28" i="23"/>
  <c r="AC28" i="23"/>
  <c r="N22" i="26"/>
  <c r="V30" i="22"/>
  <c r="N30" i="22"/>
  <c r="Z29" i="27"/>
  <c r="AB15" i="27"/>
  <c r="AC15" i="27" s="1"/>
  <c r="AJ15" i="27"/>
  <c r="H29" i="24"/>
  <c r="O15" i="24"/>
  <c r="N22" i="25"/>
  <c r="AI21" i="23"/>
  <c r="AQ21" i="23"/>
  <c r="AP21" i="24"/>
  <c r="V20" i="23"/>
  <c r="N20" i="23"/>
  <c r="AI30" i="24"/>
  <c r="AQ30" i="24"/>
  <c r="AQ33" i="20"/>
  <c r="AI33" i="20"/>
  <c r="U17" i="24"/>
  <c r="AC17" i="24"/>
  <c r="AQ20" i="23"/>
  <c r="AI20" i="23"/>
  <c r="H29" i="22"/>
  <c r="N43" i="20"/>
  <c r="AB23" i="20"/>
  <c r="AJ23" i="20"/>
  <c r="O47" i="24"/>
  <c r="U26" i="23"/>
  <c r="AC26" i="23"/>
  <c r="AB20" i="21"/>
  <c r="AJ20" i="21"/>
  <c r="N18" i="22"/>
  <c r="V18" i="22"/>
  <c r="AP21" i="23"/>
  <c r="AI35" i="21"/>
  <c r="AN41" i="20"/>
  <c r="AP30" i="19"/>
  <c r="U32" i="25"/>
  <c r="V32" i="25" s="1"/>
  <c r="AC32" i="25"/>
  <c r="U15" i="22"/>
  <c r="S29" i="22"/>
  <c r="N32" i="27"/>
  <c r="AB30" i="22"/>
  <c r="AJ30" i="22"/>
  <c r="AP32" i="19"/>
  <c r="AC27" i="21"/>
  <c r="U27" i="21"/>
  <c r="AQ20" i="16"/>
  <c r="AI20" i="16"/>
  <c r="AP32" i="17"/>
  <c r="V18" i="16"/>
  <c r="N18" i="16"/>
  <c r="N36" i="22"/>
  <c r="AI19" i="16"/>
  <c r="AQ19" i="16"/>
  <c r="AP23" i="20"/>
  <c r="AI41" i="17"/>
  <c r="AQ41" i="17"/>
  <c r="AI18" i="21"/>
  <c r="AQ18" i="21"/>
  <c r="AI42" i="17"/>
  <c r="H29" i="17"/>
  <c r="AB34" i="18"/>
  <c r="AQ46" i="15"/>
  <c r="AI46" i="15"/>
  <c r="AJ46" i="15" s="1"/>
  <c r="AP46" i="15"/>
  <c r="AB18" i="20"/>
  <c r="AJ18" i="20"/>
  <c r="S41" i="18"/>
  <c r="AJ18" i="17"/>
  <c r="AB18" i="17"/>
  <c r="AB43" i="16"/>
  <c r="AJ27" i="18"/>
  <c r="AB27" i="18"/>
  <c r="AB24" i="17"/>
  <c r="AJ24" i="17"/>
  <c r="AQ25" i="16"/>
  <c r="AI25" i="16"/>
  <c r="AP28" i="15"/>
  <c r="AJ20" i="18"/>
  <c r="AB20" i="18"/>
  <c r="AI20" i="17"/>
  <c r="AQ20" i="17"/>
  <c r="AQ21" i="16"/>
  <c r="AI21" i="16"/>
  <c r="AJ31" i="17"/>
  <c r="AB31" i="17"/>
  <c r="AC39" i="16"/>
  <c r="AB42" i="17"/>
  <c r="AC42" i="17" s="1"/>
  <c r="AJ42" i="17"/>
  <c r="N15" i="15"/>
  <c r="L29" i="15"/>
  <c r="C81" i="1"/>
  <c r="AB21" i="14"/>
  <c r="AJ21" i="14"/>
  <c r="AC22" i="15"/>
  <c r="U22" i="15"/>
  <c r="U48" i="14"/>
  <c r="AP47" i="15"/>
  <c r="AQ47" i="15" s="1"/>
  <c r="AQ42" i="14"/>
  <c r="AI42" i="14"/>
  <c r="AB47" i="13"/>
  <c r="AC47" i="13" s="1"/>
  <c r="AJ18" i="13"/>
  <c r="AB18" i="13"/>
  <c r="AC18" i="12"/>
  <c r="U18" i="12"/>
  <c r="N28" i="15"/>
  <c r="V28" i="15"/>
  <c r="N20" i="11"/>
  <c r="V20" i="11"/>
  <c r="V27" i="13"/>
  <c r="N27" i="13"/>
  <c r="AB34" i="12"/>
  <c r="AB24" i="11"/>
  <c r="AJ24" i="11"/>
  <c r="N22" i="10"/>
  <c r="N27" i="14"/>
  <c r="V27" i="14"/>
  <c r="AG29" i="13"/>
  <c r="AI15" i="13"/>
  <c r="AJ15" i="13" s="1"/>
  <c r="AJ36" i="10"/>
  <c r="AB36" i="10"/>
  <c r="AJ32" i="9"/>
  <c r="AB32" i="9"/>
  <c r="AC39" i="14"/>
  <c r="U39" i="14"/>
  <c r="AJ18" i="11"/>
  <c r="AB18" i="11"/>
  <c r="AB36" i="14"/>
  <c r="AI34" i="11"/>
  <c r="U34" i="10"/>
  <c r="AB26" i="13"/>
  <c r="AJ26" i="13"/>
  <c r="AP17" i="11"/>
  <c r="AB19" i="12"/>
  <c r="AJ19" i="12"/>
  <c r="N20" i="10"/>
  <c r="V20" i="10"/>
  <c r="AC19" i="9"/>
  <c r="U19" i="9"/>
  <c r="AI39" i="11"/>
  <c r="AJ39" i="11" s="1"/>
  <c r="N38" i="11"/>
  <c r="O38" i="11" s="1"/>
  <c r="V38" i="11"/>
  <c r="U39" i="13"/>
  <c r="AB25" i="10"/>
  <c r="AJ25" i="10"/>
  <c r="U26" i="9"/>
  <c r="AC26" i="9"/>
  <c r="H29" i="9"/>
  <c r="O15" i="9"/>
  <c r="N15" i="9"/>
  <c r="Z29" i="12"/>
  <c r="AB15" i="12"/>
  <c r="AQ18" i="15"/>
  <c r="AI18" i="15"/>
  <c r="AB27" i="15"/>
  <c r="AJ27" i="15"/>
  <c r="N26" i="13"/>
  <c r="V26" i="13"/>
  <c r="AQ30" i="12"/>
  <c r="AI30" i="12"/>
  <c r="O34" i="10"/>
  <c r="AP16" i="9"/>
  <c r="AN29" i="9"/>
  <c r="AI35" i="10"/>
  <c r="AJ35" i="10" s="1"/>
  <c r="AP35" i="10"/>
  <c r="AQ35" i="10" s="1"/>
  <c r="AQ31" i="9"/>
  <c r="AI31" i="9"/>
  <c r="V39" i="14"/>
  <c r="N39" i="14"/>
  <c r="AQ17" i="11"/>
  <c r="AI17" i="11"/>
  <c r="AI26" i="13"/>
  <c r="AQ26" i="13"/>
  <c r="AB27" i="11"/>
  <c r="AJ27" i="11"/>
  <c r="U43" i="9"/>
  <c r="AB33" i="10"/>
  <c r="AJ33" i="10"/>
  <c r="AQ20" i="10"/>
  <c r="AI20" i="10"/>
  <c r="AJ18" i="9"/>
  <c r="AB18" i="9"/>
  <c r="AI23" i="11"/>
  <c r="AQ23" i="11"/>
  <c r="AB17" i="11"/>
  <c r="AJ17" i="11"/>
  <c r="AC17" i="17"/>
  <c r="U17" i="17"/>
  <c r="AC16" i="12"/>
  <c r="U16" i="12"/>
  <c r="U42" i="16"/>
  <c r="V42" i="16" s="1"/>
  <c r="O42" i="11"/>
  <c r="V24" i="20"/>
  <c r="N24" i="20"/>
  <c r="U18" i="17"/>
  <c r="AC18" i="17"/>
  <c r="AJ21" i="21"/>
  <c r="AB21" i="21"/>
  <c r="N42" i="16"/>
  <c r="U16" i="18"/>
  <c r="AC16" i="18"/>
  <c r="U36" i="20"/>
  <c r="V36" i="20" s="1"/>
  <c r="AJ21" i="15"/>
  <c r="AB21" i="15"/>
  <c r="AI39" i="10"/>
  <c r="AQ39" i="10"/>
  <c r="V36" i="11"/>
  <c r="N36" i="11"/>
  <c r="O36" i="11" s="1"/>
  <c r="V24" i="15"/>
  <c r="N24" i="15"/>
  <c r="N35" i="17"/>
  <c r="AB46" i="12"/>
  <c r="AC46" i="12" s="1"/>
  <c r="AC26" i="13"/>
  <c r="U26" i="13"/>
  <c r="AB28" i="9"/>
  <c r="AJ28" i="9"/>
  <c r="N27" i="11"/>
  <c r="V27" i="11"/>
  <c r="AP35" i="14"/>
  <c r="AQ35" i="14" s="1"/>
  <c r="AB43" i="9"/>
  <c r="AC43" i="9" s="1"/>
  <c r="N32" i="10"/>
  <c r="N16" i="10"/>
  <c r="V16" i="10"/>
  <c r="L29" i="10"/>
  <c r="AB17" i="9"/>
  <c r="AJ17" i="9"/>
  <c r="N19" i="10"/>
  <c r="V19" i="10"/>
  <c r="AC24" i="13"/>
  <c r="U24" i="13"/>
  <c r="AB32" i="11"/>
  <c r="AJ32" i="11"/>
  <c r="O32" i="15"/>
  <c r="AJ23" i="15"/>
  <c r="AB23" i="15"/>
  <c r="V23" i="14"/>
  <c r="N23" i="14"/>
  <c r="V25" i="11"/>
  <c r="N25" i="11"/>
  <c r="V26" i="10"/>
  <c r="N26" i="10"/>
  <c r="AP45" i="12"/>
  <c r="AB25" i="14"/>
  <c r="AJ25" i="14"/>
  <c r="AQ21" i="10"/>
  <c r="AI21" i="10"/>
  <c r="V36" i="9"/>
  <c r="N36" i="9"/>
  <c r="O32" i="10"/>
  <c r="AC34" i="11"/>
  <c r="U34" i="11"/>
  <c r="AQ26" i="14"/>
  <c r="AI26" i="14"/>
  <c r="N43" i="9"/>
  <c r="V43" i="9"/>
  <c r="AJ34" i="11"/>
  <c r="AB34" i="11"/>
  <c r="U31" i="10"/>
  <c r="AC31" i="10"/>
  <c r="U35" i="9"/>
  <c r="V35" i="9" s="1"/>
  <c r="AN29" i="15"/>
  <c r="G81" i="1"/>
  <c r="AP15" i="15"/>
  <c r="AI38" i="9"/>
  <c r="AJ38" i="9" s="1"/>
  <c r="N30" i="9"/>
  <c r="AQ21" i="11"/>
  <c r="AI21" i="11"/>
  <c r="AB34" i="15"/>
  <c r="AC34" i="15" s="1"/>
  <c r="N28" i="41"/>
  <c r="V28" i="41"/>
  <c r="N16" i="41"/>
  <c r="V16" i="41"/>
  <c r="U43" i="40"/>
  <c r="AC34" i="40"/>
  <c r="U34" i="40"/>
  <c r="AP38" i="38"/>
  <c r="AC45" i="36"/>
  <c r="U45" i="36"/>
  <c r="AB40" i="37"/>
  <c r="AC40" i="37" s="1"/>
  <c r="AP44" i="34"/>
  <c r="AI38" i="35"/>
  <c r="AQ38" i="35"/>
  <c r="N19" i="33"/>
  <c r="AB18" i="31"/>
  <c r="AJ18" i="31"/>
  <c r="O46" i="29"/>
  <c r="AI32" i="28"/>
  <c r="AQ32" i="28"/>
  <c r="AI38" i="29"/>
  <c r="AQ38" i="29"/>
  <c r="AB22" i="25"/>
  <c r="AJ22" i="25"/>
  <c r="N28" i="24"/>
  <c r="V28" i="24"/>
  <c r="AG29" i="26"/>
  <c r="AI15" i="26"/>
  <c r="U38" i="26"/>
  <c r="AC38" i="26"/>
  <c r="AC35" i="24"/>
  <c r="U35" i="24"/>
  <c r="V35" i="24" s="1"/>
  <c r="AC41" i="23"/>
  <c r="U41" i="23"/>
  <c r="AI17" i="19"/>
  <c r="AQ17" i="19"/>
  <c r="AQ20" i="25"/>
  <c r="AB36" i="17"/>
  <c r="AC36" i="17" s="1"/>
  <c r="U36" i="15"/>
  <c r="AB46" i="14"/>
  <c r="AC46" i="14" s="1"/>
  <c r="AJ46" i="14"/>
  <c r="U41" i="17"/>
  <c r="AI48" i="16"/>
  <c r="AI43" i="15"/>
  <c r="AQ43" i="15"/>
  <c r="AB38" i="14"/>
  <c r="AI27" i="41"/>
  <c r="AQ27" i="41"/>
  <c r="AQ41" i="41"/>
  <c r="AJ32" i="41"/>
  <c r="AB32" i="41"/>
  <c r="AQ47" i="40"/>
  <c r="AI47" i="40"/>
  <c r="AJ47" i="40" s="1"/>
  <c r="O49" i="41"/>
  <c r="AQ22" i="40"/>
  <c r="AI22" i="40"/>
  <c r="AI35" i="39"/>
  <c r="N19" i="37"/>
  <c r="O19" i="37" s="1"/>
  <c r="V25" i="37"/>
  <c r="N25" i="37"/>
  <c r="AI40" i="37"/>
  <c r="AJ40" i="37" s="1"/>
  <c r="AC34" i="37"/>
  <c r="U34" i="37"/>
  <c r="N23" i="35"/>
  <c r="V23" i="35"/>
  <c r="N33" i="35"/>
  <c r="Z43" i="35"/>
  <c r="Y46" i="35"/>
  <c r="Z46" i="35" s="1"/>
  <c r="Y44" i="35"/>
  <c r="Z44" i="35" s="1"/>
  <c r="AB16" i="34"/>
  <c r="AJ16" i="34"/>
  <c r="U31" i="34"/>
  <c r="AC31" i="34"/>
  <c r="U40" i="33"/>
  <c r="AB28" i="34"/>
  <c r="AJ28" i="34"/>
  <c r="AB34" i="33"/>
  <c r="AJ34" i="33"/>
  <c r="V18" i="32"/>
  <c r="N18" i="32"/>
  <c r="N23" i="34"/>
  <c r="V23" i="34"/>
  <c r="AB44" i="31"/>
  <c r="AC44" i="31" s="1"/>
  <c r="U26" i="30"/>
  <c r="AC26" i="30"/>
  <c r="AI33" i="29"/>
  <c r="AQ33" i="29"/>
  <c r="U30" i="30"/>
  <c r="V30" i="30" s="1"/>
  <c r="AC30" i="30"/>
  <c r="AJ46" i="29"/>
  <c r="AJ34" i="32"/>
  <c r="AB34" i="32"/>
  <c r="AJ20" i="30"/>
  <c r="AB20" i="30"/>
  <c r="O40" i="30"/>
  <c r="AC35" i="29"/>
  <c r="U35" i="29"/>
  <c r="AB24" i="29"/>
  <c r="AJ24" i="29"/>
  <c r="AI46" i="29"/>
  <c r="AQ46" i="29"/>
  <c r="AP23" i="28"/>
  <c r="N25" i="27"/>
  <c r="V25" i="27"/>
  <c r="V31" i="27"/>
  <c r="N31" i="27"/>
  <c r="U16" i="25"/>
  <c r="AC16" i="25"/>
  <c r="AI33" i="26"/>
  <c r="AQ33" i="26"/>
  <c r="N40" i="25"/>
  <c r="AC26" i="26"/>
  <c r="U26" i="26"/>
  <c r="AC22" i="25"/>
  <c r="U22" i="25"/>
  <c r="V22" i="25" s="1"/>
  <c r="U33" i="26"/>
  <c r="AC33" i="26"/>
  <c r="AQ36" i="25"/>
  <c r="AI36" i="25"/>
  <c r="V25" i="24"/>
  <c r="N25" i="24"/>
  <c r="AC42" i="22"/>
  <c r="U42" i="22"/>
  <c r="U22" i="28"/>
  <c r="AC22" i="28"/>
  <c r="AI30" i="23"/>
  <c r="AQ30" i="23"/>
  <c r="AJ17" i="22"/>
  <c r="AB17" i="22"/>
  <c r="AI43" i="24"/>
  <c r="AC38" i="22"/>
  <c r="U38" i="22"/>
  <c r="V38" i="22" s="1"/>
  <c r="V22" i="18"/>
  <c r="N22" i="18"/>
  <c r="N35" i="19"/>
  <c r="O35" i="19" s="1"/>
  <c r="N17" i="22"/>
  <c r="V17" i="22"/>
  <c r="AB16" i="16"/>
  <c r="AJ16" i="16"/>
  <c r="AI30" i="17"/>
  <c r="AQ30" i="17"/>
  <c r="U32" i="14"/>
  <c r="AC32" i="14"/>
  <c r="AC26" i="19"/>
  <c r="U26" i="19"/>
  <c r="AB41" i="17"/>
  <c r="AC41" i="17" s="1"/>
  <c r="AJ41" i="17"/>
  <c r="AI31" i="15"/>
  <c r="AQ31" i="15"/>
  <c r="N8" i="3"/>
  <c r="N10" i="3" s="1"/>
  <c r="V24" i="14"/>
  <c r="N24" i="14"/>
  <c r="AI36" i="14"/>
  <c r="AJ36" i="14" s="1"/>
  <c r="U32" i="11"/>
  <c r="V32" i="11" s="1"/>
  <c r="AC32" i="11"/>
  <c r="AJ22" i="41"/>
  <c r="AB22" i="41"/>
  <c r="AP19" i="41"/>
  <c r="AQ19" i="41" s="1"/>
  <c r="AB49" i="41"/>
  <c r="AC49" i="41" s="1"/>
  <c r="AJ49" i="41"/>
  <c r="U41" i="41"/>
  <c r="V41" i="41" s="1"/>
  <c r="O46" i="40"/>
  <c r="AB16" i="40"/>
  <c r="AJ16" i="40"/>
  <c r="N41" i="38"/>
  <c r="H29" i="37"/>
  <c r="AG29" i="37"/>
  <c r="AQ15" i="37"/>
  <c r="AI15" i="37"/>
  <c r="AJ37" i="35"/>
  <c r="AB37" i="35"/>
  <c r="AC32" i="35"/>
  <c r="U32" i="35"/>
  <c r="O40" i="34"/>
  <c r="AC18" i="33"/>
  <c r="U18" i="33"/>
  <c r="AJ26" i="31"/>
  <c r="AB26" i="31"/>
  <c r="AB41" i="31"/>
  <c r="AJ41" i="31"/>
  <c r="AC30" i="31"/>
  <c r="U30" i="31"/>
  <c r="AB27" i="32"/>
  <c r="AJ27" i="32"/>
  <c r="AJ35" i="29"/>
  <c r="AB35" i="29"/>
  <c r="AP18" i="29"/>
  <c r="N35" i="27"/>
  <c r="V35" i="27"/>
  <c r="S46" i="26"/>
  <c r="AB46" i="26" s="1"/>
  <c r="AB16" i="28"/>
  <c r="AJ16" i="28"/>
  <c r="AI41" i="26"/>
  <c r="AQ41" i="26"/>
  <c r="AJ28" i="27"/>
  <c r="AB28" i="27"/>
  <c r="AP35" i="25"/>
  <c r="N26" i="24"/>
  <c r="V26" i="24"/>
  <c r="U26" i="38"/>
  <c r="AC26" i="38"/>
  <c r="AI48" i="23"/>
  <c r="AJ48" i="23" s="1"/>
  <c r="AP48" i="23"/>
  <c r="AQ48" i="23" s="1"/>
  <c r="O43" i="20"/>
  <c r="AQ32" i="21"/>
  <c r="AI32" i="21"/>
  <c r="AB30" i="20"/>
  <c r="AJ30" i="20"/>
  <c r="AQ24" i="21"/>
  <c r="AI24" i="21"/>
  <c r="U43" i="24"/>
  <c r="V43" i="24" s="1"/>
  <c r="AQ39" i="21"/>
  <c r="V31" i="22"/>
  <c r="N31" i="22"/>
  <c r="AJ28" i="21"/>
  <c r="AB28" i="21"/>
  <c r="AI33" i="25"/>
  <c r="AQ33" i="25"/>
  <c r="AC35" i="20"/>
  <c r="U35" i="20"/>
  <c r="AB32" i="22"/>
  <c r="AJ32" i="22"/>
  <c r="N33" i="19"/>
  <c r="V33" i="19"/>
  <c r="AB17" i="25"/>
  <c r="AJ17" i="25"/>
  <c r="AJ17" i="27"/>
  <c r="AB17" i="27"/>
  <c r="AQ26" i="19"/>
  <c r="AI26" i="19"/>
  <c r="AI32" i="18"/>
  <c r="AQ32" i="18"/>
  <c r="AC48" i="18"/>
  <c r="U48" i="18"/>
  <c r="AQ35" i="18"/>
  <c r="AI35" i="18"/>
  <c r="AP35" i="18"/>
  <c r="U33" i="17"/>
  <c r="AC33" i="17"/>
  <c r="AJ30" i="19"/>
  <c r="AB30" i="19"/>
  <c r="AI43" i="18"/>
  <c r="N26" i="17"/>
  <c r="V26" i="17"/>
  <c r="U15" i="14"/>
  <c r="S29" i="14"/>
  <c r="AC25" i="22"/>
  <c r="U25" i="22"/>
  <c r="AC33" i="20"/>
  <c r="U33" i="20"/>
  <c r="U31" i="18"/>
  <c r="AC31" i="18"/>
  <c r="N26" i="21"/>
  <c r="V26" i="21"/>
  <c r="AI20" i="18"/>
  <c r="AQ20" i="18"/>
  <c r="AI27" i="16"/>
  <c r="AQ27" i="16"/>
  <c r="AI48" i="17"/>
  <c r="AQ48" i="17"/>
  <c r="AP41" i="22"/>
  <c r="AQ41" i="22" s="1"/>
  <c r="AC16" i="20"/>
  <c r="U16" i="20"/>
  <c r="V33" i="17"/>
  <c r="N33" i="17"/>
  <c r="AB22" i="16"/>
  <c r="AJ22" i="16"/>
  <c r="U18" i="21"/>
  <c r="AC18" i="21"/>
  <c r="N19" i="18"/>
  <c r="V19" i="18"/>
  <c r="AB20" i="17"/>
  <c r="AJ20" i="17"/>
  <c r="N41" i="16"/>
  <c r="N18" i="14"/>
  <c r="V18" i="14"/>
  <c r="AB34" i="14"/>
  <c r="AP15" i="13"/>
  <c r="AQ15" i="13" s="1"/>
  <c r="AN29" i="13"/>
  <c r="AJ33" i="18"/>
  <c r="AB33" i="18"/>
  <c r="AB47" i="16"/>
  <c r="AI38" i="14"/>
  <c r="AJ38" i="14" s="1"/>
  <c r="AC23" i="11"/>
  <c r="U23" i="11"/>
  <c r="AB30" i="15"/>
  <c r="AJ30" i="15"/>
  <c r="AJ20" i="15"/>
  <c r="AB20" i="15"/>
  <c r="U28" i="41"/>
  <c r="AC28" i="41"/>
  <c r="U15" i="41"/>
  <c r="S29" i="41"/>
  <c r="AC15" i="41"/>
  <c r="V17" i="41"/>
  <c r="N17" i="41"/>
  <c r="O37" i="40"/>
  <c r="O36" i="40"/>
  <c r="AC24" i="40"/>
  <c r="U24" i="40"/>
  <c r="AB23" i="39"/>
  <c r="AJ23" i="39"/>
  <c r="AB31" i="39"/>
  <c r="AJ31" i="39"/>
  <c r="AJ20" i="41"/>
  <c r="AB20" i="41"/>
  <c r="AB18" i="40"/>
  <c r="AJ18" i="40"/>
  <c r="AB43" i="39"/>
  <c r="AC43" i="39" s="1"/>
  <c r="AP32" i="38"/>
  <c r="H46" i="39"/>
  <c r="H29" i="39"/>
  <c r="U15" i="38"/>
  <c r="S29" i="38"/>
  <c r="AJ28" i="38"/>
  <c r="AB28" i="38"/>
  <c r="AP21" i="38"/>
  <c r="AB44" i="41"/>
  <c r="U25" i="37"/>
  <c r="AC25" i="37"/>
  <c r="AI30" i="38"/>
  <c r="AQ30" i="38"/>
  <c r="Z29" i="38"/>
  <c r="AB15" i="38"/>
  <c r="AC15" i="38" s="1"/>
  <c r="AI25" i="38"/>
  <c r="AQ25" i="38"/>
  <c r="AC34" i="36"/>
  <c r="U34" i="36"/>
  <c r="AP27" i="37"/>
  <c r="AQ31" i="37"/>
  <c r="AI31" i="37"/>
  <c r="AJ25" i="36"/>
  <c r="AB25" i="36"/>
  <c r="AB34" i="37"/>
  <c r="AJ34" i="37"/>
  <c r="AI28" i="36"/>
  <c r="AQ28" i="36"/>
  <c r="U19" i="37"/>
  <c r="V19" i="37" s="1"/>
  <c r="N33" i="38"/>
  <c r="O33" i="38" s="1"/>
  <c r="AB18" i="37"/>
  <c r="AJ18" i="37"/>
  <c r="AC43" i="37"/>
  <c r="U43" i="37"/>
  <c r="V43" i="37" s="1"/>
  <c r="AC16" i="36"/>
  <c r="U16" i="36"/>
  <c r="Z43" i="36"/>
  <c r="Y46" i="36"/>
  <c r="Z46" i="36" s="1"/>
  <c r="Y44" i="36"/>
  <c r="Z44" i="36" s="1"/>
  <c r="AB24" i="35"/>
  <c r="AJ24" i="35"/>
  <c r="AI24" i="34"/>
  <c r="AQ24" i="34"/>
  <c r="AJ27" i="34"/>
  <c r="AB27" i="34"/>
  <c r="AC33" i="35"/>
  <c r="U33" i="35"/>
  <c r="V33" i="35" s="1"/>
  <c r="AI45" i="35"/>
  <c r="AJ45" i="35" s="1"/>
  <c r="AB16" i="35"/>
  <c r="AJ16" i="35"/>
  <c r="AP30" i="33"/>
  <c r="H29" i="33"/>
  <c r="U17" i="33"/>
  <c r="AC17" i="33"/>
  <c r="N38" i="35"/>
  <c r="V38" i="35"/>
  <c r="AP32" i="33"/>
  <c r="V24" i="34"/>
  <c r="N24" i="34"/>
  <c r="AP17" i="33"/>
  <c r="AQ40" i="33"/>
  <c r="AI40" i="33"/>
  <c r="AJ26" i="33"/>
  <c r="AB26" i="33"/>
  <c r="U31" i="35"/>
  <c r="AC31" i="35"/>
  <c r="O19" i="33"/>
  <c r="AJ31" i="33"/>
  <c r="AB31" i="33"/>
  <c r="AQ17" i="32"/>
  <c r="AI17" i="32"/>
  <c r="AB41" i="32"/>
  <c r="Z29" i="33"/>
  <c r="AJ15" i="33"/>
  <c r="AB15" i="33"/>
  <c r="AQ46" i="31"/>
  <c r="N41" i="34"/>
  <c r="V44" i="32"/>
  <c r="N31" i="31"/>
  <c r="V31" i="31"/>
  <c r="AP27" i="32"/>
  <c r="U26" i="35"/>
  <c r="AC26" i="35"/>
  <c r="AC34" i="32"/>
  <c r="U34" i="32"/>
  <c r="AB28" i="31"/>
  <c r="AJ28" i="31"/>
  <c r="AB19" i="30"/>
  <c r="AC19" i="30" s="1"/>
  <c r="AB44" i="30"/>
  <c r="AB26" i="32"/>
  <c r="AJ26" i="32"/>
  <c r="AQ15" i="32"/>
  <c r="AG29" i="32"/>
  <c r="AI15" i="32"/>
  <c r="U25" i="30"/>
  <c r="AC25" i="30"/>
  <c r="AC31" i="31"/>
  <c r="U31" i="31"/>
  <c r="L29" i="29"/>
  <c r="N15" i="29"/>
  <c r="O15" i="29" s="1"/>
  <c r="AB20" i="31"/>
  <c r="AJ20" i="31"/>
  <c r="AC18" i="30"/>
  <c r="U18" i="30"/>
  <c r="AP43" i="31"/>
  <c r="U41" i="29"/>
  <c r="U44" i="28"/>
  <c r="V44" i="28" s="1"/>
  <c r="V26" i="31"/>
  <c r="N26" i="31"/>
  <c r="S46" i="29"/>
  <c r="AB46" i="29" s="1"/>
  <c r="V38" i="30"/>
  <c r="N38" i="30"/>
  <c r="AQ24" i="29"/>
  <c r="AI24" i="29"/>
  <c r="AQ18" i="28"/>
  <c r="AI18" i="28"/>
  <c r="N18" i="28"/>
  <c r="V18" i="28"/>
  <c r="AQ36" i="29"/>
  <c r="AI36" i="29"/>
  <c r="AP21" i="28"/>
  <c r="AB31" i="29"/>
  <c r="AJ31" i="29"/>
  <c r="AJ26" i="28"/>
  <c r="AB26" i="28"/>
  <c r="AQ16" i="27"/>
  <c r="AI16" i="27"/>
  <c r="AG32" i="27"/>
  <c r="AI43" i="26"/>
  <c r="AQ43" i="26"/>
  <c r="AN46" i="27"/>
  <c r="U37" i="26"/>
  <c r="AC37" i="26"/>
  <c r="U23" i="26"/>
  <c r="AC23" i="26"/>
  <c r="N40" i="26"/>
  <c r="O40" i="26" s="1"/>
  <c r="AB20" i="26"/>
  <c r="AJ20" i="26"/>
  <c r="AC17" i="26"/>
  <c r="U17" i="26"/>
  <c r="V26" i="26"/>
  <c r="N26" i="26"/>
  <c r="AP45" i="25"/>
  <c r="U23" i="22"/>
  <c r="AC23" i="22"/>
  <c r="U34" i="23"/>
  <c r="AP33" i="21"/>
  <c r="N41" i="22"/>
  <c r="V41" i="22"/>
  <c r="V47" i="22"/>
  <c r="N47" i="22"/>
  <c r="O47" i="22" s="1"/>
  <c r="U47" i="22"/>
  <c r="AQ19" i="25"/>
  <c r="AI19" i="25"/>
  <c r="AI26" i="25"/>
  <c r="AQ26" i="25"/>
  <c r="AI32" i="24"/>
  <c r="AQ32" i="24"/>
  <c r="AI36" i="21"/>
  <c r="AQ36" i="21"/>
  <c r="Z29" i="26"/>
  <c r="AJ15" i="26"/>
  <c r="AB15" i="26"/>
  <c r="AI43" i="23"/>
  <c r="AJ43" i="23" s="1"/>
  <c r="AQ43" i="23"/>
  <c r="AI42" i="20"/>
  <c r="V34" i="18"/>
  <c r="N34" i="18"/>
  <c r="AJ27" i="24"/>
  <c r="AB27" i="24"/>
  <c r="AI19" i="23"/>
  <c r="AJ19" i="23" s="1"/>
  <c r="AQ19" i="23"/>
  <c r="N22" i="23"/>
  <c r="AB34" i="22"/>
  <c r="AC34" i="22" s="1"/>
  <c r="O32" i="21"/>
  <c r="AQ30" i="20"/>
  <c r="AI30" i="20"/>
  <c r="L18" i="3"/>
  <c r="AI17" i="23"/>
  <c r="AQ17" i="23"/>
  <c r="O41" i="26"/>
  <c r="AQ28" i="24"/>
  <c r="AI28" i="24"/>
  <c r="AQ48" i="20"/>
  <c r="AI48" i="20"/>
  <c r="AB39" i="23"/>
  <c r="AJ39" i="23"/>
  <c r="O41" i="19"/>
  <c r="U41" i="19"/>
  <c r="V41" i="19" s="1"/>
  <c r="N44" i="23"/>
  <c r="O44" i="23" s="1"/>
  <c r="V44" i="23"/>
  <c r="AJ17" i="19"/>
  <c r="AB17" i="19"/>
  <c r="AI42" i="24"/>
  <c r="AJ26" i="21"/>
  <c r="AB26" i="21"/>
  <c r="R43" i="25"/>
  <c r="S43" i="25" s="1"/>
  <c r="G43" i="25"/>
  <c r="H43" i="25" s="1"/>
  <c r="O39" i="23"/>
  <c r="AQ33" i="22"/>
  <c r="AI33" i="22"/>
  <c r="AJ22" i="21"/>
  <c r="AB22" i="21"/>
  <c r="AQ30" i="22"/>
  <c r="AI30" i="22"/>
  <c r="AB36" i="20"/>
  <c r="AC36" i="20" s="1"/>
  <c r="V27" i="18"/>
  <c r="N27" i="18"/>
  <c r="O34" i="18"/>
  <c r="AI28" i="17"/>
  <c r="AQ28" i="17"/>
  <c r="H29" i="16"/>
  <c r="U46" i="19"/>
  <c r="V46" i="19" s="1"/>
  <c r="AJ43" i="18"/>
  <c r="AB43" i="18"/>
  <c r="AQ26" i="17"/>
  <c r="AI26" i="17"/>
  <c r="N42" i="24"/>
  <c r="AB26" i="24"/>
  <c r="AJ26" i="24"/>
  <c r="N26" i="19"/>
  <c r="V26" i="19"/>
  <c r="AQ30" i="18"/>
  <c r="AI30" i="18"/>
  <c r="N19" i="17"/>
  <c r="V19" i="17"/>
  <c r="AC28" i="18"/>
  <c r="U28" i="18"/>
  <c r="AB46" i="19"/>
  <c r="AC46" i="19" s="1"/>
  <c r="N27" i="17"/>
  <c r="V27" i="17"/>
  <c r="O32" i="16"/>
  <c r="N35" i="18"/>
  <c r="O35" i="18" s="1"/>
  <c r="N48" i="17"/>
  <c r="O48" i="17" s="1"/>
  <c r="AP39" i="22"/>
  <c r="U30" i="17"/>
  <c r="V30" i="17" s="1"/>
  <c r="AC30" i="17"/>
  <c r="U36" i="23"/>
  <c r="U32" i="15"/>
  <c r="V32" i="15" s="1"/>
  <c r="AC32" i="15"/>
  <c r="AC16" i="14"/>
  <c r="U16" i="14"/>
  <c r="AC36" i="14"/>
  <c r="U36" i="14"/>
  <c r="AB18" i="14"/>
  <c r="AJ18" i="14"/>
  <c r="AC16" i="19"/>
  <c r="U16" i="19"/>
  <c r="AP31" i="14"/>
  <c r="AI48" i="12"/>
  <c r="AQ48" i="12"/>
  <c r="V33" i="18"/>
  <c r="N33" i="18"/>
  <c r="AJ48" i="16"/>
  <c r="AB48" i="16"/>
  <c r="AQ34" i="16"/>
  <c r="AI34" i="16"/>
  <c r="U24" i="12"/>
  <c r="AC24" i="12"/>
  <c r="AC19" i="11"/>
  <c r="U19" i="11"/>
  <c r="AQ20" i="15"/>
  <c r="AI20" i="15"/>
  <c r="AQ38" i="12"/>
  <c r="AI38" i="12"/>
  <c r="AJ38" i="12" s="1"/>
  <c r="AQ17" i="15"/>
  <c r="AI17" i="15"/>
  <c r="U43" i="12"/>
  <c r="V43" i="12" s="1"/>
  <c r="N30" i="17"/>
  <c r="O30" i="17" s="1"/>
  <c r="AC23" i="20"/>
  <c r="U23" i="20"/>
  <c r="AP31" i="19"/>
  <c r="V18" i="17"/>
  <c r="N18" i="17"/>
  <c r="N38" i="18"/>
  <c r="O38" i="18" s="1"/>
  <c r="N38" i="17"/>
  <c r="V38" i="17"/>
  <c r="U36" i="18"/>
  <c r="V36" i="18" s="1"/>
  <c r="AJ33" i="15"/>
  <c r="AB33" i="15"/>
  <c r="N43" i="17"/>
  <c r="AB22" i="18"/>
  <c r="AJ22" i="18"/>
  <c r="AJ36" i="21"/>
  <c r="AB36" i="21"/>
  <c r="AP16" i="20"/>
  <c r="U20" i="24"/>
  <c r="AC20" i="24"/>
  <c r="AQ23" i="21"/>
  <c r="AI23" i="21"/>
  <c r="N25" i="20"/>
  <c r="V25" i="20"/>
  <c r="V16" i="16"/>
  <c r="N16" i="16"/>
  <c r="AB21" i="24"/>
  <c r="AJ21" i="24"/>
  <c r="AQ36" i="24"/>
  <c r="AI36" i="24"/>
  <c r="AJ30" i="23"/>
  <c r="AB30" i="23"/>
  <c r="AB25" i="22"/>
  <c r="AJ25" i="22"/>
  <c r="AC45" i="25"/>
  <c r="U45" i="25"/>
  <c r="V20" i="22"/>
  <c r="N20" i="22"/>
  <c r="AI32" i="23"/>
  <c r="AQ32" i="23"/>
  <c r="V16" i="24"/>
  <c r="N16" i="24"/>
  <c r="AQ34" i="24"/>
  <c r="AI34" i="24"/>
  <c r="AJ34" i="24" s="1"/>
  <c r="N19" i="25"/>
  <c r="O19" i="25" s="1"/>
  <c r="AI26" i="22"/>
  <c r="AQ26" i="22"/>
  <c r="V27" i="24"/>
  <c r="N27" i="24"/>
  <c r="N25" i="26"/>
  <c r="V25" i="26"/>
  <c r="AB22" i="27"/>
  <c r="AJ22" i="27"/>
  <c r="AP34" i="26"/>
  <c r="AJ42" i="24"/>
  <c r="AI36" i="26"/>
  <c r="AJ36" i="26" s="1"/>
  <c r="AQ36" i="26"/>
  <c r="AI40" i="26"/>
  <c r="AJ40" i="26" s="1"/>
  <c r="AQ40" i="26"/>
  <c r="N22" i="27"/>
  <c r="V22" i="27"/>
  <c r="AJ32" i="27"/>
  <c r="AB32" i="27"/>
  <c r="V28" i="27"/>
  <c r="N28" i="27"/>
  <c r="AI24" i="28"/>
  <c r="AQ24" i="28"/>
  <c r="N27" i="28"/>
  <c r="V27" i="28"/>
  <c r="AB41" i="28"/>
  <c r="V26" i="28"/>
  <c r="N26" i="28"/>
  <c r="AC16" i="30"/>
  <c r="U16" i="30"/>
  <c r="AI30" i="30"/>
  <c r="AQ30" i="30"/>
  <c r="U25" i="29"/>
  <c r="AC25" i="29"/>
  <c r="AQ19" i="30"/>
  <c r="AI19" i="30"/>
  <c r="AJ19" i="30" s="1"/>
  <c r="V20" i="30"/>
  <c r="N20" i="30"/>
  <c r="U20" i="29"/>
  <c r="AC20" i="29"/>
  <c r="AI34" i="30"/>
  <c r="AQ34" i="30"/>
  <c r="AI27" i="31"/>
  <c r="AQ27" i="31"/>
  <c r="AJ38" i="30"/>
  <c r="AB38" i="30"/>
  <c r="N26" i="32"/>
  <c r="V26" i="32"/>
  <c r="AI41" i="32"/>
  <c r="AJ41" i="32" s="1"/>
  <c r="AQ41" i="32"/>
  <c r="AI35" i="32"/>
  <c r="AQ35" i="32"/>
  <c r="U25" i="35"/>
  <c r="AC25" i="35"/>
  <c r="U45" i="33"/>
  <c r="AQ19" i="34"/>
  <c r="AI19" i="34"/>
  <c r="AJ22" i="35"/>
  <c r="AB22" i="35"/>
  <c r="V25" i="36"/>
  <c r="N25" i="36"/>
  <c r="N43" i="34"/>
  <c r="AI27" i="38"/>
  <c r="AQ27" i="38"/>
  <c r="AB19" i="37"/>
  <c r="AC19" i="37" s="1"/>
  <c r="AJ19" i="37"/>
  <c r="AP19" i="38"/>
  <c r="O36" i="37"/>
  <c r="AC25" i="36"/>
  <c r="U25" i="36"/>
  <c r="U19" i="36"/>
  <c r="AC23" i="39"/>
  <c r="U23" i="39"/>
  <c r="AC28" i="38"/>
  <c r="U28" i="38"/>
  <c r="V26" i="38"/>
  <c r="N26" i="38"/>
  <c r="AC34" i="39"/>
  <c r="U34" i="39"/>
  <c r="AP30" i="41"/>
  <c r="AC25" i="41"/>
  <c r="U25" i="41"/>
  <c r="N45" i="39"/>
  <c r="AB36" i="40"/>
  <c r="N20" i="40"/>
  <c r="V20" i="40"/>
  <c r="AB27" i="40"/>
  <c r="AJ27" i="40"/>
  <c r="U44" i="41"/>
  <c r="V44" i="41" s="1"/>
  <c r="AC44" i="41"/>
  <c r="V26" i="41"/>
  <c r="N26" i="41"/>
  <c r="U41" i="14"/>
  <c r="V41" i="14" s="1"/>
  <c r="N44" i="13"/>
  <c r="O44" i="13" s="1"/>
  <c r="V44" i="13"/>
  <c r="N35" i="12"/>
  <c r="U20" i="12"/>
  <c r="AC20" i="12"/>
  <c r="AP41" i="9"/>
  <c r="AB26" i="15"/>
  <c r="AJ26" i="15"/>
  <c r="AJ24" i="10"/>
  <c r="AB24" i="10"/>
  <c r="O42" i="13"/>
  <c r="AQ24" i="15"/>
  <c r="AI24" i="15"/>
  <c r="AI17" i="10"/>
  <c r="AQ17" i="10"/>
  <c r="AQ43" i="9"/>
  <c r="AI43" i="9"/>
  <c r="AJ43" i="9" s="1"/>
  <c r="U26" i="11"/>
  <c r="AC26" i="11"/>
  <c r="S29" i="10"/>
  <c r="S38" i="9"/>
  <c r="AB38" i="9" s="1"/>
  <c r="S29" i="15"/>
  <c r="U15" i="15"/>
  <c r="V15" i="15" s="1"/>
  <c r="D81" i="1"/>
  <c r="D82" i="1" s="1"/>
  <c r="D83" i="1" s="1"/>
  <c r="U28" i="11"/>
  <c r="AC28" i="11"/>
  <c r="AP27" i="9"/>
  <c r="Z29" i="10"/>
  <c r="U18" i="13"/>
  <c r="AC18" i="13"/>
  <c r="AP24" i="40"/>
  <c r="AP15" i="38"/>
  <c r="AQ15" i="38" s="1"/>
  <c r="AN29" i="38"/>
  <c r="AC19" i="38"/>
  <c r="U19" i="38"/>
  <c r="AB37" i="38"/>
  <c r="N28" i="37"/>
  <c r="V28" i="37"/>
  <c r="AJ35" i="37"/>
  <c r="AB35" i="37"/>
  <c r="L29" i="37"/>
  <c r="V15" i="37"/>
  <c r="N15" i="37"/>
  <c r="O15" i="37" s="1"/>
  <c r="AJ28" i="36"/>
  <c r="AB28" i="36"/>
  <c r="U24" i="34"/>
  <c r="AC24" i="34"/>
  <c r="AB40" i="33"/>
  <c r="AC40" i="33" s="1"/>
  <c r="AJ40" i="33"/>
  <c r="AP27" i="33"/>
  <c r="AJ18" i="32"/>
  <c r="AB18" i="32"/>
  <c r="AI21" i="30"/>
  <c r="AQ21" i="30"/>
  <c r="N22" i="30"/>
  <c r="AC33" i="28"/>
  <c r="U33" i="28"/>
  <c r="N41" i="26"/>
  <c r="AI32" i="26"/>
  <c r="AQ32" i="26"/>
  <c r="AB33" i="22"/>
  <c r="AJ33" i="22"/>
  <c r="O39" i="19"/>
  <c r="F55" i="41"/>
  <c r="F61" i="37"/>
  <c r="J55" i="37"/>
  <c r="N36" i="23"/>
  <c r="V36" i="23"/>
  <c r="AI23" i="22"/>
  <c r="AQ23" i="22"/>
  <c r="AQ31" i="19"/>
  <c r="AI31" i="19"/>
  <c r="AC32" i="18"/>
  <c r="U32" i="18"/>
  <c r="V20" i="17"/>
  <c r="N20" i="17"/>
  <c r="O41" i="41"/>
  <c r="U15" i="40"/>
  <c r="S29" i="40"/>
  <c r="AI43" i="40"/>
  <c r="AQ43" i="40"/>
  <c r="AP15" i="40"/>
  <c r="AQ15" i="40" s="1"/>
  <c r="AN29" i="40"/>
  <c r="S29" i="39"/>
  <c r="U15" i="39"/>
  <c r="U30" i="37"/>
  <c r="V30" i="37" s="1"/>
  <c r="AC30" i="37"/>
  <c r="AP46" i="39"/>
  <c r="U32" i="37"/>
  <c r="AC32" i="37"/>
  <c r="N35" i="35"/>
  <c r="V35" i="35"/>
  <c r="N28" i="35"/>
  <c r="V28" i="35"/>
  <c r="AB21" i="34"/>
  <c r="AJ21" i="34"/>
  <c r="AB19" i="35"/>
  <c r="AC19" i="35" s="1"/>
  <c r="AC18" i="34"/>
  <c r="U18" i="34"/>
  <c r="AC41" i="31"/>
  <c r="U41" i="31"/>
  <c r="V41" i="31" s="1"/>
  <c r="N28" i="30"/>
  <c r="V28" i="30"/>
  <c r="N21" i="30"/>
  <c r="O21" i="30" s="1"/>
  <c r="V21" i="30"/>
  <c r="U21" i="30"/>
  <c r="N36" i="30"/>
  <c r="AQ31" i="31"/>
  <c r="AI31" i="31"/>
  <c r="AB36" i="31"/>
  <c r="AJ36" i="31"/>
  <c r="U17" i="30"/>
  <c r="AC17" i="30"/>
  <c r="V25" i="33"/>
  <c r="N25" i="33"/>
  <c r="U26" i="27"/>
  <c r="AC26" i="27"/>
  <c r="AB19" i="28"/>
  <c r="AC19" i="28" s="1"/>
  <c r="U41" i="26"/>
  <c r="V41" i="26" s="1"/>
  <c r="AJ23" i="22"/>
  <c r="AB23" i="22"/>
  <c r="AB45" i="26"/>
  <c r="AB33" i="20"/>
  <c r="AJ33" i="20"/>
  <c r="AC32" i="20"/>
  <c r="U32" i="20"/>
  <c r="AP23" i="22"/>
  <c r="AC26" i="21"/>
  <c r="U26" i="21"/>
  <c r="AQ34" i="21"/>
  <c r="AI34" i="21"/>
  <c r="AJ39" i="20"/>
  <c r="AB39" i="20"/>
  <c r="AB47" i="18"/>
  <c r="AC47" i="18" s="1"/>
  <c r="AB36" i="18"/>
  <c r="AC36" i="18" s="1"/>
  <c r="U15" i="16"/>
  <c r="S29" i="16"/>
  <c r="AJ26" i="17"/>
  <c r="AB26" i="17"/>
  <c r="AQ24" i="18"/>
  <c r="AI24" i="18"/>
  <c r="AJ28" i="18"/>
  <c r="AB28" i="18"/>
  <c r="AI15" i="20"/>
  <c r="AJ15" i="20" s="1"/>
  <c r="AG29" i="20"/>
  <c r="V42" i="17"/>
  <c r="AB41" i="18"/>
  <c r="N47" i="17"/>
  <c r="U47" i="17"/>
  <c r="V47" i="17" s="1"/>
  <c r="O44" i="41"/>
  <c r="AC40" i="40"/>
  <c r="U40" i="40"/>
  <c r="V40" i="40" s="1"/>
  <c r="AQ33" i="38"/>
  <c r="AI33" i="38"/>
  <c r="AP36" i="39"/>
  <c r="AQ36" i="39" s="1"/>
  <c r="V20" i="38"/>
  <c r="N20" i="38"/>
  <c r="AP44" i="37"/>
  <c r="AB41" i="36"/>
  <c r="AJ41" i="36"/>
  <c r="N28" i="36"/>
  <c r="V28" i="36"/>
  <c r="AQ24" i="37"/>
  <c r="AI24" i="37"/>
  <c r="AQ35" i="35"/>
  <c r="AI35" i="35"/>
  <c r="AC16" i="35"/>
  <c r="U16" i="35"/>
  <c r="AI25" i="33"/>
  <c r="AQ25" i="33"/>
  <c r="U41" i="33"/>
  <c r="V41" i="33" s="1"/>
  <c r="AC41" i="33"/>
  <c r="N27" i="33"/>
  <c r="V27" i="33"/>
  <c r="AC41" i="35"/>
  <c r="U41" i="35"/>
  <c r="AJ16" i="33"/>
  <c r="AB16" i="33"/>
  <c r="H29" i="32"/>
  <c r="O15" i="32"/>
  <c r="AJ23" i="36"/>
  <c r="AB23" i="36"/>
  <c r="N43" i="32"/>
  <c r="N16" i="30"/>
  <c r="V16" i="30"/>
  <c r="AI45" i="29"/>
  <c r="N19" i="30"/>
  <c r="V17" i="34"/>
  <c r="N17" i="34"/>
  <c r="H29" i="30"/>
  <c r="O15" i="30"/>
  <c r="V17" i="30"/>
  <c r="N17" i="30"/>
  <c r="AB23" i="28"/>
  <c r="AJ23" i="28"/>
  <c r="AC30" i="28"/>
  <c r="U30" i="28"/>
  <c r="N24" i="27"/>
  <c r="V24" i="27"/>
  <c r="AC41" i="27"/>
  <c r="U41" i="27"/>
  <c r="V41" i="27" s="1"/>
  <c r="L29" i="25"/>
  <c r="N15" i="25"/>
  <c r="AQ17" i="26"/>
  <c r="AI17" i="26"/>
  <c r="N41" i="24"/>
  <c r="H29" i="26"/>
  <c r="AJ18" i="25"/>
  <c r="AB18" i="25"/>
  <c r="N41" i="23"/>
  <c r="V41" i="23"/>
  <c r="AQ28" i="26"/>
  <c r="AI28" i="26"/>
  <c r="U31" i="22"/>
  <c r="AC31" i="22"/>
  <c r="AB18" i="22"/>
  <c r="AJ18" i="22"/>
  <c r="N28" i="25"/>
  <c r="V28" i="25"/>
  <c r="AB26" i="26"/>
  <c r="AJ26" i="26"/>
  <c r="S29" i="23"/>
  <c r="AC15" i="23"/>
  <c r="U15" i="23"/>
  <c r="AP47" i="21"/>
  <c r="H29" i="19"/>
  <c r="U32" i="24"/>
  <c r="AC32" i="24"/>
  <c r="AB36" i="22"/>
  <c r="U30" i="18"/>
  <c r="AC30" i="18"/>
  <c r="AP44" i="40"/>
  <c r="AC16" i="41"/>
  <c r="U16" i="41"/>
  <c r="AI43" i="41"/>
  <c r="AJ43" i="41" s="1"/>
  <c r="V36" i="41"/>
  <c r="N36" i="41"/>
  <c r="O36" i="41" s="1"/>
  <c r="AQ50" i="41"/>
  <c r="AI50" i="41"/>
  <c r="AI24" i="41"/>
  <c r="AQ24" i="41"/>
  <c r="AP49" i="40"/>
  <c r="V24" i="41"/>
  <c r="N24" i="41"/>
  <c r="N15" i="40"/>
  <c r="L29" i="40"/>
  <c r="V15" i="40"/>
  <c r="AJ24" i="40"/>
  <c r="AB24" i="40"/>
  <c r="AJ28" i="40"/>
  <c r="AB28" i="40"/>
  <c r="AQ34" i="40"/>
  <c r="AI34" i="40"/>
  <c r="AC20" i="39"/>
  <c r="U20" i="39"/>
  <c r="N40" i="39"/>
  <c r="AQ43" i="39"/>
  <c r="AI43" i="39"/>
  <c r="AJ43" i="39" s="1"/>
  <c r="AP40" i="38"/>
  <c r="AQ40" i="38" s="1"/>
  <c r="AI28" i="38"/>
  <c r="AQ28" i="38"/>
  <c r="N34" i="38"/>
  <c r="V34" i="38"/>
  <c r="AJ33" i="39"/>
  <c r="AB33" i="39"/>
  <c r="AI23" i="37"/>
  <c r="AQ23" i="37"/>
  <c r="AB38" i="37"/>
  <c r="AJ38" i="37"/>
  <c r="AI35" i="37"/>
  <c r="AQ35" i="37"/>
  <c r="AQ22" i="37"/>
  <c r="AI22" i="37"/>
  <c r="AB31" i="36"/>
  <c r="AJ31" i="36"/>
  <c r="AB26" i="37"/>
  <c r="AJ26" i="37"/>
  <c r="V34" i="37"/>
  <c r="N34" i="37"/>
  <c r="AI21" i="37"/>
  <c r="AQ21" i="37"/>
  <c r="AC17" i="37"/>
  <c r="U17" i="37"/>
  <c r="AI44" i="38"/>
  <c r="AP27" i="36"/>
  <c r="AB45" i="35"/>
  <c r="AC45" i="35" s="1"/>
  <c r="AB31" i="38"/>
  <c r="AJ31" i="38"/>
  <c r="AP36" i="36"/>
  <c r="AQ36" i="36" s="1"/>
  <c r="AQ17" i="37"/>
  <c r="AI17" i="37"/>
  <c r="AB40" i="35"/>
  <c r="AP43" i="34"/>
  <c r="AQ43" i="34" s="1"/>
  <c r="U27" i="35"/>
  <c r="AC27" i="35"/>
  <c r="U40" i="36"/>
  <c r="AC37" i="36"/>
  <c r="U37" i="36"/>
  <c r="AQ21" i="34"/>
  <c r="AI21" i="34"/>
  <c r="AB33" i="35"/>
  <c r="AJ33" i="35"/>
  <c r="U37" i="34"/>
  <c r="AC37" i="34"/>
  <c r="AB37" i="34"/>
  <c r="S29" i="37"/>
  <c r="U15" i="37"/>
  <c r="N32" i="35"/>
  <c r="O32" i="35" s="1"/>
  <c r="V32" i="35"/>
  <c r="AI35" i="34"/>
  <c r="AQ35" i="34"/>
  <c r="AB25" i="34"/>
  <c r="AJ25" i="34"/>
  <c r="AG29" i="34"/>
  <c r="AI15" i="34"/>
  <c r="AJ15" i="34" s="1"/>
  <c r="AI17" i="33"/>
  <c r="AQ17" i="33"/>
  <c r="AB33" i="34"/>
  <c r="AJ33" i="34"/>
  <c r="AI26" i="33"/>
  <c r="AQ26" i="33"/>
  <c r="AC19" i="33"/>
  <c r="U19" i="33"/>
  <c r="V19" i="33" s="1"/>
  <c r="AI40" i="32"/>
  <c r="AJ40" i="32" s="1"/>
  <c r="AQ40" i="32"/>
  <c r="U46" i="32"/>
  <c r="AJ34" i="34"/>
  <c r="AB34" i="34"/>
  <c r="N37" i="32"/>
  <c r="V37" i="32"/>
  <c r="AP30" i="32"/>
  <c r="I27" i="3" s="1"/>
  <c r="I26" i="3"/>
  <c r="AC18" i="35"/>
  <c r="U18" i="35"/>
  <c r="AP23" i="32"/>
  <c r="N25" i="31"/>
  <c r="V25" i="31"/>
  <c r="U33" i="33"/>
  <c r="AC33" i="33"/>
  <c r="U25" i="32"/>
  <c r="AC25" i="32"/>
  <c r="AQ45" i="34"/>
  <c r="AI45" i="34"/>
  <c r="AP45" i="31"/>
  <c r="AQ45" i="31" s="1"/>
  <c r="N31" i="30"/>
  <c r="V31" i="30"/>
  <c r="U24" i="31"/>
  <c r="AC24" i="31"/>
  <c r="AB25" i="31"/>
  <c r="AJ25" i="31"/>
  <c r="U38" i="30"/>
  <c r="AC38" i="30"/>
  <c r="Z29" i="30"/>
  <c r="AB15" i="30"/>
  <c r="AP32" i="28"/>
  <c r="S44" i="29"/>
  <c r="N33" i="30"/>
  <c r="N19" i="29"/>
  <c r="O19" i="29" s="1"/>
  <c r="U17" i="28"/>
  <c r="AC17" i="28"/>
  <c r="N18" i="29"/>
  <c r="V18" i="29"/>
  <c r="AI24" i="30"/>
  <c r="AQ24" i="30"/>
  <c r="U38" i="28"/>
  <c r="AC38" i="28"/>
  <c r="N31" i="29"/>
  <c r="V31" i="29"/>
  <c r="N30" i="29"/>
  <c r="O30" i="29" s="1"/>
  <c r="V30" i="29"/>
  <c r="U19" i="26"/>
  <c r="AC19" i="26"/>
  <c r="AG46" i="26"/>
  <c r="AP46" i="26" s="1"/>
  <c r="AP43" i="27"/>
  <c r="S43" i="26"/>
  <c r="AQ20" i="26"/>
  <c r="AI20" i="26"/>
  <c r="AC16" i="28"/>
  <c r="U16" i="28"/>
  <c r="AB44" i="28"/>
  <c r="AC44" i="28" s="1"/>
  <c r="N24" i="26"/>
  <c r="V24" i="26"/>
  <c r="AQ45" i="25"/>
  <c r="AI45" i="25"/>
  <c r="H29" i="27"/>
  <c r="U31" i="28"/>
  <c r="AC31" i="28"/>
  <c r="U16" i="26"/>
  <c r="AC16" i="26"/>
  <c r="U23" i="23"/>
  <c r="AC23" i="23"/>
  <c r="AB36" i="24"/>
  <c r="AC36" i="24" s="1"/>
  <c r="AJ36" i="24"/>
  <c r="AI33" i="23"/>
  <c r="AQ33" i="23"/>
  <c r="V24" i="24"/>
  <c r="N24" i="24"/>
  <c r="AI39" i="22"/>
  <c r="AQ39" i="22"/>
  <c r="AP48" i="22"/>
  <c r="AQ48" i="22" s="1"/>
  <c r="AB17" i="29"/>
  <c r="AJ17" i="29"/>
  <c r="U15" i="25"/>
  <c r="V15" i="25" s="1"/>
  <c r="O42" i="23"/>
  <c r="U42" i="21"/>
  <c r="V42" i="21" s="1"/>
  <c r="U42" i="20"/>
  <c r="AC22" i="26"/>
  <c r="U22" i="26"/>
  <c r="V22" i="26" s="1"/>
  <c r="U19" i="24"/>
  <c r="V19" i="24" s="1"/>
  <c r="U47" i="24"/>
  <c r="V47" i="24" s="1"/>
  <c r="AP41" i="24"/>
  <c r="AQ41" i="24" s="1"/>
  <c r="V38" i="21"/>
  <c r="N38" i="21"/>
  <c r="AB43" i="22"/>
  <c r="AC43" i="22" s="1"/>
  <c r="V48" i="20"/>
  <c r="N48" i="20"/>
  <c r="O48" i="20" s="1"/>
  <c r="AI17" i="22"/>
  <c r="AQ17" i="22"/>
  <c r="AI23" i="23"/>
  <c r="AQ23" i="23"/>
  <c r="AP42" i="21"/>
  <c r="AJ38" i="21"/>
  <c r="AB38" i="21"/>
  <c r="AC38" i="21" s="1"/>
  <c r="AI32" i="19"/>
  <c r="AQ32" i="19"/>
  <c r="AG32" i="25"/>
  <c r="AN46" i="25"/>
  <c r="AN20" i="25"/>
  <c r="AP20" i="25" s="1"/>
  <c r="N24" i="22"/>
  <c r="V24" i="22"/>
  <c r="AP21" i="21"/>
  <c r="AC38" i="19"/>
  <c r="U38" i="19"/>
  <c r="AB28" i="22"/>
  <c r="AJ28" i="22"/>
  <c r="N17" i="25"/>
  <c r="V17" i="25"/>
  <c r="AI34" i="20"/>
  <c r="AQ21" i="19"/>
  <c r="AI21" i="19"/>
  <c r="AB30" i="18"/>
  <c r="AJ30" i="18"/>
  <c r="O48" i="15"/>
  <c r="N48" i="15"/>
  <c r="AJ32" i="19"/>
  <c r="AB32" i="19"/>
  <c r="V41" i="21"/>
  <c r="N41" i="21"/>
  <c r="V17" i="19"/>
  <c r="N17" i="19"/>
  <c r="O41" i="23"/>
  <c r="AJ24" i="19"/>
  <c r="AB24" i="19"/>
  <c r="N35" i="16"/>
  <c r="U35" i="16"/>
  <c r="V35" i="16" s="1"/>
  <c r="N28" i="19"/>
  <c r="V28" i="19"/>
  <c r="AP23" i="18"/>
  <c r="V24" i="16"/>
  <c r="N24" i="16"/>
  <c r="O47" i="17"/>
  <c r="AI32" i="16"/>
  <c r="AQ32" i="16"/>
  <c r="AB17" i="17"/>
  <c r="AJ17" i="17"/>
  <c r="AP15" i="20"/>
  <c r="AQ15" i="20" s="1"/>
  <c r="AN29" i="20"/>
  <c r="AC20" i="17"/>
  <c r="U20" i="17"/>
  <c r="AC30" i="15"/>
  <c r="U30" i="15"/>
  <c r="V30" i="15" s="1"/>
  <c r="AI47" i="14"/>
  <c r="AJ47" i="14" s="1"/>
  <c r="AP38" i="14"/>
  <c r="AQ38" i="14" s="1"/>
  <c r="N41" i="18"/>
  <c r="O41" i="18" s="1"/>
  <c r="AP47" i="12"/>
  <c r="AQ32" i="17"/>
  <c r="AI32" i="17"/>
  <c r="AI42" i="15"/>
  <c r="AQ42" i="15"/>
  <c r="AN29" i="14"/>
  <c r="AP15" i="14"/>
  <c r="AQ15" i="14" s="1"/>
  <c r="AQ23" i="12"/>
  <c r="AI23" i="12"/>
  <c r="AI34" i="10"/>
  <c r="AJ34" i="10" s="1"/>
  <c r="AJ28" i="17"/>
  <c r="AB28" i="17"/>
  <c r="V18" i="15"/>
  <c r="N18" i="15"/>
  <c r="AI16" i="13"/>
  <c r="AQ16" i="13"/>
  <c r="AC23" i="14"/>
  <c r="U23" i="14"/>
  <c r="AB20" i="13"/>
  <c r="AJ20" i="13"/>
  <c r="O43" i="19"/>
  <c r="V33" i="12"/>
  <c r="N33" i="12"/>
  <c r="AP30" i="18"/>
  <c r="AC33" i="19"/>
  <c r="U33" i="19"/>
  <c r="AC43" i="20"/>
  <c r="U43" i="20"/>
  <c r="V43" i="20" s="1"/>
  <c r="U31" i="14"/>
  <c r="AC31" i="14"/>
  <c r="AB31" i="14"/>
  <c r="AI31" i="21"/>
  <c r="AQ31" i="21"/>
  <c r="O43" i="17"/>
  <c r="AI18" i="17"/>
  <c r="AQ18" i="17"/>
  <c r="AI41" i="18"/>
  <c r="AJ41" i="18" s="1"/>
  <c r="AQ38" i="17"/>
  <c r="AI38" i="17"/>
  <c r="N16" i="19"/>
  <c r="V16" i="19"/>
  <c r="AJ22" i="19"/>
  <c r="AB22" i="19"/>
  <c r="AB38" i="15"/>
  <c r="AI43" i="17"/>
  <c r="V23" i="18"/>
  <c r="N23" i="18"/>
  <c r="H29" i="23"/>
  <c r="V25" i="18"/>
  <c r="N25" i="18"/>
  <c r="N27" i="23"/>
  <c r="V27" i="23"/>
  <c r="AC20" i="22"/>
  <c r="U20" i="22"/>
  <c r="AQ23" i="20"/>
  <c r="AI23" i="20"/>
  <c r="V31" i="20"/>
  <c r="N31" i="20"/>
  <c r="N22" i="19"/>
  <c r="N32" i="23"/>
  <c r="O32" i="23" s="1"/>
  <c r="AQ16" i="19"/>
  <c r="AI16" i="19"/>
  <c r="AJ26" i="22"/>
  <c r="AB26" i="22"/>
  <c r="AQ21" i="22"/>
  <c r="AI21" i="22"/>
  <c r="AC27" i="26"/>
  <c r="U27" i="26"/>
  <c r="AJ30" i="25"/>
  <c r="AB30" i="25"/>
  <c r="AG29" i="25"/>
  <c r="AI15" i="25"/>
  <c r="AP43" i="26"/>
  <c r="AC16" i="27"/>
  <c r="U16" i="27"/>
  <c r="AQ28" i="27"/>
  <c r="AI28" i="27"/>
  <c r="V38" i="27"/>
  <c r="N38" i="27"/>
  <c r="AB46" i="28"/>
  <c r="AJ46" i="28"/>
  <c r="AI17" i="28"/>
  <c r="AQ17" i="28"/>
  <c r="V31" i="28"/>
  <c r="N31" i="28"/>
  <c r="AB22" i="30"/>
  <c r="AJ22" i="30"/>
  <c r="V27" i="29"/>
  <c r="N27" i="29"/>
  <c r="AQ23" i="30"/>
  <c r="AI23" i="30"/>
  <c r="AJ27" i="30"/>
  <c r="AB27" i="30"/>
  <c r="U15" i="30"/>
  <c r="S29" i="30"/>
  <c r="AC15" i="30"/>
  <c r="V19" i="31"/>
  <c r="N19" i="31"/>
  <c r="O19" i="31" s="1"/>
  <c r="AJ24" i="31"/>
  <c r="AB24" i="31"/>
  <c r="AP26" i="32"/>
  <c r="AC40" i="31"/>
  <c r="U40" i="31"/>
  <c r="AP30" i="34"/>
  <c r="I32" i="3" s="1"/>
  <c r="I33" i="3" s="1"/>
  <c r="I31" i="3"/>
  <c r="AN29" i="33"/>
  <c r="AP15" i="33"/>
  <c r="AQ15" i="33" s="1"/>
  <c r="AC20" i="33"/>
  <c r="U20" i="33"/>
  <c r="AB38" i="32"/>
  <c r="AJ38" i="32"/>
  <c r="V30" i="33"/>
  <c r="N30" i="33"/>
  <c r="N27" i="35"/>
  <c r="V27" i="35"/>
  <c r="AB35" i="34"/>
  <c r="AJ35" i="34"/>
  <c r="V25" i="35"/>
  <c r="N25" i="35"/>
  <c r="AP28" i="35"/>
  <c r="AQ25" i="35"/>
  <c r="AI25" i="35"/>
  <c r="AC41" i="36"/>
  <c r="U41" i="36"/>
  <c r="V41" i="36" s="1"/>
  <c r="N15" i="36"/>
  <c r="L29" i="36"/>
  <c r="V15" i="36"/>
  <c r="V40" i="38"/>
  <c r="N40" i="38"/>
  <c r="AJ40" i="36"/>
  <c r="AB40" i="36"/>
  <c r="AC40" i="36" s="1"/>
  <c r="Z29" i="39"/>
  <c r="AB15" i="39"/>
  <c r="AC15" i="39" s="1"/>
  <c r="AJ38" i="38"/>
  <c r="AB38" i="38"/>
  <c r="U32" i="38"/>
  <c r="AC32" i="38"/>
  <c r="AQ19" i="40"/>
  <c r="AI19" i="40"/>
  <c r="J37" i="38"/>
  <c r="L37" i="38" s="1"/>
  <c r="U37" i="38" s="1"/>
  <c r="L46" i="38"/>
  <c r="AQ19" i="39"/>
  <c r="AI19" i="39"/>
  <c r="AI28" i="40"/>
  <c r="AQ28" i="40"/>
  <c r="O40" i="39"/>
  <c r="AI36" i="40"/>
  <c r="AJ36" i="40" s="1"/>
  <c r="AQ36" i="40"/>
  <c r="AP28" i="40"/>
  <c r="AC44" i="14"/>
  <c r="U44" i="14"/>
  <c r="V44" i="14" s="1"/>
  <c r="AP30" i="14"/>
  <c r="AI19" i="12"/>
  <c r="AQ19" i="12"/>
  <c r="AQ16" i="12"/>
  <c r="AI16" i="12"/>
  <c r="AC23" i="15"/>
  <c r="U23" i="15"/>
  <c r="AQ20" i="14"/>
  <c r="AI20" i="14"/>
  <c r="AQ32" i="12"/>
  <c r="AI32" i="12"/>
  <c r="AJ19" i="11"/>
  <c r="AB19" i="11"/>
  <c r="AP22" i="10"/>
  <c r="AJ33" i="13"/>
  <c r="AB33" i="13"/>
  <c r="AB38" i="13"/>
  <c r="AC38" i="13" s="1"/>
  <c r="AJ23" i="11"/>
  <c r="AB23" i="11"/>
  <c r="S29" i="11"/>
  <c r="U15" i="11"/>
  <c r="AG29" i="15"/>
  <c r="AI15" i="15"/>
  <c r="AQ15" i="15"/>
  <c r="F81" i="1"/>
  <c r="F82" i="1" s="1"/>
  <c r="F83" i="1" s="1"/>
  <c r="U22" i="14"/>
  <c r="AC22" i="14"/>
  <c r="AC34" i="12"/>
  <c r="U34" i="12"/>
  <c r="V34" i="12" s="1"/>
  <c r="L29" i="9"/>
  <c r="AC27" i="11"/>
  <c r="U27" i="11"/>
  <c r="AI42" i="10"/>
  <c r="AQ42" i="10"/>
  <c r="N33" i="11"/>
  <c r="V33" i="11"/>
  <c r="U43" i="13"/>
  <c r="V43" i="13" s="1"/>
  <c r="U34" i="9"/>
  <c r="U16" i="11"/>
  <c r="AC16" i="11"/>
  <c r="AI33" i="10"/>
  <c r="AQ33" i="10"/>
  <c r="AB28" i="41"/>
  <c r="AJ28" i="41"/>
  <c r="AC34" i="38"/>
  <c r="U34" i="38"/>
  <c r="AI33" i="36"/>
  <c r="AQ33" i="36"/>
  <c r="AI33" i="35"/>
  <c r="AQ33" i="35"/>
  <c r="AQ20" i="35"/>
  <c r="AI20" i="35"/>
  <c r="O30" i="34"/>
  <c r="D31" i="3"/>
  <c r="N15" i="32"/>
  <c r="V15" i="32"/>
  <c r="L29" i="32"/>
  <c r="AQ22" i="30"/>
  <c r="AI22" i="30"/>
  <c r="N30" i="28"/>
  <c r="O30" i="28" s="1"/>
  <c r="V30" i="28"/>
  <c r="AB43" i="27"/>
  <c r="AI34" i="27"/>
  <c r="AQ34" i="27"/>
  <c r="M23" i="3"/>
  <c r="O36" i="23"/>
  <c r="AC28" i="24"/>
  <c r="U28" i="24"/>
  <c r="AQ21" i="24"/>
  <c r="AI21" i="24"/>
  <c r="U18" i="23"/>
  <c r="AC18" i="23"/>
  <c r="U16" i="23"/>
  <c r="AC16" i="23"/>
  <c r="AB45" i="20"/>
  <c r="AC45" i="20" s="1"/>
  <c r="AJ45" i="20"/>
  <c r="U42" i="14"/>
  <c r="AC42" i="14"/>
  <c r="AC16" i="40"/>
  <c r="U16" i="40"/>
  <c r="AC40" i="38"/>
  <c r="U40" i="38"/>
  <c r="U27" i="38"/>
  <c r="AC27" i="38"/>
  <c r="N18" i="38"/>
  <c r="V18" i="38"/>
  <c r="AJ44" i="38"/>
  <c r="AB44" i="38"/>
  <c r="AI36" i="37"/>
  <c r="AI41" i="36"/>
  <c r="AP33" i="35"/>
  <c r="N28" i="34"/>
  <c r="V28" i="34"/>
  <c r="AQ16" i="35"/>
  <c r="AI16" i="35"/>
  <c r="V20" i="33"/>
  <c r="N20" i="33"/>
  <c r="N41" i="31"/>
  <c r="AC31" i="32"/>
  <c r="U31" i="32"/>
  <c r="AQ23" i="28"/>
  <c r="AI23" i="28"/>
  <c r="AQ30" i="26"/>
  <c r="AI30" i="26"/>
  <c r="AQ21" i="25"/>
  <c r="AI21" i="25"/>
  <c r="N38" i="24"/>
  <c r="AQ21" i="26"/>
  <c r="AI21" i="26"/>
  <c r="AB17" i="24"/>
  <c r="AJ17" i="24"/>
  <c r="N42" i="21"/>
  <c r="O42" i="21" s="1"/>
  <c r="AB43" i="20"/>
  <c r="AI33" i="24"/>
  <c r="AQ33" i="24"/>
  <c r="O43" i="21"/>
  <c r="AJ38" i="23"/>
  <c r="AB38" i="23"/>
  <c r="AP32" i="25"/>
  <c r="AI30" i="19"/>
  <c r="AQ30" i="19"/>
  <c r="AQ34" i="17"/>
  <c r="AI34" i="17"/>
  <c r="AB19" i="20"/>
  <c r="V34" i="17"/>
  <c r="AI23" i="17"/>
  <c r="AQ23" i="17"/>
  <c r="AP47" i="16"/>
  <c r="AQ47" i="16" s="1"/>
  <c r="AQ17" i="41"/>
  <c r="AI17" i="41"/>
  <c r="AC20" i="41"/>
  <c r="U20" i="41"/>
  <c r="O50" i="40"/>
  <c r="AC43" i="41"/>
  <c r="U43" i="41"/>
  <c r="AB34" i="40"/>
  <c r="AJ34" i="40"/>
  <c r="AQ44" i="40"/>
  <c r="AI44" i="40"/>
  <c r="AB46" i="38"/>
  <c r="AI20" i="38"/>
  <c r="AQ20" i="38"/>
  <c r="N16" i="38"/>
  <c r="V16" i="38"/>
  <c r="AC18" i="38"/>
  <c r="U18" i="38"/>
  <c r="AC36" i="37"/>
  <c r="U36" i="37"/>
  <c r="V36" i="37" s="1"/>
  <c r="AQ32" i="38"/>
  <c r="AI32" i="38"/>
  <c r="N33" i="37"/>
  <c r="V33" i="37"/>
  <c r="AB41" i="37"/>
  <c r="AJ32" i="37"/>
  <c r="AB32" i="37"/>
  <c r="N26" i="36"/>
  <c r="V26" i="36"/>
  <c r="AI16" i="36"/>
  <c r="AQ16" i="36"/>
  <c r="AJ20" i="35"/>
  <c r="AB20" i="35"/>
  <c r="AB37" i="36"/>
  <c r="AJ37" i="36"/>
  <c r="AQ26" i="34"/>
  <c r="AI26" i="34"/>
  <c r="AB23" i="34"/>
  <c r="AJ23" i="34"/>
  <c r="V40" i="34"/>
  <c r="N40" i="34"/>
  <c r="AP36" i="33"/>
  <c r="AQ36" i="33" s="1"/>
  <c r="AP25" i="33"/>
  <c r="V16" i="31"/>
  <c r="N16" i="31"/>
  <c r="AJ25" i="32"/>
  <c r="AB25" i="32"/>
  <c r="AP20" i="34"/>
  <c r="AQ27" i="28"/>
  <c r="AI27" i="28"/>
  <c r="AB22" i="32"/>
  <c r="AJ22" i="32"/>
  <c r="N43" i="29"/>
  <c r="N34" i="29"/>
  <c r="O34" i="29" s="1"/>
  <c r="AC27" i="28"/>
  <c r="U27" i="28"/>
  <c r="AI34" i="26"/>
  <c r="AQ34" i="26"/>
  <c r="AB27" i="26"/>
  <c r="AJ27" i="26"/>
  <c r="AI25" i="41"/>
  <c r="AQ25" i="41"/>
  <c r="N19" i="41"/>
  <c r="V43" i="41"/>
  <c r="N40" i="41"/>
  <c r="V40" i="41"/>
  <c r="AP17" i="41"/>
  <c r="AI50" i="40"/>
  <c r="AJ50" i="40" s="1"/>
  <c r="AQ50" i="40"/>
  <c r="AQ21" i="41"/>
  <c r="AI21" i="41"/>
  <c r="N24" i="40"/>
  <c r="V24" i="40"/>
  <c r="AI45" i="40"/>
  <c r="AJ45" i="40" s="1"/>
  <c r="AQ45" i="40"/>
  <c r="AI18" i="39"/>
  <c r="AQ18" i="39"/>
  <c r="AG29" i="39"/>
  <c r="AI15" i="39"/>
  <c r="AJ15" i="39" s="1"/>
  <c r="AB34" i="39"/>
  <c r="AJ34" i="39"/>
  <c r="O33" i="40"/>
  <c r="AC25" i="40"/>
  <c r="U25" i="40"/>
  <c r="AB26" i="39"/>
  <c r="AJ26" i="39"/>
  <c r="N41" i="40"/>
  <c r="U41" i="38"/>
  <c r="V41" i="38" s="1"/>
  <c r="AP37" i="38"/>
  <c r="AP43" i="38"/>
  <c r="AB32" i="38"/>
  <c r="AJ32" i="38"/>
  <c r="AP34" i="38"/>
  <c r="V23" i="39"/>
  <c r="N23" i="39"/>
  <c r="AI21" i="39"/>
  <c r="AQ21" i="39"/>
  <c r="AP36" i="37"/>
  <c r="AQ36" i="37" s="1"/>
  <c r="V38" i="36"/>
  <c r="N38" i="36"/>
  <c r="AI46" i="37"/>
  <c r="AJ46" i="37" s="1"/>
  <c r="AQ46" i="37"/>
  <c r="AP46" i="37"/>
  <c r="U37" i="37"/>
  <c r="V37" i="37" s="1"/>
  <c r="AC37" i="37"/>
  <c r="U31" i="36"/>
  <c r="AC31" i="36"/>
  <c r="AI37" i="37"/>
  <c r="AJ37" i="37" s="1"/>
  <c r="AB38" i="36"/>
  <c r="AJ38" i="36"/>
  <c r="AI24" i="36"/>
  <c r="AQ24" i="36"/>
  <c r="U38" i="36"/>
  <c r="AC38" i="36"/>
  <c r="AP34" i="36"/>
  <c r="N22" i="35"/>
  <c r="V22" i="35"/>
  <c r="V45" i="35"/>
  <c r="N45" i="35"/>
  <c r="O45" i="35" s="1"/>
  <c r="AP32" i="35"/>
  <c r="O33" i="35"/>
  <c r="AB30" i="35"/>
  <c r="AJ30" i="35"/>
  <c r="AJ35" i="32"/>
  <c r="AB35" i="32"/>
  <c r="R46" i="34"/>
  <c r="S46" i="34" s="1"/>
  <c r="S43" i="34"/>
  <c r="R44" i="34"/>
  <c r="S44" i="34" s="1"/>
  <c r="AI28" i="35"/>
  <c r="AQ28" i="35"/>
  <c r="O43" i="34"/>
  <c r="AP35" i="35"/>
  <c r="AJ24" i="34"/>
  <c r="AB24" i="34"/>
  <c r="AI17" i="38"/>
  <c r="AQ17" i="38"/>
  <c r="AC28" i="34"/>
  <c r="U28" i="34"/>
  <c r="AI25" i="34"/>
  <c r="AQ25" i="34"/>
  <c r="AI45" i="32"/>
  <c r="AJ45" i="32" s="1"/>
  <c r="O41" i="33"/>
  <c r="AB45" i="32"/>
  <c r="AC33" i="34"/>
  <c r="U33" i="34"/>
  <c r="V33" i="34" s="1"/>
  <c r="V40" i="33"/>
  <c r="N40" i="33"/>
  <c r="U26" i="33"/>
  <c r="AC26" i="33"/>
  <c r="AJ33" i="32"/>
  <c r="AB33" i="32"/>
  <c r="AJ30" i="32"/>
  <c r="AB30" i="32"/>
  <c r="G27" i="3" s="1"/>
  <c r="G28" i="3" s="1"/>
  <c r="G26" i="3"/>
  <c r="N20" i="34"/>
  <c r="V20" i="34"/>
  <c r="V46" i="32"/>
  <c r="AI23" i="32"/>
  <c r="AQ23" i="32"/>
  <c r="AC32" i="33"/>
  <c r="U32" i="33"/>
  <c r="AQ33" i="34"/>
  <c r="AI33" i="34"/>
  <c r="AJ16" i="32"/>
  <c r="AB16" i="32"/>
  <c r="AB37" i="32"/>
  <c r="AJ37" i="32"/>
  <c r="AP28" i="32"/>
  <c r="N20" i="31"/>
  <c r="V20" i="31"/>
  <c r="AQ32" i="32"/>
  <c r="AI32" i="32"/>
  <c r="N28" i="3"/>
  <c r="N30" i="3" s="1"/>
  <c r="N21" i="35"/>
  <c r="O21" i="35" s="1"/>
  <c r="AQ25" i="31"/>
  <c r="AI25" i="31"/>
  <c r="U23" i="36"/>
  <c r="AC23" i="36"/>
  <c r="O30" i="30"/>
  <c r="AB43" i="32"/>
  <c r="AJ21" i="31"/>
  <c r="AB21" i="31"/>
  <c r="AQ16" i="30"/>
  <c r="AI16" i="30"/>
  <c r="AP20" i="31"/>
  <c r="AC26" i="29"/>
  <c r="U26" i="29"/>
  <c r="AP45" i="29"/>
  <c r="AQ45" i="29" s="1"/>
  <c r="AP27" i="28"/>
  <c r="AI45" i="30"/>
  <c r="AQ45" i="30"/>
  <c r="AJ34" i="29"/>
  <c r="AB34" i="29"/>
  <c r="N36" i="28"/>
  <c r="O36" i="28" s="1"/>
  <c r="AC41" i="28"/>
  <c r="U41" i="28"/>
  <c r="V41" i="28" s="1"/>
  <c r="AC36" i="31"/>
  <c r="U36" i="31"/>
  <c r="V36" i="31" s="1"/>
  <c r="V46" i="27"/>
  <c r="N46" i="27"/>
  <c r="N33" i="27"/>
  <c r="O33" i="27" s="1"/>
  <c r="AP31" i="29"/>
  <c r="AC25" i="28"/>
  <c r="U25" i="28"/>
  <c r="N25" i="29"/>
  <c r="V25" i="29"/>
  <c r="AQ19" i="26"/>
  <c r="AI19" i="26"/>
  <c r="AJ19" i="26" s="1"/>
  <c r="AB16" i="27"/>
  <c r="AJ16" i="27"/>
  <c r="AP33" i="26"/>
  <c r="U35" i="27"/>
  <c r="AC20" i="26"/>
  <c r="U20" i="26"/>
  <c r="N16" i="28"/>
  <c r="V16" i="28"/>
  <c r="U36" i="25"/>
  <c r="V36" i="25" s="1"/>
  <c r="O34" i="24"/>
  <c r="AP47" i="23"/>
  <c r="AQ47" i="23" s="1"/>
  <c r="AP35" i="26"/>
  <c r="N45" i="25"/>
  <c r="V45" i="25"/>
  <c r="S29" i="29"/>
  <c r="U15" i="29"/>
  <c r="V15" i="29" s="1"/>
  <c r="AC15" i="29"/>
  <c r="N43" i="26"/>
  <c r="O43" i="26" s="1"/>
  <c r="V36" i="24"/>
  <c r="N36" i="24"/>
  <c r="O36" i="24" s="1"/>
  <c r="AC22" i="23"/>
  <c r="U22" i="23"/>
  <c r="V22" i="23" s="1"/>
  <c r="U35" i="25"/>
  <c r="AC35" i="25"/>
  <c r="N21" i="24"/>
  <c r="O21" i="24" s="1"/>
  <c r="AQ47" i="22"/>
  <c r="AI47" i="22"/>
  <c r="AJ47" i="22" s="1"/>
  <c r="AP47" i="22"/>
  <c r="AC17" i="29"/>
  <c r="U17" i="29"/>
  <c r="AI35" i="24"/>
  <c r="AJ35" i="24" s="1"/>
  <c r="AQ35" i="24"/>
  <c r="U31" i="23"/>
  <c r="AC31" i="23"/>
  <c r="U39" i="20"/>
  <c r="V39" i="20" s="1"/>
  <c r="AC39" i="20"/>
  <c r="AB23" i="24"/>
  <c r="AJ23" i="24"/>
  <c r="AB19" i="24"/>
  <c r="AC19" i="24" s="1"/>
  <c r="N48" i="24"/>
  <c r="V48" i="24"/>
  <c r="V18" i="23"/>
  <c r="N18" i="23"/>
  <c r="N27" i="22"/>
  <c r="V27" i="22"/>
  <c r="AI47" i="20"/>
  <c r="AP22" i="22"/>
  <c r="AJ23" i="21"/>
  <c r="AB23" i="21"/>
  <c r="AP19" i="26"/>
  <c r="N43" i="22"/>
  <c r="O43" i="22" s="1"/>
  <c r="AJ35" i="23"/>
  <c r="AB35" i="23"/>
  <c r="AC35" i="23" s="1"/>
  <c r="AI35" i="23"/>
  <c r="AC20" i="20"/>
  <c r="U20" i="20"/>
  <c r="AQ33" i="19"/>
  <c r="AI33" i="19"/>
  <c r="Z29" i="21"/>
  <c r="AB15" i="21"/>
  <c r="N41" i="19"/>
  <c r="O36" i="18"/>
  <c r="AB34" i="21"/>
  <c r="AC34" i="21" s="1"/>
  <c r="AJ34" i="21"/>
  <c r="AB32" i="20"/>
  <c r="AJ32" i="20"/>
  <c r="AB21" i="19"/>
  <c r="AJ21" i="19"/>
  <c r="AB32" i="25"/>
  <c r="AJ32" i="25"/>
  <c r="O32" i="25"/>
  <c r="V24" i="23"/>
  <c r="N24" i="23"/>
  <c r="AI19" i="22"/>
  <c r="AJ19" i="22" s="1"/>
  <c r="AJ15" i="22"/>
  <c r="AB15" i="22"/>
  <c r="AC15" i="22" s="1"/>
  <c r="Z29" i="22"/>
  <c r="N32" i="20"/>
  <c r="O32" i="20" s="1"/>
  <c r="V32" i="20"/>
  <c r="AI34" i="22"/>
  <c r="AJ34" i="22" s="1"/>
  <c r="AP32" i="20"/>
  <c r="N34" i="26"/>
  <c r="O34" i="26" s="1"/>
  <c r="U27" i="19"/>
  <c r="AC27" i="19"/>
  <c r="L29" i="19"/>
  <c r="V15" i="19"/>
  <c r="N15" i="19"/>
  <c r="O15" i="19" s="1"/>
  <c r="AC33" i="22"/>
  <c r="U33" i="22"/>
  <c r="AB35" i="19"/>
  <c r="AP21" i="19"/>
  <c r="AQ28" i="19"/>
  <c r="AI28" i="19"/>
  <c r="AP20" i="18"/>
  <c r="AI36" i="16"/>
  <c r="AQ36" i="16"/>
  <c r="AI24" i="16"/>
  <c r="AQ24" i="16"/>
  <c r="O38" i="17"/>
  <c r="AJ27" i="17"/>
  <c r="AB27" i="17"/>
  <c r="AJ33" i="17"/>
  <c r="AB33" i="17"/>
  <c r="AQ30" i="16"/>
  <c r="AI30" i="16"/>
  <c r="V25" i="15"/>
  <c r="N25" i="15"/>
  <c r="AQ28" i="22"/>
  <c r="AI28" i="22"/>
  <c r="H29" i="20"/>
  <c r="O15" i="20"/>
  <c r="AB27" i="16"/>
  <c r="AJ27" i="16"/>
  <c r="AC38" i="14"/>
  <c r="U38" i="14"/>
  <c r="V47" i="13"/>
  <c r="N47" i="13"/>
  <c r="O47" i="13" s="1"/>
  <c r="N32" i="13"/>
  <c r="O32" i="13" s="1"/>
  <c r="V36" i="14"/>
  <c r="N36" i="14"/>
  <c r="O36" i="14" s="1"/>
  <c r="AC27" i="16"/>
  <c r="U27" i="16"/>
  <c r="AC47" i="16"/>
  <c r="U47" i="16"/>
  <c r="N22" i="12"/>
  <c r="V22" i="12"/>
  <c r="AQ41" i="14"/>
  <c r="AI41" i="14"/>
  <c r="AJ41" i="14" s="1"/>
  <c r="U39" i="11"/>
  <c r="AC39" i="11"/>
  <c r="AB39" i="15"/>
  <c r="AC22" i="13"/>
  <c r="U22" i="13"/>
  <c r="AQ20" i="13"/>
  <c r="AI20" i="13"/>
  <c r="N17" i="12"/>
  <c r="V17" i="12"/>
  <c r="AI18" i="13"/>
  <c r="AQ18" i="13"/>
  <c r="AI30" i="14"/>
  <c r="AQ30" i="14"/>
  <c r="AC28" i="20"/>
  <c r="U28" i="20"/>
  <c r="AI19" i="15"/>
  <c r="AQ19" i="15"/>
  <c r="AQ34" i="18"/>
  <c r="AI34" i="18"/>
  <c r="AJ34" i="18" s="1"/>
  <c r="AQ15" i="16"/>
  <c r="AG29" i="16"/>
  <c r="AI15" i="16"/>
  <c r="U31" i="15"/>
  <c r="AC31" i="15"/>
  <c r="AB24" i="16"/>
  <c r="AJ24" i="16"/>
  <c r="V38" i="15"/>
  <c r="N38" i="15"/>
  <c r="AP17" i="18"/>
  <c r="AQ33" i="17"/>
  <c r="AI33" i="17"/>
  <c r="V39" i="19"/>
  <c r="N39" i="19"/>
  <c r="AQ22" i="17"/>
  <c r="AI22" i="17"/>
  <c r="V20" i="19"/>
  <c r="N20" i="19"/>
  <c r="N27" i="20"/>
  <c r="V27" i="20"/>
  <c r="AJ43" i="15"/>
  <c r="AB43" i="15"/>
  <c r="AI18" i="24"/>
  <c r="AQ18" i="24"/>
  <c r="AJ31" i="23"/>
  <c r="AB31" i="23"/>
  <c r="V23" i="21"/>
  <c r="N23" i="21"/>
  <c r="AJ34" i="20"/>
  <c r="AB34" i="20"/>
  <c r="AQ26" i="20"/>
  <c r="AI26" i="20"/>
  <c r="AI34" i="23"/>
  <c r="AC26" i="24"/>
  <c r="U26" i="24"/>
  <c r="AI16" i="21"/>
  <c r="AQ16" i="21"/>
  <c r="AP18" i="24"/>
  <c r="AQ38" i="22"/>
  <c r="AI38" i="22"/>
  <c r="AJ38" i="22" s="1"/>
  <c r="AP30" i="26"/>
  <c r="AJ31" i="25"/>
  <c r="AB31" i="25"/>
  <c r="V28" i="22"/>
  <c r="N28" i="22"/>
  <c r="V23" i="25"/>
  <c r="N23" i="25"/>
  <c r="AJ31" i="22"/>
  <c r="AB31" i="22"/>
  <c r="AB30" i="28"/>
  <c r="AJ30" i="28"/>
  <c r="AI20" i="29"/>
  <c r="AQ20" i="29"/>
  <c r="O42" i="24"/>
  <c r="N17" i="27"/>
  <c r="V17" i="27"/>
  <c r="AP16" i="27"/>
  <c r="AP31" i="27"/>
  <c r="N36" i="27"/>
  <c r="O36" i="27" s="1"/>
  <c r="AC28" i="28"/>
  <c r="U28" i="28"/>
  <c r="V38" i="28"/>
  <c r="N38" i="28"/>
  <c r="U38" i="29"/>
  <c r="AC38" i="29"/>
  <c r="AQ31" i="28"/>
  <c r="AI31" i="28"/>
  <c r="AI15" i="29"/>
  <c r="AJ15" i="29" s="1"/>
  <c r="AG29" i="29"/>
  <c r="N40" i="28"/>
  <c r="N30" i="32"/>
  <c r="E27" i="3" s="1"/>
  <c r="V30" i="32"/>
  <c r="E26" i="3"/>
  <c r="AQ36" i="30"/>
  <c r="AI36" i="30"/>
  <c r="AJ36" i="30" s="1"/>
  <c r="AI17" i="30"/>
  <c r="AQ17" i="30"/>
  <c r="AI30" i="29"/>
  <c r="AQ30" i="29"/>
  <c r="U26" i="31"/>
  <c r="AC26" i="31"/>
  <c r="O32" i="30"/>
  <c r="U34" i="30"/>
  <c r="AC34" i="30"/>
  <c r="N33" i="31"/>
  <c r="N35" i="31"/>
  <c r="AJ32" i="31"/>
  <c r="AB32" i="31"/>
  <c r="AJ27" i="31"/>
  <c r="AB27" i="31"/>
  <c r="U33" i="32"/>
  <c r="AC33" i="32"/>
  <c r="AP27" i="31"/>
  <c r="AB17" i="33"/>
  <c r="AJ17" i="33"/>
  <c r="AI23" i="33"/>
  <c r="AQ23" i="33"/>
  <c r="AB24" i="33"/>
  <c r="AJ24" i="33"/>
  <c r="U30" i="33"/>
  <c r="AC30" i="33"/>
  <c r="O33" i="33"/>
  <c r="U19" i="34"/>
  <c r="V27" i="34"/>
  <c r="N27" i="34"/>
  <c r="AI41" i="35"/>
  <c r="AJ41" i="35" s="1"/>
  <c r="AQ41" i="35"/>
  <c r="O15" i="36"/>
  <c r="H29" i="36"/>
  <c r="O19" i="36"/>
  <c r="AQ31" i="35"/>
  <c r="AI31" i="35"/>
  <c r="V18" i="37"/>
  <c r="N18" i="37"/>
  <c r="AI35" i="36"/>
  <c r="AQ35" i="36"/>
  <c r="AB22" i="36"/>
  <c r="AJ22" i="36"/>
  <c r="N18" i="39"/>
  <c r="V18" i="39"/>
  <c r="AB41" i="38"/>
  <c r="AC41" i="38" s="1"/>
  <c r="AJ33" i="38"/>
  <c r="AB33" i="38"/>
  <c r="F37" i="38"/>
  <c r="H37" i="38" s="1"/>
  <c r="H46" i="38"/>
  <c r="AN29" i="39"/>
  <c r="AP15" i="39"/>
  <c r="AQ15" i="39" s="1"/>
  <c r="AI40" i="39"/>
  <c r="AC40" i="39"/>
  <c r="U40" i="39"/>
  <c r="V40" i="39" s="1"/>
  <c r="AJ20" i="40"/>
  <c r="AB20" i="40"/>
  <c r="AB40" i="39"/>
  <c r="AJ40" i="39"/>
  <c r="AC38" i="40"/>
  <c r="U38" i="40"/>
  <c r="AC31" i="40"/>
  <c r="U31" i="40"/>
  <c r="AB26" i="40"/>
  <c r="AJ26" i="40"/>
  <c r="AB41" i="40"/>
  <c r="AC41" i="40" s="1"/>
  <c r="AC38" i="41"/>
  <c r="U38" i="41"/>
  <c r="AJ22" i="14"/>
  <c r="AB22" i="14"/>
  <c r="AJ16" i="13"/>
  <c r="AB16" i="13"/>
  <c r="AB26" i="11"/>
  <c r="AJ26" i="11"/>
  <c r="V31" i="12"/>
  <c r="N31" i="12"/>
  <c r="AJ17" i="10"/>
  <c r="AB17" i="10"/>
  <c r="AI21" i="15"/>
  <c r="AQ21" i="15"/>
  <c r="R8" i="3"/>
  <c r="N41" i="11"/>
  <c r="O41" i="11" s="1"/>
  <c r="N43" i="10"/>
  <c r="AQ33" i="12"/>
  <c r="AI33" i="12"/>
  <c r="N19" i="13"/>
  <c r="V19" i="13"/>
  <c r="H29" i="11"/>
  <c r="V17" i="14"/>
  <c r="N17" i="14"/>
  <c r="AJ31" i="12"/>
  <c r="AB31" i="12"/>
  <c r="AC33" i="9"/>
  <c r="U33" i="9"/>
  <c r="N23" i="11"/>
  <c r="V23" i="11"/>
  <c r="AI38" i="10"/>
  <c r="AQ38" i="10"/>
  <c r="AQ33" i="11"/>
  <c r="AI33" i="11"/>
  <c r="AI31" i="13"/>
  <c r="AQ31" i="13"/>
  <c r="AB18" i="10"/>
  <c r="AJ18" i="10"/>
  <c r="H29" i="14"/>
  <c r="AI17" i="9"/>
  <c r="AQ17" i="9"/>
  <c r="AJ32" i="39"/>
  <c r="AB32" i="39"/>
  <c r="U22" i="40"/>
  <c r="V22" i="40" s="1"/>
  <c r="AC22" i="40"/>
  <c r="N19" i="39"/>
  <c r="O19" i="39" s="1"/>
  <c r="AQ32" i="40"/>
  <c r="AI32" i="40"/>
  <c r="AJ23" i="40"/>
  <c r="AB23" i="40"/>
  <c r="AQ26" i="41"/>
  <c r="AI26" i="41"/>
  <c r="U38" i="17"/>
  <c r="AQ21" i="14"/>
  <c r="AI21" i="14"/>
  <c r="H29" i="13"/>
  <c r="O15" i="13"/>
  <c r="AB16" i="12"/>
  <c r="AJ16" i="12"/>
  <c r="AC25" i="12"/>
  <c r="U25" i="12"/>
  <c r="O15" i="10"/>
  <c r="H29" i="10"/>
  <c r="N15" i="10"/>
  <c r="AQ32" i="11"/>
  <c r="AI32" i="11"/>
  <c r="AB41" i="10"/>
  <c r="AC41" i="10" s="1"/>
  <c r="AB23" i="9"/>
  <c r="AJ23" i="9"/>
  <c r="AP41" i="12"/>
  <c r="V15" i="11"/>
  <c r="L29" i="11"/>
  <c r="N15" i="11"/>
  <c r="O15" i="11" s="1"/>
  <c r="AB33" i="9"/>
  <c r="AJ33" i="9"/>
  <c r="AB30" i="10"/>
  <c r="AJ30" i="10"/>
  <c r="AB30" i="9"/>
  <c r="AJ30" i="9"/>
  <c r="N44" i="10"/>
  <c r="O44" i="10" s="1"/>
  <c r="V44" i="10"/>
  <c r="U44" i="10"/>
  <c r="AB24" i="13"/>
  <c r="AJ24" i="13"/>
  <c r="U43" i="10"/>
  <c r="V43" i="10" s="1"/>
  <c r="N18" i="10"/>
  <c r="V18" i="10"/>
  <c r="AP43" i="15"/>
  <c r="AQ30" i="10"/>
  <c r="AI30" i="10"/>
  <c r="N42" i="9"/>
  <c r="AB25" i="9"/>
  <c r="AJ25" i="9"/>
  <c r="AI36" i="9"/>
  <c r="N34" i="41"/>
  <c r="V34" i="41"/>
  <c r="N43" i="38"/>
  <c r="O43" i="38" s="1"/>
  <c r="N45" i="36"/>
  <c r="O45" i="36" s="1"/>
  <c r="V45" i="36"/>
  <c r="V31" i="34"/>
  <c r="N31" i="34"/>
  <c r="U32" i="34"/>
  <c r="AC32" i="34"/>
  <c r="AC27" i="33"/>
  <c r="U27" i="33"/>
  <c r="U32" i="30"/>
  <c r="V32" i="30" s="1"/>
  <c r="AC32" i="30"/>
  <c r="AJ30" i="30"/>
  <c r="AB30" i="30"/>
  <c r="AI23" i="29"/>
  <c r="AQ23" i="29"/>
  <c r="N45" i="30"/>
  <c r="O45" i="30" s="1"/>
  <c r="AI38" i="28"/>
  <c r="AQ38" i="28"/>
  <c r="AI41" i="27"/>
  <c r="AJ41" i="27" s="1"/>
  <c r="AJ43" i="26"/>
  <c r="AB43" i="26"/>
  <c r="AC32" i="26"/>
  <c r="U32" i="26"/>
  <c r="V32" i="26" s="1"/>
  <c r="AI20" i="30"/>
  <c r="AQ20" i="30"/>
  <c r="U34" i="20"/>
  <c r="V34" i="20" s="1"/>
  <c r="AC34" i="20"/>
  <c r="N22" i="22"/>
  <c r="V22" i="22"/>
  <c r="V41" i="17"/>
  <c r="L29" i="17"/>
  <c r="N15" i="17"/>
  <c r="O15" i="17" s="1"/>
  <c r="V26" i="40"/>
  <c r="N26" i="40"/>
  <c r="V30" i="38"/>
  <c r="N30" i="38"/>
  <c r="O30" i="38" s="1"/>
  <c r="AJ32" i="36"/>
  <c r="AB32" i="36"/>
  <c r="O30" i="36"/>
  <c r="H29" i="34"/>
  <c r="AI32" i="35"/>
  <c r="AQ32" i="35"/>
  <c r="AI34" i="34"/>
  <c r="AQ34" i="34"/>
  <c r="AB46" i="32"/>
  <c r="AC46" i="32" s="1"/>
  <c r="AJ46" i="32"/>
  <c r="AC17" i="32"/>
  <c r="U17" i="32"/>
  <c r="AI33" i="32"/>
  <c r="AQ33" i="32"/>
  <c r="O28" i="3"/>
  <c r="AI22" i="31"/>
  <c r="AQ22" i="31"/>
  <c r="U20" i="34"/>
  <c r="AC20" i="34"/>
  <c r="W31" i="3" s="1"/>
  <c r="U16" i="29"/>
  <c r="AC16" i="29"/>
  <c r="AB45" i="29"/>
  <c r="AJ45" i="29"/>
  <c r="U33" i="27"/>
  <c r="V33" i="27" s="1"/>
  <c r="AC33" i="27"/>
  <c r="N41" i="28"/>
  <c r="O41" i="28" s="1"/>
  <c r="AB19" i="27"/>
  <c r="V16" i="27"/>
  <c r="N16" i="27"/>
  <c r="O34" i="27"/>
  <c r="AB40" i="25"/>
  <c r="AQ16" i="28"/>
  <c r="AI16" i="28"/>
  <c r="AP35" i="27"/>
  <c r="AJ40" i="27"/>
  <c r="AB40" i="27"/>
  <c r="AC40" i="27" s="1"/>
  <c r="AQ21" i="21"/>
  <c r="AI21" i="21"/>
  <c r="AQ18" i="23"/>
  <c r="AI18" i="23"/>
  <c r="AQ41" i="19"/>
  <c r="AI41" i="19"/>
  <c r="AG37" i="25"/>
  <c r="AF43" i="25"/>
  <c r="AG43" i="25" s="1"/>
  <c r="AF46" i="25"/>
  <c r="AG46" i="25" s="1"/>
  <c r="AC19" i="22"/>
  <c r="U19" i="22"/>
  <c r="V19" i="22" s="1"/>
  <c r="AI20" i="19"/>
  <c r="AQ20" i="19"/>
  <c r="N39" i="18"/>
  <c r="O39" i="18" s="1"/>
  <c r="AC24" i="16"/>
  <c r="U24" i="16"/>
  <c r="AP41" i="19"/>
  <c r="AI22" i="15"/>
  <c r="AQ22" i="15"/>
  <c r="AB42" i="15"/>
  <c r="AC42" i="15" s="1"/>
  <c r="AJ42" i="15"/>
  <c r="AJ15" i="14"/>
  <c r="AB15" i="14"/>
  <c r="AC15" i="14" s="1"/>
  <c r="Z29" i="14"/>
  <c r="N34" i="14"/>
  <c r="N38" i="12"/>
  <c r="U27" i="15"/>
  <c r="AC27" i="15"/>
  <c r="U17" i="19"/>
  <c r="AC17" i="19"/>
  <c r="AC19" i="16"/>
  <c r="U19" i="16"/>
  <c r="AB36" i="15"/>
  <c r="AC36" i="15" s="1"/>
  <c r="U33" i="15"/>
  <c r="AC33" i="15"/>
  <c r="AQ38" i="15"/>
  <c r="AI38" i="15"/>
  <c r="AJ38" i="15" s="1"/>
  <c r="U26" i="20"/>
  <c r="AC26" i="20"/>
  <c r="AI31" i="18"/>
  <c r="AQ31" i="18"/>
  <c r="AI22" i="20"/>
  <c r="AQ22" i="20"/>
  <c r="U31" i="20"/>
  <c r="AC31" i="20"/>
  <c r="O41" i="16"/>
  <c r="AQ17" i="24"/>
  <c r="AI17" i="24"/>
  <c r="AC32" i="21"/>
  <c r="U32" i="21"/>
  <c r="V32" i="21" s="1"/>
  <c r="V24" i="19"/>
  <c r="N24" i="19"/>
  <c r="AJ27" i="19"/>
  <c r="AB27" i="19"/>
  <c r="AI41" i="22"/>
  <c r="N36" i="21"/>
  <c r="O36" i="21" s="1"/>
  <c r="U22" i="19"/>
  <c r="V22" i="19" s="1"/>
  <c r="AC22" i="19"/>
  <c r="O39" i="20"/>
  <c r="AQ16" i="22"/>
  <c r="AI16" i="22"/>
  <c r="AQ25" i="25"/>
  <c r="AI25" i="25"/>
  <c r="U22" i="24"/>
  <c r="AC22" i="24"/>
  <c r="AB34" i="26"/>
  <c r="AJ34" i="26"/>
  <c r="AQ18" i="25"/>
  <c r="AI18" i="25"/>
  <c r="AJ41" i="22"/>
  <c r="AB41" i="22"/>
  <c r="AC41" i="22" s="1"/>
  <c r="AB30" i="27"/>
  <c r="AJ30" i="27"/>
  <c r="H29" i="25"/>
  <c r="O15" i="25"/>
  <c r="V27" i="25"/>
  <c r="N27" i="25"/>
  <c r="AI21" i="27"/>
  <c r="AQ21" i="27"/>
  <c r="R23" i="3"/>
  <c r="AG33" i="27"/>
  <c r="Q22" i="3"/>
  <c r="N45" i="27"/>
  <c r="O45" i="27" s="1"/>
  <c r="AP38" i="28"/>
  <c r="AJ32" i="28"/>
  <c r="AB32" i="28"/>
  <c r="AI25" i="29"/>
  <c r="AQ25" i="29"/>
  <c r="AJ41" i="29"/>
  <c r="AB41" i="29"/>
  <c r="AC41" i="29" s="1"/>
  <c r="AC20" i="31"/>
  <c r="U20" i="31"/>
  <c r="V17" i="28"/>
  <c r="N17" i="28"/>
  <c r="AI22" i="32"/>
  <c r="AQ22" i="32"/>
  <c r="R28" i="3"/>
  <c r="N22" i="31"/>
  <c r="AI41" i="30"/>
  <c r="AQ41" i="30"/>
  <c r="N34" i="31"/>
  <c r="V34" i="31"/>
  <c r="N40" i="31"/>
  <c r="V40" i="31"/>
  <c r="AB24" i="32"/>
  <c r="AJ24" i="32"/>
  <c r="AC43" i="30"/>
  <c r="U27" i="31"/>
  <c r="AC27" i="31"/>
  <c r="N24" i="33"/>
  <c r="V24" i="33"/>
  <c r="N44" i="33"/>
  <c r="V28" i="33"/>
  <c r="N28" i="33"/>
  <c r="AQ31" i="34"/>
  <c r="AI31" i="34"/>
  <c r="L33" i="3"/>
  <c r="AI26" i="35"/>
  <c r="AQ26" i="35"/>
  <c r="N40" i="35"/>
  <c r="O40" i="35" s="1"/>
  <c r="V32" i="34"/>
  <c r="N32" i="34"/>
  <c r="AQ23" i="36"/>
  <c r="AI23" i="36"/>
  <c r="V35" i="36"/>
  <c r="N35" i="36"/>
  <c r="AQ22" i="36"/>
  <c r="AI22" i="36"/>
  <c r="V34" i="35"/>
  <c r="N34" i="35"/>
  <c r="AJ19" i="36"/>
  <c r="AB19" i="36"/>
  <c r="AC19" i="36" s="1"/>
  <c r="AQ30" i="36"/>
  <c r="AI30" i="36"/>
  <c r="U41" i="39"/>
  <c r="V41" i="39" s="1"/>
  <c r="AC41" i="37"/>
  <c r="U41" i="37"/>
  <c r="AQ27" i="37"/>
  <c r="AI27" i="37"/>
  <c r="AC18" i="39"/>
  <c r="U18" i="39"/>
  <c r="V27" i="37"/>
  <c r="N27" i="37"/>
  <c r="AI17" i="39"/>
  <c r="AQ17" i="39"/>
  <c r="V35" i="38"/>
  <c r="N35" i="38"/>
  <c r="AB19" i="39"/>
  <c r="AJ19" i="39"/>
  <c r="U45" i="39"/>
  <c r="V45" i="39" s="1"/>
  <c r="AN43" i="41"/>
  <c r="AJ45" i="41"/>
  <c r="AB45" i="41"/>
  <c r="AC45" i="41" s="1"/>
  <c r="O19" i="41"/>
  <c r="AQ18" i="41"/>
  <c r="AI18" i="41"/>
  <c r="AJ21" i="41"/>
  <c r="AB21" i="41"/>
  <c r="U45" i="40"/>
  <c r="U17" i="40"/>
  <c r="AC17" i="40"/>
  <c r="AP22" i="40"/>
  <c r="AC30" i="41"/>
  <c r="U30" i="41"/>
  <c r="V30" i="41" s="1"/>
  <c r="L44" i="40"/>
  <c r="AI34" i="39"/>
  <c r="AQ34" i="39"/>
  <c r="N33" i="40"/>
  <c r="V33" i="40"/>
  <c r="L46" i="39"/>
  <c r="J37" i="39"/>
  <c r="L37" i="39" s="1"/>
  <c r="O41" i="38"/>
  <c r="U33" i="38"/>
  <c r="V33" i="38" s="1"/>
  <c r="AC33" i="38"/>
  <c r="AJ44" i="40"/>
  <c r="AB44" i="40"/>
  <c r="AC44" i="40" s="1"/>
  <c r="AP25" i="38"/>
  <c r="AP18" i="38"/>
  <c r="AP36" i="38"/>
  <c r="AQ36" i="38" s="1"/>
  <c r="N22" i="40"/>
  <c r="AQ19" i="38"/>
  <c r="AI19" i="38"/>
  <c r="AJ33" i="37"/>
  <c r="AB33" i="37"/>
  <c r="AI30" i="37"/>
  <c r="AQ30" i="37"/>
  <c r="AB25" i="38"/>
  <c r="AJ25" i="38"/>
  <c r="AB45" i="37"/>
  <c r="AQ50" i="37"/>
  <c r="AI50" i="37"/>
  <c r="AP50" i="37"/>
  <c r="U26" i="36"/>
  <c r="AC26" i="36"/>
  <c r="N44" i="36"/>
  <c r="O37" i="37"/>
  <c r="AP21" i="37"/>
  <c r="AI26" i="36"/>
  <c r="AQ26" i="36"/>
  <c r="AC35" i="35"/>
  <c r="U35" i="35"/>
  <c r="N16" i="35"/>
  <c r="V16" i="35"/>
  <c r="AP46" i="34"/>
  <c r="AQ46" i="34" s="1"/>
  <c r="AB24" i="37"/>
  <c r="AJ24" i="37"/>
  <c r="AI34" i="35"/>
  <c r="AQ34" i="35"/>
  <c r="O32" i="34"/>
  <c r="V20" i="35"/>
  <c r="N20" i="35"/>
  <c r="L29" i="34"/>
  <c r="N15" i="34"/>
  <c r="O15" i="34" s="1"/>
  <c r="AJ36" i="33"/>
  <c r="AB36" i="33"/>
  <c r="AC36" i="33" s="1"/>
  <c r="U37" i="32"/>
  <c r="AC43" i="32"/>
  <c r="U43" i="32"/>
  <c r="V43" i="32" s="1"/>
  <c r="N36" i="33"/>
  <c r="AQ17" i="36"/>
  <c r="AI17" i="36"/>
  <c r="AB32" i="32"/>
  <c r="AJ32" i="32"/>
  <c r="AJ41" i="34"/>
  <c r="AB41" i="34"/>
  <c r="AC41" i="34" s="1"/>
  <c r="N25" i="32"/>
  <c r="V25" i="32"/>
  <c r="U44" i="31"/>
  <c r="AP41" i="31"/>
  <c r="AQ41" i="31" s="1"/>
  <c r="N32" i="33"/>
  <c r="V32" i="33"/>
  <c r="S46" i="31"/>
  <c r="Z44" i="32"/>
  <c r="AQ20" i="32"/>
  <c r="AI20" i="32"/>
  <c r="AB31" i="32"/>
  <c r="AJ31" i="32"/>
  <c r="AG44" i="32"/>
  <c r="AI19" i="31"/>
  <c r="H29" i="31"/>
  <c r="O15" i="31"/>
  <c r="AP26" i="33"/>
  <c r="AI17" i="31"/>
  <c r="AQ17" i="31"/>
  <c r="AB36" i="29"/>
  <c r="AC36" i="29" s="1"/>
  <c r="AJ36" i="29"/>
  <c r="AI40" i="29"/>
  <c r="AJ40" i="29" s="1"/>
  <c r="N36" i="32"/>
  <c r="O36" i="32" s="1"/>
  <c r="N41" i="30"/>
  <c r="AC45" i="29"/>
  <c r="U45" i="29"/>
  <c r="V45" i="29" s="1"/>
  <c r="N28" i="29"/>
  <c r="V28" i="29"/>
  <c r="AQ37" i="28"/>
  <c r="AI37" i="28"/>
  <c r="V23" i="30"/>
  <c r="N23" i="30"/>
  <c r="U40" i="28"/>
  <c r="V40" i="28" s="1"/>
  <c r="AC40" i="28"/>
  <c r="U24" i="30"/>
  <c r="AC24" i="30"/>
  <c r="AN29" i="27"/>
  <c r="AP15" i="27"/>
  <c r="AQ15" i="27" s="1"/>
  <c r="AB26" i="29"/>
  <c r="AJ26" i="29"/>
  <c r="AP28" i="28"/>
  <c r="AB16" i="30"/>
  <c r="AJ16" i="30"/>
  <c r="AB36" i="27"/>
  <c r="AB33" i="29"/>
  <c r="AJ33" i="29"/>
  <c r="N30" i="27"/>
  <c r="O30" i="27" s="1"/>
  <c r="AQ43" i="27"/>
  <c r="AI43" i="27"/>
  <c r="AJ43" i="27" s="1"/>
  <c r="AQ18" i="27"/>
  <c r="AI18" i="27"/>
  <c r="N19" i="26"/>
  <c r="V19" i="26"/>
  <c r="AP25" i="25"/>
  <c r="S44" i="27"/>
  <c r="O40" i="25"/>
  <c r="U25" i="24"/>
  <c r="AC25" i="24"/>
  <c r="AQ34" i="25"/>
  <c r="AI34" i="25"/>
  <c r="U43" i="23"/>
  <c r="AC43" i="23"/>
  <c r="V35" i="26"/>
  <c r="N35" i="26"/>
  <c r="L44" i="26"/>
  <c r="AI18" i="26"/>
  <c r="AQ18" i="26"/>
  <c r="U45" i="27"/>
  <c r="V45" i="27" s="1"/>
  <c r="N17" i="23"/>
  <c r="V17" i="23"/>
  <c r="N19" i="27"/>
  <c r="O19" i="27" s="1"/>
  <c r="V35" i="25"/>
  <c r="N35" i="25"/>
  <c r="N17" i="29"/>
  <c r="V17" i="29"/>
  <c r="N45" i="26"/>
  <c r="O45" i="26" s="1"/>
  <c r="AN34" i="24"/>
  <c r="AP34" i="24" s="1"/>
  <c r="AI31" i="23"/>
  <c r="AQ31" i="23"/>
  <c r="AB28" i="20"/>
  <c r="AJ28" i="20"/>
  <c r="AB38" i="24"/>
  <c r="AI23" i="24"/>
  <c r="AQ23" i="24"/>
  <c r="N32" i="22"/>
  <c r="O32" i="22" s="1"/>
  <c r="V32" i="22"/>
  <c r="N22" i="21"/>
  <c r="V22" i="21"/>
  <c r="U27" i="20"/>
  <c r="AC27" i="20"/>
  <c r="U34" i="24"/>
  <c r="V34" i="24" s="1"/>
  <c r="AQ19" i="24"/>
  <c r="AI19" i="24"/>
  <c r="AJ19" i="24" s="1"/>
  <c r="AI48" i="24"/>
  <c r="AP18" i="23"/>
  <c r="AQ47" i="21"/>
  <c r="AI47" i="21"/>
  <c r="AJ47" i="21" s="1"/>
  <c r="N38" i="23"/>
  <c r="O38" i="23" s="1"/>
  <c r="V38" i="23"/>
  <c r="AP20" i="21"/>
  <c r="V39" i="24"/>
  <c r="N39" i="24"/>
  <c r="O39" i="24" s="1"/>
  <c r="N31" i="23"/>
  <c r="V31" i="23"/>
  <c r="AN29" i="23"/>
  <c r="AP15" i="23"/>
  <c r="AQ15" i="23" s="1"/>
  <c r="AP24" i="21"/>
  <c r="O43" i="24"/>
  <c r="AB31" i="19"/>
  <c r="AJ31" i="19"/>
  <c r="AB19" i="18"/>
  <c r="AJ19" i="18"/>
  <c r="AB19" i="21"/>
  <c r="AJ19" i="21"/>
  <c r="AI35" i="19"/>
  <c r="AJ35" i="19" s="1"/>
  <c r="AQ35" i="19"/>
  <c r="AI42" i="18"/>
  <c r="Z39" i="21"/>
  <c r="AI39" i="21" s="1"/>
  <c r="O19" i="19"/>
  <c r="G46" i="25"/>
  <c r="H46" i="25" s="1"/>
  <c r="AJ33" i="25"/>
  <c r="G44" i="25"/>
  <c r="H44" i="25" s="1"/>
  <c r="U36" i="19"/>
  <c r="AC36" i="19"/>
  <c r="AB21" i="20"/>
  <c r="AJ21" i="20"/>
  <c r="V28" i="21"/>
  <c r="N28" i="21"/>
  <c r="AQ42" i="16"/>
  <c r="AI42" i="16"/>
  <c r="AB18" i="18"/>
  <c r="AJ18" i="18"/>
  <c r="N27" i="16"/>
  <c r="V27" i="16"/>
  <c r="AJ23" i="18"/>
  <c r="AB23" i="18"/>
  <c r="U43" i="17"/>
  <c r="V43" i="17" s="1"/>
  <c r="AP41" i="21"/>
  <c r="AQ41" i="21" s="1"/>
  <c r="AJ23" i="23"/>
  <c r="AB23" i="23"/>
  <c r="O46" i="17"/>
  <c r="N46" i="17"/>
  <c r="AC23" i="16"/>
  <c r="U23" i="16"/>
  <c r="S29" i="17"/>
  <c r="AC15" i="17"/>
  <c r="U15" i="17"/>
  <c r="V15" i="17" s="1"/>
  <c r="AC31" i="19"/>
  <c r="U31" i="19"/>
  <c r="AP28" i="17"/>
  <c r="AQ22" i="18"/>
  <c r="AI22" i="18"/>
  <c r="AP41" i="16"/>
  <c r="AB43" i="14"/>
  <c r="AC43" i="14" s="1"/>
  <c r="AC39" i="15"/>
  <c r="U39" i="15"/>
  <c r="V39" i="15" s="1"/>
  <c r="U32" i="19"/>
  <c r="V32" i="19" s="1"/>
  <c r="AC32" i="19"/>
  <c r="N22" i="15"/>
  <c r="V22" i="15"/>
  <c r="AQ28" i="20"/>
  <c r="AI28" i="20"/>
  <c r="V24" i="18"/>
  <c r="N24" i="18"/>
  <c r="AQ16" i="16"/>
  <c r="AI16" i="16"/>
  <c r="U18" i="15"/>
  <c r="AC18" i="15"/>
  <c r="AB33" i="14"/>
  <c r="AJ33" i="14"/>
  <c r="O39" i="14"/>
  <c r="AP44" i="20"/>
  <c r="AQ44" i="20" s="1"/>
  <c r="N48" i="19"/>
  <c r="AB43" i="13"/>
  <c r="AC43" i="13" s="1"/>
  <c r="AQ45" i="12"/>
  <c r="AI45" i="12"/>
  <c r="AJ45" i="12" s="1"/>
  <c r="V19" i="14"/>
  <c r="N19" i="14"/>
  <c r="N22" i="13"/>
  <c r="V22" i="13"/>
  <c r="AQ25" i="12"/>
  <c r="AI25" i="12"/>
  <c r="N35" i="11"/>
  <c r="O35" i="11" s="1"/>
  <c r="AQ22" i="10"/>
  <c r="AI22" i="10"/>
  <c r="U20" i="13"/>
  <c r="AC20" i="13"/>
  <c r="U43" i="14"/>
  <c r="V43" i="14" s="1"/>
  <c r="N43" i="15"/>
  <c r="O43" i="15" s="1"/>
  <c r="V43" i="15"/>
  <c r="U28" i="14"/>
  <c r="AC28" i="14"/>
  <c r="AI34" i="14"/>
  <c r="AJ34" i="14" s="1"/>
  <c r="N43" i="12"/>
  <c r="O38" i="15"/>
  <c r="U43" i="15"/>
  <c r="AC43" i="15"/>
  <c r="U34" i="19"/>
  <c r="V34" i="19" s="1"/>
  <c r="AP25" i="19"/>
  <c r="O42" i="16"/>
  <c r="O32" i="19"/>
  <c r="AI28" i="21"/>
  <c r="AQ28" i="21"/>
  <c r="V16" i="25"/>
  <c r="N16" i="25"/>
  <c r="U38" i="25"/>
  <c r="AC38" i="25"/>
  <c r="AQ25" i="21"/>
  <c r="AI25" i="21"/>
  <c r="AP15" i="25"/>
  <c r="AQ15" i="25" s="1"/>
  <c r="AN29" i="25"/>
  <c r="AJ15" i="25"/>
  <c r="AB15" i="25"/>
  <c r="AC15" i="25" s="1"/>
  <c r="U31" i="27"/>
  <c r="AC31" i="27"/>
  <c r="U38" i="27"/>
  <c r="AC38" i="27"/>
  <c r="AP15" i="28"/>
  <c r="AQ15" i="28" s="1"/>
  <c r="AN29" i="28"/>
  <c r="U23" i="30"/>
  <c r="AC23" i="30"/>
  <c r="AI38" i="33"/>
  <c r="AQ38" i="33"/>
  <c r="AC23" i="31"/>
  <c r="U23" i="31"/>
  <c r="AB38" i="31"/>
  <c r="AJ38" i="31"/>
  <c r="AC15" i="33"/>
  <c r="S29" i="33"/>
  <c r="U15" i="33"/>
  <c r="V38" i="34"/>
  <c r="N38" i="34"/>
  <c r="N26" i="11"/>
  <c r="V26" i="11"/>
  <c r="AP31" i="9"/>
  <c r="AI46" i="12"/>
  <c r="AJ46" i="12" s="1"/>
  <c r="AP46" i="12"/>
  <c r="AQ46" i="12" s="1"/>
  <c r="S29" i="12"/>
  <c r="AC15" i="12"/>
  <c r="U15" i="12"/>
  <c r="V15" i="12" s="1"/>
  <c r="AQ23" i="16"/>
  <c r="AI23" i="16"/>
  <c r="AJ26" i="12"/>
  <c r="AB26" i="12"/>
  <c r="V28" i="11"/>
  <c r="N28" i="11"/>
  <c r="V24" i="9"/>
  <c r="N24" i="9"/>
  <c r="O43" i="9"/>
  <c r="AI22" i="9"/>
  <c r="AQ22" i="9"/>
  <c r="AP38" i="9"/>
  <c r="AQ38" i="9" s="1"/>
  <c r="AB43" i="10"/>
  <c r="AC43" i="10" s="1"/>
  <c r="AJ43" i="10"/>
  <c r="AJ39" i="12"/>
  <c r="AB39" i="12"/>
  <c r="AI19" i="11"/>
  <c r="AQ19" i="11"/>
  <c r="AC25" i="10"/>
  <c r="U25" i="10"/>
  <c r="N33" i="9"/>
  <c r="V33" i="9"/>
  <c r="AI41" i="10"/>
  <c r="AJ41" i="10" s="1"/>
  <c r="AQ41" i="10"/>
  <c r="N45" i="10"/>
  <c r="O45" i="10" s="1"/>
  <c r="AC30" i="10"/>
  <c r="U30" i="10"/>
  <c r="AB36" i="11"/>
  <c r="AC36" i="11" s="1"/>
  <c r="U26" i="10"/>
  <c r="AC26" i="10"/>
  <c r="AI24" i="10"/>
  <c r="AQ24" i="10"/>
  <c r="U27" i="41"/>
  <c r="AC27" i="41"/>
  <c r="AI40" i="41"/>
  <c r="AJ40" i="41" s="1"/>
  <c r="AQ40" i="41"/>
  <c r="Z36" i="41"/>
  <c r="AI36" i="41" s="1"/>
  <c r="AJ18" i="41"/>
  <c r="AB18" i="41"/>
  <c r="U17" i="41"/>
  <c r="AC17" i="41"/>
  <c r="AJ50" i="41"/>
  <c r="AB50" i="41"/>
  <c r="AQ49" i="40"/>
  <c r="AI49" i="40"/>
  <c r="AJ49" i="40" s="1"/>
  <c r="AQ41" i="40"/>
  <c r="AI41" i="40"/>
  <c r="AJ41" i="40" s="1"/>
  <c r="N34" i="40"/>
  <c r="V34" i="40"/>
  <c r="AB41" i="39"/>
  <c r="AC41" i="39" s="1"/>
  <c r="AP40" i="39"/>
  <c r="AQ40" i="39" s="1"/>
  <c r="AI24" i="39"/>
  <c r="AQ24" i="39"/>
  <c r="AI30" i="39"/>
  <c r="AQ30" i="39"/>
  <c r="N20" i="39"/>
  <c r="V20" i="39"/>
  <c r="AJ35" i="40"/>
  <c r="AB35" i="40"/>
  <c r="AB28" i="39"/>
  <c r="AJ28" i="39"/>
  <c r="Q37" i="39"/>
  <c r="S37" i="39" s="1"/>
  <c r="S46" i="39"/>
  <c r="N16" i="39"/>
  <c r="V16" i="39"/>
  <c r="AP19" i="39"/>
  <c r="L44" i="39"/>
  <c r="V15" i="38"/>
  <c r="N15" i="38"/>
  <c r="O15" i="38" s="1"/>
  <c r="L29" i="38"/>
  <c r="O30" i="37"/>
  <c r="N36" i="37"/>
  <c r="H44" i="37"/>
  <c r="AC31" i="38"/>
  <c r="U31" i="38"/>
  <c r="AP38" i="37"/>
  <c r="AC24" i="37"/>
  <c r="U24" i="37"/>
  <c r="AC43" i="38"/>
  <c r="U43" i="38"/>
  <c r="V43" i="38" s="1"/>
  <c r="AB49" i="37"/>
  <c r="AC49" i="37" s="1"/>
  <c r="AJ49" i="37"/>
  <c r="AB30" i="36"/>
  <c r="AJ30" i="36"/>
  <c r="AJ28" i="37"/>
  <c r="AB28" i="37"/>
  <c r="N40" i="36"/>
  <c r="V40" i="36"/>
  <c r="N22" i="38"/>
  <c r="AI18" i="37"/>
  <c r="AQ18" i="37"/>
  <c r="N45" i="37"/>
  <c r="O45" i="37" s="1"/>
  <c r="AG43" i="38"/>
  <c r="U35" i="36"/>
  <c r="AC35" i="36"/>
  <c r="AJ27" i="36"/>
  <c r="AB27" i="36"/>
  <c r="AG46" i="36"/>
  <c r="AP46" i="36" s="1"/>
  <c r="AC30" i="36"/>
  <c r="U30" i="36"/>
  <c r="V17" i="36"/>
  <c r="N17" i="36"/>
  <c r="V26" i="34"/>
  <c r="N26" i="34"/>
  <c r="AB45" i="33"/>
  <c r="AC45" i="33" s="1"/>
  <c r="AJ38" i="34"/>
  <c r="AB38" i="34"/>
  <c r="AQ23" i="35"/>
  <c r="AI23" i="35"/>
  <c r="O41" i="34"/>
  <c r="U38" i="35"/>
  <c r="AC38" i="35"/>
  <c r="U22" i="37"/>
  <c r="V22" i="37" s="1"/>
  <c r="AC22" i="37"/>
  <c r="U36" i="33"/>
  <c r="V36" i="33" s="1"/>
  <c r="V16" i="33"/>
  <c r="N16" i="33"/>
  <c r="AC30" i="34"/>
  <c r="U30" i="34"/>
  <c r="F32" i="3" s="1"/>
  <c r="F33" i="3" s="1"/>
  <c r="F31" i="3"/>
  <c r="O21" i="33"/>
  <c r="N21" i="33"/>
  <c r="AJ35" i="33"/>
  <c r="AB35" i="33"/>
  <c r="V26" i="35"/>
  <c r="N26" i="35"/>
  <c r="S43" i="33"/>
  <c r="AB43" i="33" s="1"/>
  <c r="H46" i="31"/>
  <c r="U34" i="31"/>
  <c r="AC34" i="31"/>
  <c r="AG43" i="33"/>
  <c r="AI40" i="31"/>
  <c r="AJ40" i="31" s="1"/>
  <c r="AQ40" i="31"/>
  <c r="AN46" i="33"/>
  <c r="V27" i="32"/>
  <c r="N27" i="32"/>
  <c r="AQ17" i="34"/>
  <c r="AI17" i="34"/>
  <c r="AP32" i="31"/>
  <c r="U25" i="33"/>
  <c r="AC25" i="33"/>
  <c r="AI33" i="31"/>
  <c r="AQ33" i="31"/>
  <c r="AJ46" i="30"/>
  <c r="AB46" i="30"/>
  <c r="U35" i="30"/>
  <c r="AC35" i="30"/>
  <c r="AC22" i="31"/>
  <c r="U22" i="31"/>
  <c r="V22" i="31" s="1"/>
  <c r="S44" i="30"/>
  <c r="N35" i="30"/>
  <c r="V35" i="30"/>
  <c r="AP31" i="31"/>
  <c r="AP32" i="32"/>
  <c r="N41" i="33"/>
  <c r="AQ35" i="33"/>
  <c r="AI35" i="33"/>
  <c r="O44" i="29"/>
  <c r="L43" i="30"/>
  <c r="H43" i="30"/>
  <c r="AI16" i="33"/>
  <c r="AQ16" i="33"/>
  <c r="AP18" i="30"/>
  <c r="AC36" i="32"/>
  <c r="U36" i="32"/>
  <c r="V36" i="32" s="1"/>
  <c r="AB32" i="29"/>
  <c r="AJ32" i="29"/>
  <c r="AQ18" i="31"/>
  <c r="AI18" i="31"/>
  <c r="AB45" i="27"/>
  <c r="AC45" i="27" s="1"/>
  <c r="AB25" i="28"/>
  <c r="AJ25" i="28"/>
  <c r="AP36" i="31"/>
  <c r="AQ36" i="31" s="1"/>
  <c r="AB36" i="28"/>
  <c r="AC36" i="28" s="1"/>
  <c r="AJ36" i="28"/>
  <c r="N44" i="27"/>
  <c r="U35" i="28"/>
  <c r="AP37" i="29"/>
  <c r="AQ44" i="28"/>
  <c r="AI44" i="28"/>
  <c r="AJ44" i="28" s="1"/>
  <c r="Z44" i="27"/>
  <c r="AQ33" i="28"/>
  <c r="AI33" i="28"/>
  <c r="AB31" i="26"/>
  <c r="AJ31" i="26"/>
  <c r="AP31" i="25"/>
  <c r="AI37" i="26"/>
  <c r="AQ37" i="26"/>
  <c r="U43" i="28"/>
  <c r="AI38" i="26"/>
  <c r="AQ38" i="26"/>
  <c r="AG46" i="27"/>
  <c r="AQ27" i="27"/>
  <c r="AI27" i="27"/>
  <c r="AB27" i="25"/>
  <c r="AJ27" i="25"/>
  <c r="AQ22" i="27"/>
  <c r="AI22" i="27"/>
  <c r="AQ26" i="24"/>
  <c r="AI26" i="24"/>
  <c r="O19" i="30"/>
  <c r="AP22" i="26"/>
  <c r="AP38" i="25"/>
  <c r="AP21" i="22"/>
  <c r="AJ21" i="26"/>
  <c r="AB21" i="26"/>
  <c r="AC21" i="26" s="1"/>
  <c r="U27" i="24"/>
  <c r="AC27" i="24"/>
  <c r="AP28" i="24"/>
  <c r="AQ27" i="22"/>
  <c r="AI27" i="22"/>
  <c r="L34" i="21"/>
  <c r="AQ46" i="24"/>
  <c r="AI46" i="24"/>
  <c r="AJ46" i="24" s="1"/>
  <c r="AC24" i="25"/>
  <c r="U24" i="25"/>
  <c r="O45" i="24"/>
  <c r="AQ25" i="22"/>
  <c r="AI25" i="22"/>
  <c r="O38" i="24"/>
  <c r="AC23" i="24"/>
  <c r="U23" i="24"/>
  <c r="AB31" i="20"/>
  <c r="AJ31" i="20"/>
  <c r="AP48" i="24"/>
  <c r="AQ48" i="24" s="1"/>
  <c r="AB20" i="22"/>
  <c r="AJ20" i="22"/>
  <c r="H38" i="20"/>
  <c r="N38" i="20" s="1"/>
  <c r="AP35" i="21"/>
  <c r="AQ35" i="21" s="1"/>
  <c r="V16" i="20"/>
  <c r="N16" i="20"/>
  <c r="V23" i="23"/>
  <c r="N23" i="23"/>
  <c r="AN34" i="19"/>
  <c r="AP34" i="19" s="1"/>
  <c r="AQ34" i="19" s="1"/>
  <c r="AI36" i="18"/>
  <c r="AJ36" i="18" s="1"/>
  <c r="AQ31" i="24"/>
  <c r="AI31" i="24"/>
  <c r="Z42" i="21"/>
  <c r="L20" i="25"/>
  <c r="AP37" i="25"/>
  <c r="H33" i="25"/>
  <c r="V32" i="24"/>
  <c r="N32" i="24"/>
  <c r="O32" i="24" s="1"/>
  <c r="AP19" i="22"/>
  <c r="AQ19" i="22" s="1"/>
  <c r="U42" i="19"/>
  <c r="V42" i="19" s="1"/>
  <c r="AC42" i="19"/>
  <c r="U35" i="21"/>
  <c r="AQ36" i="19"/>
  <c r="AI36" i="19"/>
  <c r="AJ25" i="18"/>
  <c r="AB25" i="18"/>
  <c r="N44" i="21"/>
  <c r="O44" i="21" s="1"/>
  <c r="V44" i="21"/>
  <c r="AP42" i="19"/>
  <c r="AQ42" i="19" s="1"/>
  <c r="AJ20" i="19"/>
  <c r="AB20" i="19"/>
  <c r="AP20" i="19"/>
  <c r="AN42" i="17"/>
  <c r="AP42" i="17" s="1"/>
  <c r="AQ42" i="17" s="1"/>
  <c r="AQ19" i="17"/>
  <c r="AI19" i="17"/>
  <c r="AP41" i="15"/>
  <c r="AI36" i="22"/>
  <c r="AJ36" i="22" s="1"/>
  <c r="AQ36" i="22"/>
  <c r="AC30" i="19"/>
  <c r="U30" i="19"/>
  <c r="V30" i="19" s="1"/>
  <c r="AB21" i="18"/>
  <c r="AJ21" i="18"/>
  <c r="AP22" i="21"/>
  <c r="AQ18" i="19"/>
  <c r="AI18" i="19"/>
  <c r="AP24" i="18"/>
  <c r="AI26" i="21"/>
  <c r="AQ26" i="21"/>
  <c r="AJ45" i="16"/>
  <c r="AB45" i="16"/>
  <c r="AC45" i="16" s="1"/>
  <c r="V30" i="16"/>
  <c r="N30" i="16"/>
  <c r="O30" i="16" s="1"/>
  <c r="H39" i="17"/>
  <c r="Z38" i="18"/>
  <c r="AQ24" i="24"/>
  <c r="AI24" i="24"/>
  <c r="AP18" i="20"/>
  <c r="S39" i="18"/>
  <c r="AB39" i="18" s="1"/>
  <c r="AB47" i="17"/>
  <c r="AC47" i="17" s="1"/>
  <c r="N22" i="16"/>
  <c r="V22" i="16"/>
  <c r="AI17" i="16"/>
  <c r="AQ17" i="16"/>
  <c r="N31" i="21"/>
  <c r="V31" i="21"/>
  <c r="AC17" i="16"/>
  <c r="U17" i="16"/>
  <c r="N36" i="16"/>
  <c r="O36" i="16" s="1"/>
  <c r="AQ20" i="22"/>
  <c r="AI20" i="22"/>
  <c r="AC31" i="17"/>
  <c r="U31" i="17"/>
  <c r="AQ17" i="17"/>
  <c r="AI17" i="17"/>
  <c r="AI48" i="14"/>
  <c r="AJ48" i="14" s="1"/>
  <c r="AQ48" i="14"/>
  <c r="AI48" i="13"/>
  <c r="AJ48" i="13" s="1"/>
  <c r="AQ48" i="13"/>
  <c r="N34" i="15"/>
  <c r="AI19" i="13"/>
  <c r="AQ19" i="13"/>
  <c r="AN29" i="21"/>
  <c r="AP15" i="21"/>
  <c r="AQ15" i="21" s="1"/>
  <c r="U48" i="19"/>
  <c r="V48" i="19" s="1"/>
  <c r="N17" i="13"/>
  <c r="V17" i="13"/>
  <c r="AP32" i="13"/>
  <c r="AP19" i="16"/>
  <c r="V47" i="16"/>
  <c r="N47" i="16"/>
  <c r="AJ24" i="14"/>
  <c r="AB24" i="14"/>
  <c r="AP31" i="13"/>
  <c r="AP28" i="12"/>
  <c r="N32" i="11"/>
  <c r="O32" i="11" s="1"/>
  <c r="AI23" i="13"/>
  <c r="AQ23" i="13"/>
  <c r="AQ28" i="14"/>
  <c r="AI28" i="14"/>
  <c r="AB39" i="13"/>
  <c r="AC39" i="13" s="1"/>
  <c r="V27" i="15"/>
  <c r="N27" i="15"/>
  <c r="AJ32" i="14"/>
  <c r="AB32" i="14"/>
  <c r="AQ31" i="16"/>
  <c r="AI31" i="16"/>
  <c r="AB32" i="18"/>
  <c r="AJ32" i="18"/>
  <c r="AP28" i="16"/>
  <c r="AP26" i="17"/>
  <c r="AP32" i="18"/>
  <c r="AP21" i="18"/>
  <c r="AB17" i="23"/>
  <c r="AJ17" i="23"/>
  <c r="AB22" i="17"/>
  <c r="AJ22" i="17"/>
  <c r="AP27" i="20"/>
  <c r="V25" i="17"/>
  <c r="N25" i="17"/>
  <c r="V31" i="18"/>
  <c r="N31" i="18"/>
  <c r="AJ16" i="19"/>
  <c r="AB16" i="19"/>
  <c r="AQ31" i="22"/>
  <c r="AI31" i="22"/>
  <c r="V33" i="21"/>
  <c r="N33" i="21"/>
  <c r="N16" i="21"/>
  <c r="V16" i="21"/>
  <c r="AC27" i="22"/>
  <c r="U27" i="22"/>
  <c r="U30" i="23"/>
  <c r="AC30" i="23"/>
  <c r="AP23" i="26"/>
  <c r="AQ22" i="25"/>
  <c r="AI22" i="25"/>
  <c r="AI24" i="26"/>
  <c r="AQ24" i="26"/>
  <c r="V31" i="26"/>
  <c r="N31" i="26"/>
  <c r="AP40" i="29"/>
  <c r="AQ40" i="29" s="1"/>
  <c r="AP32" i="27"/>
  <c r="AJ33" i="26"/>
  <c r="AB33" i="26"/>
  <c r="L29" i="28"/>
  <c r="N15" i="28"/>
  <c r="V15" i="28"/>
  <c r="AI27" i="29"/>
  <c r="AQ27" i="29"/>
  <c r="AJ21" i="33"/>
  <c r="AB21" i="33"/>
  <c r="AB22" i="33"/>
  <c r="AJ22" i="33"/>
  <c r="N24" i="31"/>
  <c r="V24" i="31"/>
  <c r="AB19" i="32"/>
  <c r="AQ30" i="32"/>
  <c r="AI30" i="32"/>
  <c r="H27" i="3" s="1"/>
  <c r="H26" i="3"/>
  <c r="AP40" i="35"/>
  <c r="AQ38" i="36"/>
  <c r="AI38" i="36"/>
  <c r="AJ36" i="36"/>
  <c r="AB36" i="36"/>
  <c r="AC36" i="36" s="1"/>
  <c r="AB23" i="38"/>
  <c r="AJ23" i="38"/>
  <c r="U45" i="38"/>
  <c r="AP24" i="39"/>
  <c r="AP22" i="39"/>
  <c r="V26" i="39"/>
  <c r="N26" i="39"/>
  <c r="U35" i="40"/>
  <c r="AC35" i="40"/>
  <c r="AJ43" i="40"/>
  <c r="AB43" i="40"/>
  <c r="AC43" i="40" s="1"/>
  <c r="AQ38" i="41"/>
  <c r="AI38" i="41"/>
  <c r="AQ23" i="14"/>
  <c r="AI23" i="14"/>
  <c r="U36" i="13"/>
  <c r="AJ22" i="12"/>
  <c r="AB22" i="12"/>
  <c r="AQ36" i="11"/>
  <c r="AI36" i="11"/>
  <c r="AJ36" i="11" s="1"/>
  <c r="AI25" i="9"/>
  <c r="AQ25" i="9"/>
  <c r="AC48" i="13"/>
  <c r="U48" i="13"/>
  <c r="AB41" i="12"/>
  <c r="N16" i="12"/>
  <c r="V16" i="12"/>
  <c r="AC20" i="15"/>
  <c r="U20" i="15"/>
  <c r="V26" i="12"/>
  <c r="N26" i="12"/>
  <c r="AQ19" i="14"/>
  <c r="AI19" i="14"/>
  <c r="N43" i="11"/>
  <c r="O43" i="11" s="1"/>
  <c r="AC30" i="12"/>
  <c r="U30" i="12"/>
  <c r="V30" i="12" s="1"/>
  <c r="AQ16" i="10"/>
  <c r="AI16" i="10"/>
  <c r="AI47" i="11"/>
  <c r="AJ47" i="11" s="1"/>
  <c r="AP24" i="10"/>
  <c r="L42" i="10"/>
  <c r="AJ36" i="9"/>
  <c r="AB36" i="9"/>
  <c r="N28" i="9"/>
  <c r="V28" i="9"/>
  <c r="Z42" i="9"/>
  <c r="AI42" i="9" s="1"/>
  <c r="AP43" i="16"/>
  <c r="AJ21" i="12"/>
  <c r="AB21" i="12"/>
  <c r="N17" i="11"/>
  <c r="V17" i="11"/>
  <c r="N27" i="10"/>
  <c r="V27" i="10"/>
  <c r="H42" i="12"/>
  <c r="U13" i="3"/>
  <c r="T13" i="3"/>
  <c r="AQ28" i="11"/>
  <c r="AI28" i="11"/>
  <c r="L35" i="13"/>
  <c r="AC34" i="13"/>
  <c r="N19" i="11"/>
  <c r="V19" i="11"/>
  <c r="AJ41" i="13"/>
  <c r="AB41" i="13"/>
  <c r="AC41" i="13" s="1"/>
  <c r="N32" i="12"/>
  <c r="AP22" i="9"/>
  <c r="AC17" i="10"/>
  <c r="U17" i="10"/>
  <c r="AJ23" i="10"/>
  <c r="AB23" i="10"/>
  <c r="AI16" i="11"/>
  <c r="AQ16" i="11"/>
  <c r="AP27" i="41"/>
  <c r="AI22" i="41"/>
  <c r="AQ22" i="41"/>
  <c r="Z41" i="41"/>
  <c r="AJ17" i="41"/>
  <c r="AB17" i="41"/>
  <c r="AP49" i="41"/>
  <c r="AQ49" i="41" s="1"/>
  <c r="AC23" i="41"/>
  <c r="U23" i="41"/>
  <c r="AB19" i="40"/>
  <c r="AJ19" i="40"/>
  <c r="AB49" i="40"/>
  <c r="AC49" i="40" s="1"/>
  <c r="AP31" i="40"/>
  <c r="N38" i="40"/>
  <c r="V38" i="40"/>
  <c r="N32" i="40"/>
  <c r="O32" i="40" s="1"/>
  <c r="AQ45" i="39"/>
  <c r="AI45" i="39"/>
  <c r="AI16" i="41"/>
  <c r="AQ16" i="41"/>
  <c r="O41" i="39"/>
  <c r="AB45" i="40"/>
  <c r="AC45" i="40" s="1"/>
  <c r="O40" i="38"/>
  <c r="AI35" i="40"/>
  <c r="AQ35" i="40"/>
  <c r="AI20" i="39"/>
  <c r="AQ20" i="39"/>
  <c r="AP17" i="39"/>
  <c r="AP37" i="39"/>
  <c r="AI41" i="38"/>
  <c r="AJ41" i="38" s="1"/>
  <c r="AQ16" i="39"/>
  <c r="AI16" i="39"/>
  <c r="AQ40" i="40"/>
  <c r="AI40" i="40"/>
  <c r="AP34" i="40"/>
  <c r="AP28" i="39"/>
  <c r="AJ27" i="38"/>
  <c r="AB27" i="38"/>
  <c r="U35" i="37"/>
  <c r="AC35" i="37"/>
  <c r="N31" i="37"/>
  <c r="V31" i="37"/>
  <c r="AJ23" i="37"/>
  <c r="AB23" i="37"/>
  <c r="AB50" i="37"/>
  <c r="AJ50" i="37"/>
  <c r="AI28" i="37"/>
  <c r="AQ28" i="37"/>
  <c r="AP35" i="36"/>
  <c r="AP49" i="37"/>
  <c r="AQ49" i="37" s="1"/>
  <c r="U27" i="37"/>
  <c r="AC27" i="37"/>
  <c r="AJ17" i="37"/>
  <c r="AB17" i="37"/>
  <c r="V30" i="36"/>
  <c r="N30" i="36"/>
  <c r="AI45" i="36"/>
  <c r="AJ45" i="36" s="1"/>
  <c r="AQ45" i="36"/>
  <c r="AJ22" i="38"/>
  <c r="AB22" i="38"/>
  <c r="AP21" i="36"/>
  <c r="AI20" i="36"/>
  <c r="AQ20" i="36"/>
  <c r="AG44" i="36"/>
  <c r="AB16" i="37"/>
  <c r="AJ16" i="37"/>
  <c r="AJ27" i="35"/>
  <c r="AB27" i="35"/>
  <c r="U36" i="35"/>
  <c r="V36" i="35" s="1"/>
  <c r="AI40" i="35"/>
  <c r="AJ40" i="35" s="1"/>
  <c r="AQ40" i="35"/>
  <c r="AP31" i="34"/>
  <c r="AI17" i="35"/>
  <c r="AQ17" i="35"/>
  <c r="AQ23" i="34"/>
  <c r="AI23" i="34"/>
  <c r="U38" i="33"/>
  <c r="AC38" i="33"/>
  <c r="O36" i="34"/>
  <c r="U17" i="35"/>
  <c r="AC17" i="35"/>
  <c r="AJ37" i="33"/>
  <c r="AB37" i="33"/>
  <c r="AJ38" i="35"/>
  <c r="AB38" i="35"/>
  <c r="V34" i="34"/>
  <c r="N34" i="34"/>
  <c r="AP17" i="35"/>
  <c r="AC25" i="34"/>
  <c r="U25" i="34"/>
  <c r="N19" i="34"/>
  <c r="O19" i="34" s="1"/>
  <c r="V19" i="34"/>
  <c r="AC34" i="33"/>
  <c r="U34" i="33"/>
  <c r="U37" i="33"/>
  <c r="AC37" i="33"/>
  <c r="H43" i="33"/>
  <c r="AB36" i="35"/>
  <c r="AC36" i="35" s="1"/>
  <c r="L46" i="33"/>
  <c r="AC22" i="33"/>
  <c r="U22" i="33"/>
  <c r="O40" i="31"/>
  <c r="AI21" i="32"/>
  <c r="AQ21" i="32"/>
  <c r="AI37" i="31"/>
  <c r="AQ37" i="31"/>
  <c r="AN44" i="32"/>
  <c r="O32" i="31"/>
  <c r="AP28" i="31"/>
  <c r="AJ43" i="31"/>
  <c r="L44" i="31"/>
  <c r="AP31" i="30"/>
  <c r="U20" i="32"/>
  <c r="AC20" i="32"/>
  <c r="AC46" i="30"/>
  <c r="U46" i="30"/>
  <c r="V46" i="30" s="1"/>
  <c r="AQ16" i="34"/>
  <c r="AI16" i="34"/>
  <c r="V23" i="31"/>
  <c r="N23" i="31"/>
  <c r="H43" i="29"/>
  <c r="O40" i="28"/>
  <c r="U33" i="29"/>
  <c r="AC33" i="29"/>
  <c r="AB35" i="30"/>
  <c r="AJ35" i="30"/>
  <c r="V24" i="29"/>
  <c r="N24" i="29"/>
  <c r="N18" i="30"/>
  <c r="V18" i="30"/>
  <c r="N22" i="32"/>
  <c r="V22" i="32"/>
  <c r="AJ28" i="28"/>
  <c r="AB28" i="28"/>
  <c r="AC19" i="29"/>
  <c r="U19" i="29"/>
  <c r="V19" i="29" s="1"/>
  <c r="O33" i="28"/>
  <c r="AJ24" i="30"/>
  <c r="AB24" i="30"/>
  <c r="AJ33" i="33"/>
  <c r="AB33" i="33"/>
  <c r="AN44" i="29"/>
  <c r="AC46" i="28"/>
  <c r="Z46" i="27"/>
  <c r="V33" i="26"/>
  <c r="N33" i="26"/>
  <c r="O33" i="26" s="1"/>
  <c r="AG35" i="27"/>
  <c r="P22" i="3"/>
  <c r="P24" i="3" s="1"/>
  <c r="U17" i="27"/>
  <c r="AC17" i="27"/>
  <c r="V43" i="27"/>
  <c r="N43" i="27"/>
  <c r="O43" i="27" s="1"/>
  <c r="AQ25" i="27"/>
  <c r="AI25" i="27"/>
  <c r="U28" i="26"/>
  <c r="AC28" i="26"/>
  <c r="AB38" i="25"/>
  <c r="AJ38" i="25"/>
  <c r="AG44" i="27"/>
  <c r="AB18" i="27"/>
  <c r="AJ18" i="27"/>
  <c r="AJ24" i="26"/>
  <c r="AB24" i="26"/>
  <c r="AB26" i="25"/>
  <c r="AJ26" i="25"/>
  <c r="U34" i="25"/>
  <c r="AC34" i="25"/>
  <c r="AI25" i="26"/>
  <c r="AQ25" i="26"/>
  <c r="O41" i="24"/>
  <c r="O34" i="25"/>
  <c r="AC32" i="23"/>
  <c r="U32" i="23"/>
  <c r="V32" i="23" s="1"/>
  <c r="AC16" i="22"/>
  <c r="U16" i="22"/>
  <c r="H38" i="22"/>
  <c r="AC36" i="22"/>
  <c r="U36" i="22"/>
  <c r="V36" i="22" s="1"/>
  <c r="N34" i="23"/>
  <c r="O34" i="23" s="1"/>
  <c r="V34" i="23"/>
  <c r="N16" i="22"/>
  <c r="V16" i="22"/>
  <c r="AP24" i="27"/>
  <c r="AC39" i="23"/>
  <c r="U39" i="23"/>
  <c r="V39" i="23" s="1"/>
  <c r="N25" i="22"/>
  <c r="V25" i="22"/>
  <c r="AN29" i="19"/>
  <c r="AP15" i="19"/>
  <c r="AQ15" i="19" s="1"/>
  <c r="AB48" i="24"/>
  <c r="AC48" i="24" s="1"/>
  <c r="AJ48" i="24"/>
  <c r="AI26" i="23"/>
  <c r="AQ26" i="23"/>
  <c r="AC18" i="22"/>
  <c r="U18" i="22"/>
  <c r="AC17" i="23"/>
  <c r="U17" i="23"/>
  <c r="O19" i="22"/>
  <c r="H41" i="20"/>
  <c r="AC33" i="24"/>
  <c r="U33" i="24"/>
  <c r="O45" i="22"/>
  <c r="N45" i="22"/>
  <c r="AN38" i="21"/>
  <c r="AP38" i="21" s="1"/>
  <c r="AQ38" i="21" s="1"/>
  <c r="AP16" i="19"/>
  <c r="N15" i="23"/>
  <c r="O15" i="23" s="1"/>
  <c r="L29" i="23"/>
  <c r="V15" i="23"/>
  <c r="AP23" i="23"/>
  <c r="AN39" i="19"/>
  <c r="AP39" i="19" s="1"/>
  <c r="AQ39" i="19" s="1"/>
  <c r="AC25" i="19"/>
  <c r="U25" i="19"/>
  <c r="AP31" i="21"/>
  <c r="AJ35" i="21"/>
  <c r="AB35" i="21"/>
  <c r="AC35" i="21" s="1"/>
  <c r="AM43" i="25"/>
  <c r="AN43" i="25" s="1"/>
  <c r="AC35" i="19"/>
  <c r="U35" i="19"/>
  <c r="V35" i="19" s="1"/>
  <c r="AE53" i="24"/>
  <c r="X59" i="24"/>
  <c r="U21" i="23"/>
  <c r="V21" i="23" s="1"/>
  <c r="N21" i="23"/>
  <c r="O21" i="23" s="1"/>
  <c r="N24" i="21"/>
  <c r="V24" i="21"/>
  <c r="V35" i="21"/>
  <c r="N35" i="21"/>
  <c r="O35" i="21" s="1"/>
  <c r="AP42" i="20"/>
  <c r="AQ42" i="20" s="1"/>
  <c r="U20" i="19"/>
  <c r="AC20" i="19"/>
  <c r="L34" i="16"/>
  <c r="S34" i="16"/>
  <c r="AP18" i="17"/>
  <c r="AP31" i="15"/>
  <c r="O36" i="22"/>
  <c r="O44" i="17"/>
  <c r="AJ23" i="16"/>
  <c r="AB23" i="16"/>
  <c r="AC18" i="19"/>
  <c r="U18" i="19"/>
  <c r="V15" i="18"/>
  <c r="L29" i="18"/>
  <c r="N15" i="18"/>
  <c r="AQ43" i="19"/>
  <c r="AI43" i="19"/>
  <c r="AJ43" i="19" s="1"/>
  <c r="H34" i="17"/>
  <c r="AB42" i="18"/>
  <c r="AC42" i="18" s="1"/>
  <c r="AJ42" i="18"/>
  <c r="AQ30" i="21"/>
  <c r="AI30" i="21"/>
  <c r="U38" i="18"/>
  <c r="V38" i="18" s="1"/>
  <c r="AC48" i="17"/>
  <c r="U48" i="17"/>
  <c r="V48" i="17" s="1"/>
  <c r="AQ22" i="16"/>
  <c r="AI22" i="16"/>
  <c r="O42" i="19"/>
  <c r="AB44" i="17"/>
  <c r="AC44" i="17" s="1"/>
  <c r="AJ44" i="17"/>
  <c r="AP34" i="22"/>
  <c r="AQ34" i="22" s="1"/>
  <c r="U16" i="16"/>
  <c r="AC16" i="16"/>
  <c r="L42" i="15"/>
  <c r="U42" i="15" s="1"/>
  <c r="AQ21" i="17"/>
  <c r="AI21" i="17"/>
  <c r="AP33" i="16"/>
  <c r="AQ47" i="12"/>
  <c r="AI47" i="12"/>
  <c r="AJ47" i="12" s="1"/>
  <c r="AJ27" i="14"/>
  <c r="AB27" i="14"/>
  <c r="AB47" i="14"/>
  <c r="AC47" i="14" s="1"/>
  <c r="AP18" i="13"/>
  <c r="O15" i="21"/>
  <c r="H29" i="21"/>
  <c r="AI47" i="19"/>
  <c r="AJ47" i="19" s="1"/>
  <c r="AQ47" i="19"/>
  <c r="U36" i="12"/>
  <c r="U18" i="16"/>
  <c r="AC18" i="16"/>
  <c r="AP48" i="16"/>
  <c r="AQ48" i="16" s="1"/>
  <c r="AC34" i="14"/>
  <c r="U34" i="14"/>
  <c r="V34" i="14" s="1"/>
  <c r="V47" i="14"/>
  <c r="N47" i="14"/>
  <c r="O47" i="14" s="1"/>
  <c r="AJ15" i="9"/>
  <c r="AB15" i="9"/>
  <c r="AC15" i="9" s="1"/>
  <c r="Z29" i="9"/>
  <c r="V36" i="12"/>
  <c r="N36" i="12"/>
  <c r="O36" i="12" s="1"/>
  <c r="N47" i="10"/>
  <c r="AI25" i="13"/>
  <c r="AQ25" i="13"/>
  <c r="N30" i="14"/>
  <c r="O30" i="14" s="1"/>
  <c r="U33" i="12"/>
  <c r="AC33" i="12"/>
  <c r="AI43" i="13"/>
  <c r="AJ43" i="13" s="1"/>
  <c r="AQ43" i="13"/>
  <c r="AB42" i="14"/>
  <c r="AJ42" i="14"/>
  <c r="V38" i="16"/>
  <c r="N38" i="16"/>
  <c r="AC43" i="16"/>
  <c r="U43" i="16"/>
  <c r="V43" i="16" s="1"/>
  <c r="AP20" i="17"/>
  <c r="AP43" i="24"/>
  <c r="AQ43" i="24" s="1"/>
  <c r="AP36" i="18"/>
  <c r="AQ36" i="18" s="1"/>
  <c r="AJ30" i="17"/>
  <c r="AB30" i="17"/>
  <c r="AI36" i="20"/>
  <c r="AJ36" i="20" s="1"/>
  <c r="AQ36" i="20"/>
  <c r="U24" i="19"/>
  <c r="AC24" i="19"/>
  <c r="AQ22" i="23"/>
  <c r="AI22" i="23"/>
  <c r="AJ39" i="22"/>
  <c r="AB39" i="22"/>
  <c r="AP26" i="25"/>
  <c r="AI20" i="24"/>
  <c r="AQ20" i="24"/>
  <c r="AJ30" i="24"/>
  <c r="AB30" i="24"/>
  <c r="AJ33" i="21"/>
  <c r="AB33" i="21"/>
  <c r="AB20" i="27"/>
  <c r="AJ20" i="27"/>
  <c r="AB41" i="26"/>
  <c r="AC41" i="26" s="1"/>
  <c r="AJ41" i="26"/>
  <c r="U31" i="26"/>
  <c r="AC31" i="26"/>
  <c r="O36" i="25"/>
  <c r="AP24" i="26"/>
  <c r="V36" i="26"/>
  <c r="N36" i="26"/>
  <c r="N33" i="29"/>
  <c r="O33" i="29" s="1"/>
  <c r="V33" i="29"/>
  <c r="AQ26" i="28"/>
  <c r="AI26" i="28"/>
  <c r="AQ36" i="27"/>
  <c r="AI36" i="27"/>
  <c r="AJ36" i="27" s="1"/>
  <c r="AB23" i="27"/>
  <c r="AJ23" i="27"/>
  <c r="AN29" i="31"/>
  <c r="AP15" i="31"/>
  <c r="AQ15" i="31" s="1"/>
  <c r="AI32" i="29"/>
  <c r="AQ32" i="29"/>
  <c r="U32" i="29"/>
  <c r="AC32" i="29"/>
  <c r="U34" i="29"/>
  <c r="V34" i="29" s="1"/>
  <c r="AC34" i="29"/>
  <c r="AP19" i="33"/>
  <c r="AQ19" i="33" s="1"/>
  <c r="AI19" i="32"/>
  <c r="AJ19" i="32" s="1"/>
  <c r="AQ19" i="32"/>
  <c r="N27" i="31"/>
  <c r="V27" i="31"/>
  <c r="AP40" i="32"/>
  <c r="O36" i="35"/>
  <c r="AP24" i="35"/>
  <c r="AI27" i="34"/>
  <c r="AQ27" i="34"/>
  <c r="O30" i="33"/>
  <c r="V43" i="35"/>
  <c r="N43" i="35"/>
  <c r="O43" i="35" s="1"/>
  <c r="N41" i="35"/>
  <c r="O41" i="35" s="1"/>
  <c r="V41" i="35"/>
  <c r="AJ21" i="36"/>
  <c r="AB21" i="36"/>
  <c r="N23" i="37"/>
  <c r="V23" i="37"/>
  <c r="U24" i="38"/>
  <c r="AC24" i="38"/>
  <c r="AP23" i="38"/>
  <c r="V17" i="39"/>
  <c r="N17" i="39"/>
  <c r="N36" i="40"/>
  <c r="V31" i="39"/>
  <c r="N31" i="39"/>
  <c r="AJ24" i="39"/>
  <c r="AB24" i="39"/>
  <c r="AI31" i="39"/>
  <c r="AQ31" i="39"/>
  <c r="U19" i="39"/>
  <c r="V19" i="39" s="1"/>
  <c r="AC19" i="39"/>
  <c r="N36" i="39"/>
  <c r="V36" i="39"/>
  <c r="AJ17" i="40"/>
  <c r="AB17" i="40"/>
  <c r="N45" i="40"/>
  <c r="O45" i="40" s="1"/>
  <c r="V45" i="40"/>
  <c r="AP22" i="41"/>
  <c r="AQ22" i="14"/>
  <c r="AI22" i="14"/>
  <c r="AB33" i="11"/>
  <c r="AJ33" i="11"/>
  <c r="AP33" i="10"/>
  <c r="AP24" i="9"/>
  <c r="V16" i="13"/>
  <c r="N16" i="13"/>
  <c r="AP47" i="11"/>
  <c r="AQ47" i="11" s="1"/>
  <c r="O47" i="10"/>
  <c r="AP20" i="15"/>
  <c r="AJ25" i="13"/>
  <c r="AB25" i="13"/>
  <c r="AQ43" i="11"/>
  <c r="AI43" i="11"/>
  <c r="AC19" i="13"/>
  <c r="U19" i="13"/>
  <c r="AN29" i="10"/>
  <c r="AP15" i="10"/>
  <c r="AQ15" i="10" s="1"/>
  <c r="AI34" i="12"/>
  <c r="AJ34" i="12" s="1"/>
  <c r="AQ34" i="12"/>
  <c r="AB48" i="11"/>
  <c r="AJ48" i="11"/>
  <c r="AQ44" i="11"/>
  <c r="AI44" i="11"/>
  <c r="AJ44" i="11" s="1"/>
  <c r="N35" i="10"/>
  <c r="O35" i="10" s="1"/>
  <c r="AB38" i="11"/>
  <c r="AC38" i="11" s="1"/>
  <c r="AQ28" i="9"/>
  <c r="AI28" i="9"/>
  <c r="AC23" i="10"/>
  <c r="U23" i="10"/>
  <c r="Z41" i="9"/>
  <c r="V25" i="10"/>
  <c r="N25" i="10"/>
  <c r="O15" i="15"/>
  <c r="H29" i="15"/>
  <c r="B81" i="1"/>
  <c r="O35" i="12"/>
  <c r="L17" i="3"/>
  <c r="S12" i="3"/>
  <c r="AI12" i="3"/>
  <c r="L38" i="13"/>
  <c r="AI28" i="10"/>
  <c r="AQ28" i="10"/>
  <c r="AB15" i="11"/>
  <c r="AC15" i="11" s="1"/>
  <c r="Z29" i="11"/>
  <c r="AI47" i="9"/>
  <c r="AJ47" i="9" s="1"/>
  <c r="AP47" i="9"/>
  <c r="AQ47" i="9" s="1"/>
  <c r="N31" i="9"/>
  <c r="AN42" i="9"/>
  <c r="AP42" i="9" s="1"/>
  <c r="AQ42" i="9" s="1"/>
  <c r="AN29" i="11"/>
  <c r="AJ25" i="12"/>
  <c r="AB25" i="12"/>
  <c r="L43" i="33"/>
  <c r="O45" i="34"/>
  <c r="AQ19" i="35"/>
  <c r="AI19" i="35"/>
  <c r="AJ19" i="35" s="1"/>
  <c r="AP45" i="32"/>
  <c r="AQ45" i="32" s="1"/>
  <c r="AP21" i="33"/>
  <c r="AI43" i="31"/>
  <c r="AQ43" i="31"/>
  <c r="O32" i="33"/>
  <c r="AP22" i="31"/>
  <c r="AP28" i="30"/>
  <c r="N26" i="33"/>
  <c r="V26" i="33"/>
  <c r="AC19" i="32"/>
  <c r="U19" i="32"/>
  <c r="V19" i="32" s="1"/>
  <c r="AB31" i="30"/>
  <c r="AJ31" i="30"/>
  <c r="O19" i="32"/>
  <c r="AB34" i="30"/>
  <c r="AJ34" i="30"/>
  <c r="AC33" i="30"/>
  <c r="U33" i="30"/>
  <c r="V33" i="30" s="1"/>
  <c r="U22" i="29"/>
  <c r="AC22" i="29"/>
  <c r="AB33" i="30"/>
  <c r="AJ33" i="30"/>
  <c r="V38" i="29"/>
  <c r="N38" i="29"/>
  <c r="AQ18" i="30"/>
  <c r="AI18" i="30"/>
  <c r="AP19" i="29"/>
  <c r="AQ19" i="29" s="1"/>
  <c r="AC22" i="30"/>
  <c r="U22" i="30"/>
  <c r="V22" i="30" s="1"/>
  <c r="AC24" i="29"/>
  <c r="U24" i="29"/>
  <c r="U32" i="27"/>
  <c r="V32" i="27" s="1"/>
  <c r="AC32" i="27"/>
  <c r="N35" i="29"/>
  <c r="V35" i="29"/>
  <c r="AN46" i="28"/>
  <c r="AP46" i="28" s="1"/>
  <c r="O36" i="31"/>
  <c r="AB18" i="28"/>
  <c r="AJ18" i="28"/>
  <c r="U43" i="29"/>
  <c r="V43" i="29" s="1"/>
  <c r="AC43" i="29"/>
  <c r="V35" i="28"/>
  <c r="N35" i="28"/>
  <c r="AN43" i="29"/>
  <c r="AB37" i="27"/>
  <c r="AJ37" i="27"/>
  <c r="AB33" i="28"/>
  <c r="AJ33" i="28"/>
  <c r="AG44" i="26"/>
  <c r="AC30" i="27"/>
  <c r="U30" i="27"/>
  <c r="V30" i="27" s="1"/>
  <c r="AJ33" i="27"/>
  <c r="AB33" i="27"/>
  <c r="AC25" i="27"/>
  <c r="U25" i="27"/>
  <c r="N27" i="26"/>
  <c r="V27" i="26"/>
  <c r="V18" i="27"/>
  <c r="N18" i="27"/>
  <c r="U19" i="27"/>
  <c r="V19" i="27" s="1"/>
  <c r="AC19" i="27"/>
  <c r="U43" i="27"/>
  <c r="AC43" i="27"/>
  <c r="N15" i="26"/>
  <c r="O15" i="26" s="1"/>
  <c r="L29" i="26"/>
  <c r="U18" i="26"/>
  <c r="AC18" i="26"/>
  <c r="AI17" i="27"/>
  <c r="AQ17" i="27"/>
  <c r="V23" i="26"/>
  <c r="N23" i="26"/>
  <c r="U18" i="24"/>
  <c r="AC18" i="24"/>
  <c r="AB25" i="27"/>
  <c r="AJ25" i="27"/>
  <c r="V37" i="26"/>
  <c r="N37" i="26"/>
  <c r="U38" i="23"/>
  <c r="AC38" i="23"/>
  <c r="V25" i="25"/>
  <c r="N25" i="25"/>
  <c r="AC39" i="22"/>
  <c r="U39" i="22"/>
  <c r="V39" i="22" s="1"/>
  <c r="U21" i="25"/>
  <c r="AC21" i="25"/>
  <c r="N47" i="21"/>
  <c r="O47" i="21" s="1"/>
  <c r="U18" i="25"/>
  <c r="AC18" i="25"/>
  <c r="O41" i="22"/>
  <c r="AB32" i="26"/>
  <c r="AJ32" i="26"/>
  <c r="AC24" i="22"/>
  <c r="U24" i="22"/>
  <c r="N46" i="24"/>
  <c r="O46" i="24"/>
  <c r="AP33" i="23"/>
  <c r="AQ17" i="21"/>
  <c r="AI17" i="21"/>
  <c r="AB43" i="24"/>
  <c r="AC43" i="24" s="1"/>
  <c r="AJ43" i="24"/>
  <c r="AB26" i="20"/>
  <c r="AJ26" i="20"/>
  <c r="AC36" i="21"/>
  <c r="U36" i="21"/>
  <c r="V36" i="21" s="1"/>
  <c r="V28" i="20"/>
  <c r="N28" i="20"/>
  <c r="V43" i="28"/>
  <c r="N43" i="28"/>
  <c r="O43" i="28" s="1"/>
  <c r="AB28" i="24"/>
  <c r="AJ28" i="24"/>
  <c r="AB47" i="24"/>
  <c r="AC47" i="24" s="1"/>
  <c r="V33" i="20"/>
  <c r="N33" i="20"/>
  <c r="V22" i="28"/>
  <c r="N22" i="28"/>
  <c r="AP34" i="23"/>
  <c r="AQ34" i="23" s="1"/>
  <c r="U35" i="22"/>
  <c r="AN29" i="22"/>
  <c r="AP15" i="22"/>
  <c r="AQ15" i="22" s="1"/>
  <c r="AQ24" i="19"/>
  <c r="AI24" i="19"/>
  <c r="AQ43" i="22"/>
  <c r="AI43" i="22"/>
  <c r="AJ43" i="22" s="1"/>
  <c r="AP41" i="18"/>
  <c r="AQ41" i="18" s="1"/>
  <c r="AB24" i="20"/>
  <c r="AJ24" i="20"/>
  <c r="AQ38" i="18"/>
  <c r="AI23" i="19"/>
  <c r="AQ23" i="19"/>
  <c r="AQ43" i="20"/>
  <c r="AI43" i="20"/>
  <c r="AJ43" i="20" s="1"/>
  <c r="AJ26" i="23"/>
  <c r="AB26" i="23"/>
  <c r="Z20" i="25"/>
  <c r="AI20" i="25" s="1"/>
  <c r="S20" i="25"/>
  <c r="AB44" i="25"/>
  <c r="AJ44" i="25"/>
  <c r="AC17" i="21"/>
  <c r="U17" i="21"/>
  <c r="AB17" i="21"/>
  <c r="AJ17" i="21"/>
  <c r="AB36" i="19"/>
  <c r="AJ36" i="19"/>
  <c r="AI38" i="20"/>
  <c r="AJ38" i="20" s="1"/>
  <c r="AQ38" i="19"/>
  <c r="AI38" i="19"/>
  <c r="AJ38" i="19" s="1"/>
  <c r="AP17" i="19"/>
  <c r="L39" i="16"/>
  <c r="U39" i="16" s="1"/>
  <c r="AP19" i="21"/>
  <c r="AQ19" i="21" s="1"/>
  <c r="N43" i="18"/>
  <c r="V43" i="18"/>
  <c r="U30" i="21"/>
  <c r="V30" i="21" s="1"/>
  <c r="AC30" i="21"/>
  <c r="U19" i="18"/>
  <c r="AC19" i="18"/>
  <c r="O43" i="16"/>
  <c r="AP43" i="18"/>
  <c r="AQ43" i="18" s="1"/>
  <c r="AP21" i="16"/>
  <c r="N44" i="20"/>
  <c r="O44" i="20" s="1"/>
  <c r="V44" i="20"/>
  <c r="N25" i="19"/>
  <c r="V25" i="19"/>
  <c r="N26" i="18"/>
  <c r="V26" i="18"/>
  <c r="AI46" i="17"/>
  <c r="AJ46" i="17" s="1"/>
  <c r="AQ46" i="17"/>
  <c r="AC20" i="21"/>
  <c r="U20" i="21"/>
  <c r="H42" i="17"/>
  <c r="O35" i="16"/>
  <c r="AQ18" i="20"/>
  <c r="AI18" i="20"/>
  <c r="AJ39" i="19"/>
  <c r="AB39" i="19"/>
  <c r="AC39" i="19" s="1"/>
  <c r="AP43" i="17"/>
  <c r="AQ43" i="17" s="1"/>
  <c r="AN35" i="22"/>
  <c r="AP35" i="22" s="1"/>
  <c r="AQ35" i="22" s="1"/>
  <c r="V19" i="20"/>
  <c r="N19" i="20"/>
  <c r="O19" i="20" s="1"/>
  <c r="N35" i="15"/>
  <c r="U47" i="21"/>
  <c r="V47" i="21" s="1"/>
  <c r="AI27" i="18"/>
  <c r="AQ27" i="18"/>
  <c r="AP30" i="17"/>
  <c r="V33" i="16"/>
  <c r="N33" i="16"/>
  <c r="AP30" i="20"/>
  <c r="AB21" i="17"/>
  <c r="AJ21" i="17"/>
  <c r="AB41" i="14"/>
  <c r="AC41" i="14" s="1"/>
  <c r="N26" i="23"/>
  <c r="V26" i="23"/>
  <c r="AP16" i="13"/>
  <c r="H41" i="14"/>
  <c r="N41" i="14" s="1"/>
  <c r="N15" i="21"/>
  <c r="V15" i="21"/>
  <c r="L29" i="21"/>
  <c r="AB48" i="19"/>
  <c r="AC48" i="19" s="1"/>
  <c r="AJ48" i="19"/>
  <c r="AC20" i="16"/>
  <c r="U20" i="16"/>
  <c r="N20" i="12"/>
  <c r="V20" i="12"/>
  <c r="AP47" i="14"/>
  <c r="AQ47" i="14" s="1"/>
  <c r="N48" i="16"/>
  <c r="O48" i="16" s="1"/>
  <c r="N16" i="15"/>
  <c r="V16" i="15"/>
  <c r="AI28" i="13"/>
  <c r="AQ28" i="13"/>
  <c r="AP21" i="14"/>
  <c r="AP33" i="12"/>
  <c r="O43" i="10"/>
  <c r="AC26" i="15"/>
  <c r="U26" i="15"/>
  <c r="V28" i="13"/>
  <c r="N28" i="13"/>
  <c r="AC33" i="14"/>
  <c r="U33" i="14"/>
  <c r="U38" i="12"/>
  <c r="V38" i="12" s="1"/>
  <c r="AC38" i="12"/>
  <c r="O43" i="18"/>
  <c r="AJ43" i="17"/>
  <c r="AB43" i="17"/>
  <c r="AC43" i="17" s="1"/>
  <c r="AC23" i="17"/>
  <c r="U23" i="17"/>
  <c r="AC43" i="18"/>
  <c r="U43" i="18"/>
  <c r="V36" i="17"/>
  <c r="N36" i="17"/>
  <c r="AJ38" i="17"/>
  <c r="AB38" i="17"/>
  <c r="AC38" i="17" s="1"/>
  <c r="AC42" i="23"/>
  <c r="U42" i="23"/>
  <c r="V42" i="23" s="1"/>
  <c r="O36" i="17"/>
  <c r="AJ20" i="24"/>
  <c r="AB20" i="24"/>
  <c r="U28" i="21"/>
  <c r="AC28" i="21"/>
  <c r="V18" i="24"/>
  <c r="N18" i="24"/>
  <c r="AJ19" i="25"/>
  <c r="AB19" i="25"/>
  <c r="AI27" i="24"/>
  <c r="AQ27" i="24"/>
  <c r="N16" i="26"/>
  <c r="V16" i="26"/>
  <c r="AI38" i="30"/>
  <c r="AQ38" i="30"/>
  <c r="U15" i="26"/>
  <c r="V15" i="26" s="1"/>
  <c r="AC15" i="26"/>
  <c r="S29" i="26"/>
  <c r="AJ27" i="28"/>
  <c r="AB27" i="28"/>
  <c r="AQ38" i="27"/>
  <c r="AI38" i="27"/>
  <c r="O15" i="28"/>
  <c r="H29" i="28"/>
  <c r="AJ17" i="28"/>
  <c r="AB17" i="28"/>
  <c r="U27" i="29"/>
  <c r="AC27" i="29"/>
  <c r="O36" i="30"/>
  <c r="AQ34" i="29"/>
  <c r="AI34" i="29"/>
  <c r="N41" i="29"/>
  <c r="O41" i="29" s="1"/>
  <c r="V41" i="29"/>
  <c r="AB41" i="30"/>
  <c r="AC41" i="30" s="1"/>
  <c r="AJ41" i="30"/>
  <c r="N17" i="33"/>
  <c r="V17" i="33"/>
  <c r="AQ44" i="31"/>
  <c r="AI44" i="31"/>
  <c r="AJ44" i="31" s="1"/>
  <c r="U23" i="32"/>
  <c r="AC23" i="32"/>
  <c r="N35" i="34"/>
  <c r="V35" i="34"/>
  <c r="AP30" i="35"/>
  <c r="AI41" i="33"/>
  <c r="AJ41" i="33" s="1"/>
  <c r="AQ41" i="33"/>
  <c r="U36" i="34"/>
  <c r="V36" i="34" s="1"/>
  <c r="AC36" i="34"/>
  <c r="V22" i="34"/>
  <c r="N22" i="34"/>
  <c r="N34" i="36"/>
  <c r="V34" i="36"/>
  <c r="U34" i="35"/>
  <c r="AC34" i="35"/>
  <c r="U32" i="36"/>
  <c r="V32" i="36" s="1"/>
  <c r="AC32" i="36"/>
  <c r="AP43" i="36"/>
  <c r="AQ43" i="36" s="1"/>
  <c r="AC45" i="37"/>
  <c r="U45" i="37"/>
  <c r="V45" i="37" s="1"/>
  <c r="AI24" i="38"/>
  <c r="AQ24" i="38"/>
  <c r="AI33" i="39"/>
  <c r="AQ33" i="39"/>
  <c r="AQ16" i="38"/>
  <c r="AI16" i="38"/>
  <c r="N33" i="39"/>
  <c r="O33" i="39" s="1"/>
  <c r="AI27" i="39"/>
  <c r="AQ27" i="39"/>
  <c r="AP33" i="39"/>
  <c r="U19" i="40"/>
  <c r="V19" i="40" s="1"/>
  <c r="AC19" i="40"/>
  <c r="AB24" i="41"/>
  <c r="AJ24" i="41"/>
  <c r="AB27" i="41"/>
  <c r="AJ27" i="41"/>
  <c r="AJ30" i="13"/>
  <c r="AB30" i="13"/>
  <c r="AC22" i="12"/>
  <c r="U22" i="12"/>
  <c r="AC15" i="13"/>
  <c r="S29" i="13"/>
  <c r="U15" i="13"/>
  <c r="V15" i="13" s="1"/>
  <c r="AP42" i="11"/>
  <c r="N20" i="15"/>
  <c r="V20" i="15"/>
  <c r="U41" i="11"/>
  <c r="V41" i="11" s="1"/>
  <c r="AI27" i="15"/>
  <c r="AQ27" i="15"/>
  <c r="N43" i="13"/>
  <c r="O43" i="13" s="1"/>
  <c r="U31" i="11"/>
  <c r="AC31" i="11"/>
  <c r="V18" i="13"/>
  <c r="N18" i="13"/>
  <c r="AJ24" i="12"/>
  <c r="AB24" i="12"/>
  <c r="AP31" i="12"/>
  <c r="AQ48" i="11"/>
  <c r="AI48" i="11"/>
  <c r="AJ48" i="10"/>
  <c r="AB48" i="10"/>
  <c r="AP17" i="10"/>
  <c r="AB46" i="9"/>
  <c r="AC46" i="9" s="1"/>
  <c r="U46" i="9"/>
  <c r="V46" i="9" s="1"/>
  <c r="AI27" i="11"/>
  <c r="AQ27" i="11"/>
  <c r="AJ28" i="12"/>
  <c r="AB28" i="12"/>
  <c r="AC32" i="13"/>
  <c r="U32" i="13"/>
  <c r="V32" i="13" s="1"/>
  <c r="Z29" i="15"/>
  <c r="AJ15" i="15"/>
  <c r="AB15" i="15"/>
  <c r="AC15" i="15" s="1"/>
  <c r="W11" i="3" s="1"/>
  <c r="E81" i="1"/>
  <c r="E82" i="1" s="1"/>
  <c r="E83" i="1" s="1"/>
  <c r="U26" i="14"/>
  <c r="AC26" i="14"/>
  <c r="H41" i="12"/>
  <c r="AC20" i="10"/>
  <c r="U20" i="10"/>
  <c r="AB24" i="9"/>
  <c r="AJ24" i="9"/>
  <c r="AC33" i="11"/>
  <c r="U33" i="11"/>
  <c r="AQ18" i="10"/>
  <c r="AI18" i="10"/>
  <c r="L41" i="13"/>
  <c r="AB28" i="10"/>
  <c r="AJ28" i="10"/>
  <c r="AJ31" i="13"/>
  <c r="AB31" i="13"/>
  <c r="AB32" i="10"/>
  <c r="AJ32" i="10"/>
  <c r="AP24" i="12"/>
  <c r="AQ20" i="11"/>
  <c r="AI20" i="11"/>
  <c r="AN34" i="9"/>
  <c r="AP34" i="9" s="1"/>
  <c r="AQ34" i="9" s="1"/>
  <c r="AJ35" i="9"/>
  <c r="AB35" i="9"/>
  <c r="AC35" i="9" s="1"/>
  <c r="U35" i="10"/>
  <c r="V35" i="10" s="1"/>
  <c r="S46" i="33"/>
  <c r="N22" i="33"/>
  <c r="V22" i="33"/>
  <c r="AB30" i="33"/>
  <c r="AJ30" i="33"/>
  <c r="AJ17" i="34"/>
  <c r="AB17" i="34"/>
  <c r="AN46" i="32"/>
  <c r="AP46" i="32" s="1"/>
  <c r="AQ46" i="32" s="1"/>
  <c r="L44" i="35"/>
  <c r="AP34" i="32"/>
  <c r="AB37" i="31"/>
  <c r="AJ37" i="31"/>
  <c r="N30" i="31"/>
  <c r="O30" i="31" s="1"/>
  <c r="V30" i="31"/>
  <c r="O33" i="30"/>
  <c r="AJ22" i="29"/>
  <c r="AB22" i="29"/>
  <c r="AQ35" i="30"/>
  <c r="AI35" i="30"/>
  <c r="AG44" i="41"/>
  <c r="AB25" i="41"/>
  <c r="AJ25" i="41"/>
  <c r="AB31" i="41"/>
  <c r="AJ31" i="41"/>
  <c r="N27" i="41"/>
  <c r="V27" i="41"/>
  <c r="N49" i="41"/>
  <c r="V49" i="41"/>
  <c r="N18" i="41"/>
  <c r="V18" i="41"/>
  <c r="N49" i="40"/>
  <c r="O49" i="40" s="1"/>
  <c r="V49" i="40"/>
  <c r="AC36" i="40"/>
  <c r="U36" i="40"/>
  <c r="V36" i="40" s="1"/>
  <c r="AJ45" i="39"/>
  <c r="AB45" i="39"/>
  <c r="AC45" i="39" s="1"/>
  <c r="O36" i="39"/>
  <c r="N43" i="40"/>
  <c r="O43" i="40" s="1"/>
  <c r="V43" i="40"/>
  <c r="U36" i="39"/>
  <c r="AP18" i="40"/>
  <c r="N15" i="39"/>
  <c r="O15" i="39" s="1"/>
  <c r="L29" i="39"/>
  <c r="V15" i="39"/>
  <c r="Z46" i="39"/>
  <c r="X37" i="39"/>
  <c r="Z37" i="39" s="1"/>
  <c r="AP41" i="38"/>
  <c r="AQ41" i="38" s="1"/>
  <c r="AB45" i="38"/>
  <c r="AC45" i="38" s="1"/>
  <c r="AN44" i="38"/>
  <c r="AP44" i="38" s="1"/>
  <c r="AQ44" i="38" s="1"/>
  <c r="AC20" i="38"/>
  <c r="U20" i="38"/>
  <c r="AP27" i="38"/>
  <c r="N26" i="37"/>
  <c r="V26" i="37"/>
  <c r="AB21" i="38"/>
  <c r="AJ21" i="38"/>
  <c r="AI33" i="37"/>
  <c r="AQ33" i="37"/>
  <c r="AQ41" i="37"/>
  <c r="AI41" i="37"/>
  <c r="AJ41" i="37" s="1"/>
  <c r="N21" i="37"/>
  <c r="V21" i="37"/>
  <c r="U21" i="37"/>
  <c r="O41" i="36"/>
  <c r="N49" i="37"/>
  <c r="O49" i="37" s="1"/>
  <c r="V49" i="37"/>
  <c r="AQ26" i="40"/>
  <c r="AI26" i="40"/>
  <c r="AQ32" i="36"/>
  <c r="AI32" i="36"/>
  <c r="V32" i="37"/>
  <c r="N32" i="37"/>
  <c r="O32" i="37" s="1"/>
  <c r="AG43" i="37"/>
  <c r="O36" i="38"/>
  <c r="AB24" i="36"/>
  <c r="AJ24" i="36"/>
  <c r="O40" i="36"/>
  <c r="V24" i="35"/>
  <c r="N24" i="35"/>
  <c r="AN29" i="34"/>
  <c r="AP15" i="34"/>
  <c r="AQ15" i="34" s="1"/>
  <c r="AQ18" i="36"/>
  <c r="AI18" i="36"/>
  <c r="AI27" i="35"/>
  <c r="AQ27" i="35"/>
  <c r="L46" i="34"/>
  <c r="AB46" i="33"/>
  <c r="O19" i="35"/>
  <c r="AB46" i="34"/>
  <c r="AJ46" i="34"/>
  <c r="Z29" i="35"/>
  <c r="AJ15" i="35"/>
  <c r="AB15" i="35"/>
  <c r="AC15" i="35" s="1"/>
  <c r="U41" i="34"/>
  <c r="V41" i="34" s="1"/>
  <c r="AP22" i="35"/>
  <c r="AP33" i="33"/>
  <c r="AC28" i="35"/>
  <c r="U28" i="35"/>
  <c r="AI24" i="35"/>
  <c r="AQ24" i="35"/>
  <c r="S44" i="33"/>
  <c r="AQ34" i="33"/>
  <c r="AI34" i="33"/>
  <c r="N37" i="33"/>
  <c r="V37" i="33"/>
  <c r="N40" i="32"/>
  <c r="O40" i="32" s="1"/>
  <c r="V40" i="32"/>
  <c r="S43" i="31"/>
  <c r="AB43" i="31" s="1"/>
  <c r="AP19" i="31"/>
  <c r="AQ19" i="31" s="1"/>
  <c r="AQ22" i="33"/>
  <c r="AI22" i="33"/>
  <c r="AC24" i="32"/>
  <c r="U24" i="32"/>
  <c r="L46" i="35"/>
  <c r="U46" i="35" s="1"/>
  <c r="AP46" i="30"/>
  <c r="AQ46" i="30" s="1"/>
  <c r="Z46" i="31"/>
  <c r="AC28" i="30"/>
  <c r="U28" i="30"/>
  <c r="V41" i="32"/>
  <c r="N41" i="32"/>
  <c r="O41" i="32" s="1"/>
  <c r="N32" i="31"/>
  <c r="AI30" i="31"/>
  <c r="AQ30" i="31"/>
  <c r="AQ26" i="30"/>
  <c r="AI26" i="30"/>
  <c r="AJ20" i="34"/>
  <c r="AB20" i="34"/>
  <c r="O32" i="32"/>
  <c r="Z29" i="32"/>
  <c r="AJ15" i="32"/>
  <c r="AB15" i="32"/>
  <c r="AC15" i="32" s="1"/>
  <c r="U41" i="30"/>
  <c r="V41" i="30" s="1"/>
  <c r="AP30" i="29"/>
  <c r="AC23" i="29"/>
  <c r="U23" i="29"/>
  <c r="AP18" i="32"/>
  <c r="AJ16" i="29"/>
  <c r="AB16" i="29"/>
  <c r="AP22" i="30"/>
  <c r="N23" i="29"/>
  <c r="V23" i="29"/>
  <c r="N17" i="31"/>
  <c r="V17" i="31"/>
  <c r="V28" i="32"/>
  <c r="N28" i="32"/>
  <c r="AP37" i="28"/>
  <c r="AC18" i="28"/>
  <c r="U18" i="28"/>
  <c r="AJ31" i="28"/>
  <c r="AB31" i="28"/>
  <c r="AI35" i="28"/>
  <c r="AQ35" i="28"/>
  <c r="AI16" i="29"/>
  <c r="AQ16" i="29"/>
  <c r="V32" i="29"/>
  <c r="N32" i="29"/>
  <c r="O32" i="29" s="1"/>
  <c r="AJ38" i="28"/>
  <c r="AB38" i="28"/>
  <c r="AI20" i="28"/>
  <c r="AQ20" i="28"/>
  <c r="AJ38" i="27"/>
  <c r="AB38" i="27"/>
  <c r="AP15" i="26"/>
  <c r="AQ15" i="26" s="1"/>
  <c r="AN29" i="26"/>
  <c r="AC20" i="28"/>
  <c r="U20" i="28"/>
  <c r="N20" i="27"/>
  <c r="V20" i="27"/>
  <c r="AQ27" i="26"/>
  <c r="AI27" i="26"/>
  <c r="AP41" i="27"/>
  <c r="AQ41" i="27" s="1"/>
  <c r="AI40" i="25"/>
  <c r="AJ40" i="25" s="1"/>
  <c r="AP34" i="27"/>
  <c r="N15" i="27"/>
  <c r="O15" i="27" s="1"/>
  <c r="L29" i="27"/>
  <c r="V15" i="27"/>
  <c r="U37" i="27"/>
  <c r="AC37" i="27"/>
  <c r="N26" i="25"/>
  <c r="V26" i="25"/>
  <c r="O45" i="25"/>
  <c r="V23" i="27"/>
  <c r="N23" i="27"/>
  <c r="AB36" i="26"/>
  <c r="AC36" i="26" s="1"/>
  <c r="AB36" i="23"/>
  <c r="AC36" i="23" s="1"/>
  <c r="AJ36" i="23"/>
  <c r="N35" i="22"/>
  <c r="O35" i="22" s="1"/>
  <c r="V35" i="22"/>
  <c r="AC20" i="23"/>
  <c r="U20" i="23"/>
  <c r="AI16" i="25"/>
  <c r="AQ16" i="25"/>
  <c r="AP43" i="21"/>
  <c r="AQ43" i="21" s="1"/>
  <c r="AB35" i="22"/>
  <c r="AC35" i="22" s="1"/>
  <c r="AJ35" i="22"/>
  <c r="AB24" i="24"/>
  <c r="AJ24" i="24"/>
  <c r="U48" i="22"/>
  <c r="V48" i="22" s="1"/>
  <c r="AC48" i="22"/>
  <c r="O19" i="26"/>
  <c r="AB32" i="23"/>
  <c r="AJ32" i="23"/>
  <c r="O19" i="23"/>
  <c r="AB47" i="20"/>
  <c r="AC47" i="20" s="1"/>
  <c r="AJ47" i="20"/>
  <c r="AJ32" i="24"/>
  <c r="AB32" i="24"/>
  <c r="V15" i="22"/>
  <c r="L29" i="22"/>
  <c r="N15" i="22"/>
  <c r="O15" i="22" s="1"/>
  <c r="N18" i="21"/>
  <c r="V18" i="21"/>
  <c r="AJ27" i="20"/>
  <c r="AB27" i="20"/>
  <c r="O48" i="24"/>
  <c r="U43" i="22"/>
  <c r="V43" i="22" s="1"/>
  <c r="AP22" i="28"/>
  <c r="AN38" i="23"/>
  <c r="AP38" i="23" s="1"/>
  <c r="AQ38" i="23" s="1"/>
  <c r="AC45" i="22"/>
  <c r="U45" i="22"/>
  <c r="V45" i="22" s="1"/>
  <c r="AB45" i="22"/>
  <c r="AP20" i="26"/>
  <c r="AP26" i="22"/>
  <c r="N22" i="20"/>
  <c r="V30" i="18"/>
  <c r="N30" i="18"/>
  <c r="O30" i="18" s="1"/>
  <c r="N21" i="19"/>
  <c r="O21" i="19" s="1"/>
  <c r="AQ19" i="18"/>
  <c r="AI19" i="18"/>
  <c r="AI17" i="20"/>
  <c r="AQ17" i="20"/>
  <c r="AB37" i="25"/>
  <c r="AJ37" i="25"/>
  <c r="N37" i="25"/>
  <c r="V37" i="25"/>
  <c r="K46" i="25"/>
  <c r="L46" i="25" s="1"/>
  <c r="N19" i="22"/>
  <c r="V36" i="19"/>
  <c r="N36" i="19"/>
  <c r="O36" i="19" s="1"/>
  <c r="AC38" i="20"/>
  <c r="U38" i="20"/>
  <c r="V38" i="20" s="1"/>
  <c r="N48" i="18"/>
  <c r="O48" i="18" s="1"/>
  <c r="V48" i="18"/>
  <c r="AP39" i="18"/>
  <c r="AQ39" i="18" s="1"/>
  <c r="U18" i="18"/>
  <c r="AC18" i="18"/>
  <c r="U17" i="20"/>
  <c r="AC17" i="20"/>
  <c r="N19" i="21"/>
  <c r="O19" i="21" s="1"/>
  <c r="V19" i="21"/>
  <c r="V31" i="19"/>
  <c r="N31" i="19"/>
  <c r="AP47" i="20"/>
  <c r="AQ47" i="20" s="1"/>
  <c r="AI47" i="18"/>
  <c r="AJ47" i="18" s="1"/>
  <c r="AQ47" i="18"/>
  <c r="U36" i="16"/>
  <c r="V36" i="16" s="1"/>
  <c r="H41" i="17"/>
  <c r="N41" i="17" s="1"/>
  <c r="AN29" i="17"/>
  <c r="AP15" i="17"/>
  <c r="AQ15" i="17" s="1"/>
  <c r="AP39" i="17"/>
  <c r="AQ39" i="17" s="1"/>
  <c r="L41" i="15"/>
  <c r="AN42" i="22"/>
  <c r="AP42" i="22" s="1"/>
  <c r="AQ42" i="22" s="1"/>
  <c r="AQ19" i="20"/>
  <c r="AI19" i="20"/>
  <c r="AJ19" i="20" s="1"/>
  <c r="V31" i="16"/>
  <c r="N31" i="16"/>
  <c r="U34" i="15"/>
  <c r="V34" i="15" s="1"/>
  <c r="AJ47" i="15"/>
  <c r="AB47" i="15"/>
  <c r="AC47" i="15" s="1"/>
  <c r="AJ34" i="17"/>
  <c r="AB34" i="17"/>
  <c r="AC34" i="17" s="1"/>
  <c r="AC48" i="15"/>
  <c r="U48" i="15"/>
  <c r="V48" i="15" s="1"/>
  <c r="AI47" i="15"/>
  <c r="O44" i="15"/>
  <c r="AC20" i="14"/>
  <c r="U20" i="14"/>
  <c r="AP48" i="12"/>
  <c r="O34" i="14"/>
  <c r="AI15" i="21"/>
  <c r="AJ15" i="21" s="1"/>
  <c r="AG29" i="21"/>
  <c r="U47" i="19"/>
  <c r="V47" i="19" s="1"/>
  <c r="U19" i="12"/>
  <c r="AC19" i="12"/>
  <c r="U33" i="18"/>
  <c r="AC33" i="18"/>
  <c r="AI47" i="16"/>
  <c r="AJ47" i="16" s="1"/>
  <c r="AQ16" i="15"/>
  <c r="AI16" i="15"/>
  <c r="U25" i="17"/>
  <c r="AC25" i="17"/>
  <c r="AP34" i="14"/>
  <c r="AQ34" i="14" s="1"/>
  <c r="AB25" i="15"/>
  <c r="AJ25" i="15"/>
  <c r="AP22" i="13"/>
  <c r="AQ35" i="15"/>
  <c r="AI35" i="15"/>
  <c r="AJ35" i="15" s="1"/>
  <c r="AB22" i="13"/>
  <c r="AJ22" i="13"/>
  <c r="U44" i="11"/>
  <c r="V44" i="11" s="1"/>
  <c r="AC44" i="11"/>
  <c r="AB44" i="11"/>
  <c r="AQ30" i="13"/>
  <c r="AI30" i="13"/>
  <c r="AP33" i="14"/>
  <c r="AB42" i="12"/>
  <c r="AJ42" i="12"/>
  <c r="L29" i="14"/>
  <c r="N15" i="14"/>
  <c r="O15" i="14" s="1"/>
  <c r="V15" i="14"/>
  <c r="N9" i="3"/>
  <c r="S9" i="3" s="1"/>
  <c r="S7" i="3"/>
  <c r="AP15" i="18"/>
  <c r="AQ15" i="18" s="1"/>
  <c r="AN29" i="18"/>
  <c r="AC28" i="22"/>
  <c r="U28" i="22"/>
  <c r="AP21" i="20"/>
  <c r="AC24" i="17"/>
  <c r="U24" i="17"/>
  <c r="AC28" i="16"/>
  <c r="U28" i="16"/>
  <c r="AI43" i="16"/>
  <c r="AJ43" i="16" s="1"/>
  <c r="AQ43" i="16"/>
  <c r="AQ36" i="17"/>
  <c r="AI36" i="17"/>
  <c r="AJ36" i="17" s="1"/>
  <c r="N32" i="18"/>
  <c r="O32" i="18" s="1"/>
  <c r="V32" i="18"/>
  <c r="AJ28" i="15"/>
  <c r="AB28" i="15"/>
  <c r="AB39" i="17"/>
  <c r="AC39" i="17" s="1"/>
  <c r="AJ39" i="17"/>
  <c r="AB32" i="21"/>
  <c r="AJ32" i="21"/>
  <c r="AQ25" i="23"/>
  <c r="AI25" i="23"/>
  <c r="V30" i="23"/>
  <c r="N30" i="23"/>
  <c r="AJ33" i="23"/>
  <c r="AB33" i="23"/>
  <c r="AJ43" i="21"/>
  <c r="AB43" i="21"/>
  <c r="U40" i="26"/>
  <c r="V40" i="26" s="1"/>
  <c r="AC40" i="26"/>
  <c r="AC40" i="25"/>
  <c r="U40" i="25"/>
  <c r="V40" i="25" s="1"/>
  <c r="AG19" i="27"/>
  <c r="AG29" i="27" s="1"/>
  <c r="W21" i="3"/>
  <c r="AJ22" i="24"/>
  <c r="AB22" i="24"/>
  <c r="AI31" i="26"/>
  <c r="AQ31" i="26"/>
  <c r="V28" i="26"/>
  <c r="N28" i="26"/>
  <c r="AJ26" i="27"/>
  <c r="AB26" i="27"/>
  <c r="U36" i="28"/>
  <c r="V36" i="28" s="1"/>
  <c r="AG31" i="27"/>
  <c r="N22" i="3"/>
  <c r="AQ40" i="28"/>
  <c r="AI40" i="28"/>
  <c r="AJ40" i="28" s="1"/>
  <c r="AJ24" i="28"/>
  <c r="AB24" i="28"/>
  <c r="AI41" i="29"/>
  <c r="AQ41" i="29"/>
  <c r="L29" i="30"/>
  <c r="V15" i="30"/>
  <c r="N15" i="30"/>
  <c r="AI27" i="30"/>
  <c r="AQ27" i="30"/>
  <c r="V34" i="30"/>
  <c r="N34" i="30"/>
  <c r="O34" i="30" s="1"/>
  <c r="AQ18" i="33"/>
  <c r="AI18" i="33"/>
  <c r="V33" i="32"/>
  <c r="N33" i="32"/>
  <c r="O33" i="32" s="1"/>
  <c r="W26" i="3"/>
  <c r="N35" i="32"/>
  <c r="AQ36" i="35"/>
  <c r="AI36" i="35"/>
  <c r="AJ36" i="35" s="1"/>
  <c r="AB23" i="35"/>
  <c r="AJ23" i="35"/>
  <c r="AI38" i="34"/>
  <c r="AQ38" i="34"/>
  <c r="N20" i="36"/>
  <c r="V20" i="36"/>
  <c r="AQ36" i="34"/>
  <c r="AI36" i="34"/>
  <c r="AC24" i="36"/>
  <c r="U24" i="36"/>
  <c r="AB31" i="35"/>
  <c r="AJ31" i="35"/>
  <c r="V31" i="35"/>
  <c r="N31" i="35"/>
  <c r="AP40" i="36"/>
  <c r="AQ40" i="36" s="1"/>
  <c r="U22" i="38"/>
  <c r="V22" i="38" s="1"/>
  <c r="AC22" i="38"/>
  <c r="AB36" i="39"/>
  <c r="AC36" i="39" s="1"/>
  <c r="AJ36" i="39"/>
  <c r="O15" i="40"/>
  <c r="H29" i="40"/>
  <c r="U32" i="40"/>
  <c r="V32" i="40" s="1"/>
  <c r="AC32" i="40"/>
  <c r="U33" i="39"/>
  <c r="V33" i="39" s="1"/>
  <c r="AC33" i="39"/>
  <c r="O45" i="39"/>
  <c r="AB22" i="40"/>
  <c r="AJ22" i="40"/>
  <c r="AI31" i="41"/>
  <c r="AQ31" i="41"/>
  <c r="U27" i="13"/>
  <c r="AC27" i="13"/>
  <c r="N21" i="12"/>
  <c r="O21" i="12" s="1"/>
  <c r="V21" i="12"/>
  <c r="AI30" i="11"/>
  <c r="AQ30" i="11"/>
  <c r="U19" i="10"/>
  <c r="AC19" i="10"/>
  <c r="V42" i="14"/>
  <c r="N42" i="14"/>
  <c r="O42" i="14" s="1"/>
  <c r="L41" i="12"/>
  <c r="U41" i="12" s="1"/>
  <c r="AC26" i="12"/>
  <c r="U26" i="12"/>
  <c r="AI17" i="14"/>
  <c r="AQ17" i="14"/>
  <c r="AJ21" i="13"/>
  <c r="AB21" i="13"/>
  <c r="AB18" i="12"/>
  <c r="AJ18" i="12"/>
  <c r="AP26" i="11"/>
  <c r="AP15" i="12"/>
  <c r="AN29" i="12"/>
  <c r="AQ41" i="9"/>
  <c r="AI41" i="9"/>
  <c r="AJ24" i="15"/>
  <c r="AB24" i="15"/>
  <c r="AQ39" i="14"/>
  <c r="AI39" i="14"/>
  <c r="AJ39" i="14" s="1"/>
  <c r="AI26" i="12"/>
  <c r="AQ26" i="12"/>
  <c r="AI47" i="10"/>
  <c r="AJ47" i="10" s="1"/>
  <c r="O42" i="9"/>
  <c r="N39" i="11"/>
  <c r="O39" i="11" s="1"/>
  <c r="V39" i="11"/>
  <c r="V34" i="11"/>
  <c r="N34" i="11"/>
  <c r="O34" i="11" s="1"/>
  <c r="AP21" i="10"/>
  <c r="AP48" i="11"/>
  <c r="U25" i="9"/>
  <c r="AC25" i="9"/>
  <c r="AQ15" i="11"/>
  <c r="AG29" i="11"/>
  <c r="AI15" i="11"/>
  <c r="AJ15" i="11" s="1"/>
  <c r="AC22" i="10"/>
  <c r="U22" i="10"/>
  <c r="V22" i="10" s="1"/>
  <c r="AQ48" i="10"/>
  <c r="AI48" i="10"/>
  <c r="N23" i="9"/>
  <c r="V23" i="9"/>
  <c r="AP33" i="11"/>
  <c r="L34" i="13"/>
  <c r="U34" i="13" s="1"/>
  <c r="AP26" i="13"/>
  <c r="AI31" i="10"/>
  <c r="AQ31" i="10"/>
  <c r="AB31" i="15"/>
  <c r="AJ31" i="15"/>
  <c r="AN39" i="9"/>
  <c r="AP39" i="9" s="1"/>
  <c r="AQ39" i="9" s="1"/>
  <c r="AI15" i="9"/>
  <c r="AQ25" i="11"/>
  <c r="AI25" i="11"/>
  <c r="AJ19" i="9"/>
  <c r="AB19" i="9"/>
  <c r="V30" i="10"/>
  <c r="N30" i="10"/>
  <c r="AP41" i="10"/>
  <c r="AI24" i="11"/>
  <c r="AQ24" i="11"/>
  <c r="AB44" i="10"/>
  <c r="AC44" i="10" s="1"/>
  <c r="AJ44" i="10"/>
  <c r="U30" i="9"/>
  <c r="V30" i="9" s="1"/>
  <c r="AC30" i="9"/>
  <c r="AB39" i="10"/>
  <c r="AC39" i="10" s="1"/>
  <c r="AJ39" i="10"/>
  <c r="N36" i="10"/>
  <c r="O36" i="10" s="1"/>
  <c r="V36" i="10"/>
  <c r="V31" i="10"/>
  <c r="N31" i="10"/>
  <c r="AQ25" i="15"/>
  <c r="AI25" i="15"/>
  <c r="AB48" i="14"/>
  <c r="AC48" i="14" s="1"/>
  <c r="AJ32" i="16"/>
  <c r="AB32" i="16"/>
  <c r="AP36" i="14"/>
  <c r="AQ36" i="14" s="1"/>
  <c r="V23" i="15"/>
  <c r="N23" i="15"/>
  <c r="AI39" i="13"/>
  <c r="AJ39" i="13" s="1"/>
  <c r="AQ39" i="13"/>
  <c r="V26" i="15"/>
  <c r="N26" i="15"/>
  <c r="O48" i="19"/>
  <c r="U30" i="14"/>
  <c r="V30" i="14" s="1"/>
  <c r="AC30" i="14"/>
  <c r="AB27" i="12"/>
  <c r="AJ27" i="12"/>
  <c r="AB34" i="16"/>
  <c r="AJ34" i="16"/>
  <c r="AP41" i="13"/>
  <c r="AQ41" i="13" s="1"/>
  <c r="AC41" i="12"/>
  <c r="H29" i="12"/>
  <c r="AQ17" i="12"/>
  <c r="AI17" i="12"/>
  <c r="N24" i="12"/>
  <c r="V24" i="12"/>
  <c r="AC18" i="14"/>
  <c r="U18" i="14"/>
  <c r="V36" i="15"/>
  <c r="N36" i="15"/>
  <c r="O36" i="15" s="1"/>
  <c r="AB19" i="17"/>
  <c r="AJ19" i="17"/>
  <c r="AC26" i="18"/>
  <c r="U26" i="18"/>
  <c r="V26" i="20"/>
  <c r="N26" i="20"/>
  <c r="U19" i="15"/>
  <c r="AC19" i="15"/>
  <c r="V26" i="16"/>
  <c r="N26" i="16"/>
  <c r="N23" i="19"/>
  <c r="V23" i="19"/>
  <c r="V30" i="24"/>
  <c r="N30" i="24"/>
  <c r="N34" i="19"/>
  <c r="O34" i="19" s="1"/>
  <c r="AI41" i="20"/>
  <c r="AJ41" i="20" s="1"/>
  <c r="V20" i="24"/>
  <c r="N20" i="24"/>
  <c r="AQ39" i="24"/>
  <c r="AI39" i="24"/>
  <c r="AJ25" i="23"/>
  <c r="AB25" i="23"/>
  <c r="AC27" i="25"/>
  <c r="U27" i="25"/>
  <c r="AQ24" i="25"/>
  <c r="AI24" i="25"/>
  <c r="U45" i="26"/>
  <c r="V45" i="26" s="1"/>
  <c r="AC45" i="26"/>
  <c r="AQ27" i="25"/>
  <c r="AI27" i="25"/>
  <c r="U36" i="27"/>
  <c r="V36" i="27" s="1"/>
  <c r="AC36" i="27"/>
  <c r="AQ23" i="27"/>
  <c r="AI23" i="27"/>
  <c r="AI45" i="28"/>
  <c r="AJ45" i="28" s="1"/>
  <c r="AQ45" i="28"/>
  <c r="V45" i="28"/>
  <c r="N45" i="28"/>
  <c r="O45" i="28" s="1"/>
  <c r="AJ22" i="31"/>
  <c r="AB22" i="31"/>
  <c r="N24" i="28"/>
  <c r="V24" i="28"/>
  <c r="AJ28" i="32"/>
  <c r="AB28" i="32"/>
  <c r="AP38" i="31"/>
  <c r="AB43" i="30"/>
  <c r="AQ21" i="31"/>
  <c r="AI21" i="31"/>
  <c r="N27" i="30"/>
  <c r="V27" i="30"/>
  <c r="AQ45" i="33"/>
  <c r="AI45" i="33"/>
  <c r="AJ45" i="33" s="1"/>
  <c r="AC45" i="31"/>
  <c r="U45" i="31"/>
  <c r="V45" i="31" s="1"/>
  <c r="U33" i="31"/>
  <c r="V33" i="31" s="1"/>
  <c r="AC33" i="31"/>
  <c r="AI32" i="34"/>
  <c r="AQ32" i="34"/>
  <c r="N33" i="3"/>
  <c r="N35" i="3" s="1"/>
  <c r="V33" i="33"/>
  <c r="N33" i="33"/>
  <c r="AC40" i="35"/>
  <c r="U40" i="35"/>
  <c r="V40" i="35" s="1"/>
  <c r="N19" i="36"/>
  <c r="V19" i="36"/>
  <c r="AQ31" i="36"/>
  <c r="AI31" i="36"/>
  <c r="AQ32" i="37"/>
  <c r="AI32" i="37"/>
  <c r="AQ23" i="39"/>
  <c r="AI23" i="39"/>
  <c r="AC26" i="39"/>
  <c r="U26" i="39"/>
  <c r="N17" i="40"/>
  <c r="V17" i="40"/>
  <c r="AI20" i="40"/>
  <c r="AQ20" i="40"/>
  <c r="U23" i="40"/>
  <c r="AC23" i="40"/>
  <c r="AB31" i="40"/>
  <c r="AJ31" i="40"/>
  <c r="AP25" i="41"/>
  <c r="AQ34" i="41"/>
  <c r="AI34" i="41"/>
  <c r="U24" i="41"/>
  <c r="AC24" i="41"/>
  <c r="U25" i="13"/>
  <c r="AC25" i="13"/>
  <c r="AP43" i="10"/>
  <c r="AQ43" i="10" s="1"/>
  <c r="AB31" i="9"/>
  <c r="AJ31" i="9"/>
  <c r="AP26" i="15"/>
  <c r="H34" i="13"/>
  <c r="AP18" i="12"/>
  <c r="AB31" i="11"/>
  <c r="AJ31" i="11"/>
  <c r="AC25" i="15"/>
  <c r="U25" i="15"/>
  <c r="S42" i="11"/>
  <c r="U24" i="11"/>
  <c r="AC24" i="11"/>
  <c r="V25" i="14"/>
  <c r="N25" i="14"/>
  <c r="AP23" i="12"/>
  <c r="V18" i="11"/>
  <c r="N18" i="11"/>
  <c r="AB35" i="12"/>
  <c r="AC35" i="12" s="1"/>
  <c r="AJ35" i="12"/>
  <c r="O47" i="11"/>
  <c r="AP34" i="10"/>
  <c r="AQ34" i="10" s="1"/>
  <c r="AP30" i="9"/>
  <c r="AC17" i="13"/>
  <c r="U17" i="13"/>
  <c r="AJ22" i="11"/>
  <c r="AB22" i="11"/>
  <c r="V33" i="10"/>
  <c r="N33" i="10"/>
  <c r="AP20" i="9"/>
  <c r="AI42" i="11"/>
  <c r="AJ42" i="11" s="1"/>
  <c r="AQ42" i="11"/>
  <c r="AP26" i="10"/>
  <c r="AQ43" i="14"/>
  <c r="AI43" i="14"/>
  <c r="AJ43" i="14" s="1"/>
  <c r="AC24" i="10"/>
  <c r="U24" i="10"/>
  <c r="AI22" i="12"/>
  <c r="AQ22" i="12"/>
  <c r="N18" i="9"/>
  <c r="V18" i="9"/>
  <c r="AI31" i="12"/>
  <c r="AQ31" i="12"/>
  <c r="AC21" i="11"/>
  <c r="U21" i="11"/>
  <c r="AB27" i="10"/>
  <c r="AJ27" i="10"/>
  <c r="S42" i="9"/>
  <c r="U28" i="12"/>
  <c r="AC28" i="12"/>
  <c r="L39" i="9"/>
  <c r="U39" i="9" s="1"/>
  <c r="AQ33" i="9"/>
  <c r="AI33" i="9"/>
  <c r="AB48" i="9"/>
  <c r="AI48" i="9"/>
  <c r="AJ48" i="9"/>
  <c r="AC16" i="9"/>
  <c r="U16" i="9"/>
  <c r="AC23" i="9"/>
  <c r="U23" i="9"/>
  <c r="V19" i="9"/>
  <c r="N19" i="9"/>
  <c r="AP19" i="10"/>
  <c r="AB38" i="10"/>
  <c r="AC38" i="10" s="1"/>
  <c r="AJ38" i="10"/>
  <c r="N25" i="9"/>
  <c r="V25" i="9"/>
  <c r="AC25" i="21"/>
  <c r="U25" i="21"/>
  <c r="V15" i="16"/>
  <c r="L29" i="16"/>
  <c r="N15" i="16"/>
  <c r="O15" i="16" s="1"/>
  <c r="AI41" i="15"/>
  <c r="AJ41" i="15" s="1"/>
  <c r="AQ41" i="15"/>
  <c r="N36" i="20"/>
  <c r="O36" i="20" s="1"/>
  <c r="AQ26" i="18"/>
  <c r="AI26" i="18"/>
  <c r="AG31" i="20"/>
  <c r="N17" i="3"/>
  <c r="N19" i="3" s="1"/>
  <c r="S19" i="3" s="1"/>
  <c r="AQ26" i="16"/>
  <c r="AI26" i="16"/>
  <c r="N16" i="17"/>
  <c r="V16" i="17"/>
  <c r="N42" i="20"/>
  <c r="O42" i="20" s="1"/>
  <c r="V42" i="20"/>
  <c r="U16" i="21"/>
  <c r="AC16" i="21"/>
  <c r="AC26" i="25"/>
  <c r="U26" i="25"/>
  <c r="AQ23" i="26"/>
  <c r="AI23" i="26"/>
  <c r="O44" i="27"/>
  <c r="AB41" i="20"/>
  <c r="AC41" i="20" s="1"/>
  <c r="AJ21" i="22"/>
  <c r="AB21" i="22"/>
  <c r="AJ16" i="25"/>
  <c r="AB16" i="25"/>
  <c r="AC19" i="25"/>
  <c r="U19" i="25"/>
  <c r="V19" i="25" s="1"/>
  <c r="AJ25" i="25"/>
  <c r="AB25" i="25"/>
  <c r="N41" i="25"/>
  <c r="O41" i="25" s="1"/>
  <c r="AP18" i="28"/>
  <c r="V26" i="27"/>
  <c r="N26" i="27"/>
  <c r="AJ20" i="29"/>
  <c r="AB20" i="29"/>
  <c r="AQ41" i="28"/>
  <c r="AI41" i="28"/>
  <c r="AJ41" i="28" s="1"/>
  <c r="N38" i="31"/>
  <c r="AP20" i="33"/>
  <c r="AI24" i="31"/>
  <c r="AQ24" i="31"/>
  <c r="N45" i="31"/>
  <c r="O45" i="31" s="1"/>
  <c r="AB20" i="33"/>
  <c r="AJ20" i="33"/>
  <c r="AB20" i="32"/>
  <c r="AJ20" i="32"/>
  <c r="AI19" i="33"/>
  <c r="U34" i="34"/>
  <c r="AC34" i="34"/>
  <c r="V38" i="33"/>
  <c r="N38" i="33"/>
  <c r="AP26" i="34"/>
  <c r="AJ26" i="35"/>
  <c r="AB26" i="35"/>
  <c r="AC24" i="35"/>
  <c r="U24" i="35"/>
  <c r="O33" i="36"/>
  <c r="AQ45" i="38"/>
  <c r="AI45" i="38"/>
  <c r="AJ45" i="38" s="1"/>
  <c r="V35" i="37"/>
  <c r="N35" i="37"/>
  <c r="N25" i="38"/>
  <c r="V25" i="38"/>
  <c r="AI22" i="38"/>
  <c r="AQ22" i="38"/>
  <c r="V27" i="39"/>
  <c r="N27" i="39"/>
  <c r="AP45" i="38"/>
  <c r="AP26" i="39"/>
  <c r="V32" i="38"/>
  <c r="N32" i="38"/>
  <c r="O32" i="38" s="1"/>
  <c r="N23" i="40"/>
  <c r="V23" i="40"/>
  <c r="AP32" i="40"/>
  <c r="V15" i="41"/>
  <c r="L29" i="41"/>
  <c r="N15" i="41"/>
  <c r="O15" i="41" s="1"/>
  <c r="V31" i="41"/>
  <c r="N31" i="41"/>
  <c r="V38" i="41"/>
  <c r="N38" i="41"/>
  <c r="AJ36" i="13"/>
  <c r="AB36" i="13"/>
  <c r="AC36" i="13" s="1"/>
  <c r="AQ28" i="12"/>
  <c r="AI28" i="12"/>
  <c r="U43" i="11"/>
  <c r="V43" i="11" s="1"/>
  <c r="AC43" i="11"/>
  <c r="AI30" i="9"/>
  <c r="AQ30" i="9"/>
  <c r="H39" i="13"/>
  <c r="V25" i="13"/>
  <c r="N25" i="13"/>
  <c r="AB43" i="12"/>
  <c r="AC43" i="12" s="1"/>
  <c r="AJ43" i="12"/>
  <c r="N18" i="12"/>
  <c r="V18" i="12"/>
  <c r="N38" i="14"/>
  <c r="O38" i="14" s="1"/>
  <c r="V38" i="14"/>
  <c r="AC42" i="13"/>
  <c r="U42" i="13"/>
  <c r="V42" i="13" s="1"/>
  <c r="AB36" i="12"/>
  <c r="AC36" i="12" s="1"/>
  <c r="AJ36" i="12"/>
  <c r="AC35" i="11"/>
  <c r="U35" i="11"/>
  <c r="V35" i="11" s="1"/>
  <c r="V16" i="11"/>
  <c r="N16" i="11"/>
  <c r="O30" i="9"/>
  <c r="O43" i="12"/>
  <c r="AJ27" i="9"/>
  <c r="AB27" i="9"/>
  <c r="AP43" i="12"/>
  <c r="AQ43" i="12" s="1"/>
  <c r="AJ31" i="10"/>
  <c r="AB31" i="10"/>
  <c r="AI35" i="11"/>
  <c r="AJ35" i="11" s="1"/>
  <c r="AQ35" i="11"/>
  <c r="L38" i="10"/>
  <c r="AJ22" i="10"/>
  <c r="AB22" i="10"/>
  <c r="AP36" i="9"/>
  <c r="AQ36" i="9" s="1"/>
  <c r="AI32" i="9"/>
  <c r="AQ32" i="9"/>
  <c r="AP34" i="11"/>
  <c r="AQ34" i="11" s="1"/>
  <c r="AQ18" i="14"/>
  <c r="AI18" i="14"/>
  <c r="AJ30" i="12"/>
  <c r="AB30" i="12"/>
  <c r="AI26" i="10"/>
  <c r="AQ26" i="10"/>
  <c r="N21" i="15"/>
  <c r="O21" i="15" s="1"/>
  <c r="V21" i="15"/>
  <c r="O38" i="12"/>
  <c r="AC27" i="12"/>
  <c r="U27" i="12"/>
  <c r="AP47" i="10"/>
  <c r="AQ47" i="10" s="1"/>
  <c r="L38" i="9"/>
  <c r="N32" i="9"/>
  <c r="O32" i="9" s="1"/>
  <c r="V32" i="9"/>
  <c r="AB20" i="11"/>
  <c r="AJ20" i="11"/>
  <c r="AJ45" i="9"/>
  <c r="AI45" i="9"/>
  <c r="AB45" i="9"/>
  <c r="AC45" i="9" s="1"/>
  <c r="AC36" i="9"/>
  <c r="U36" i="9"/>
  <c r="AI23" i="9"/>
  <c r="AQ23" i="9"/>
  <c r="AI39" i="9"/>
  <c r="U17" i="9"/>
  <c r="AC17" i="9"/>
  <c r="O34" i="15"/>
  <c r="AC27" i="10"/>
  <c r="U27" i="10"/>
  <c r="AI22" i="11"/>
  <c r="AQ22" i="11"/>
  <c r="AP30" i="10"/>
  <c r="U24" i="9"/>
  <c r="AC24" i="9"/>
  <c r="AI32" i="41"/>
  <c r="AJ37" i="41"/>
  <c r="AB37" i="41"/>
  <c r="AC37" i="41" s="1"/>
  <c r="U50" i="41"/>
  <c r="AC50" i="41"/>
  <c r="AI23" i="40"/>
  <c r="AQ23" i="40"/>
  <c r="AP15" i="41"/>
  <c r="AQ15" i="41" s="1"/>
  <c r="AN29" i="41"/>
  <c r="U26" i="41"/>
  <c r="AC26" i="41"/>
  <c r="AQ31" i="40"/>
  <c r="AI31" i="40"/>
  <c r="AQ21" i="40"/>
  <c r="AI21" i="40"/>
  <c r="AJ33" i="40"/>
  <c r="AB33" i="40"/>
  <c r="V16" i="40"/>
  <c r="N16" i="40"/>
  <c r="V35" i="40"/>
  <c r="N35" i="40"/>
  <c r="O30" i="39"/>
  <c r="AC30" i="39"/>
  <c r="U30" i="39"/>
  <c r="V30" i="39" s="1"/>
  <c r="AQ30" i="40"/>
  <c r="AI30" i="40"/>
  <c r="AC16" i="39"/>
  <c r="U16" i="39"/>
  <c r="O43" i="39"/>
  <c r="AI41" i="39"/>
  <c r="AJ41" i="39" s="1"/>
  <c r="AQ41" i="39"/>
  <c r="AJ15" i="40"/>
  <c r="Z29" i="40"/>
  <c r="AB15" i="40"/>
  <c r="AC15" i="40" s="1"/>
  <c r="AP30" i="38"/>
  <c r="AP40" i="37"/>
  <c r="AQ40" i="37" s="1"/>
  <c r="N41" i="37"/>
  <c r="O41" i="37" s="1"/>
  <c r="V41" i="37"/>
  <c r="V19" i="38"/>
  <c r="N19" i="38"/>
  <c r="O19" i="38" s="1"/>
  <c r="AJ19" i="38"/>
  <c r="AB19" i="38"/>
  <c r="AI20" i="37"/>
  <c r="AQ20" i="37"/>
  <c r="AP31" i="37"/>
  <c r="AB15" i="37"/>
  <c r="AC15" i="37" s="1"/>
  <c r="Z29" i="37"/>
  <c r="AJ15" i="37"/>
  <c r="V22" i="36"/>
  <c r="N22" i="36"/>
  <c r="V24" i="38"/>
  <c r="N24" i="38"/>
  <c r="U20" i="37"/>
  <c r="AC20" i="37"/>
  <c r="U33" i="36"/>
  <c r="AC33" i="36"/>
  <c r="AJ30" i="37"/>
  <c r="AB30" i="37"/>
  <c r="AP37" i="37"/>
  <c r="AQ37" i="37" s="1"/>
  <c r="AJ27" i="37"/>
  <c r="AB27" i="37"/>
  <c r="AI25" i="37"/>
  <c r="AQ25" i="37"/>
  <c r="AC16" i="38"/>
  <c r="U16" i="38"/>
  <c r="AJ26" i="36"/>
  <c r="AB26" i="36"/>
  <c r="O37" i="36"/>
  <c r="N37" i="36"/>
  <c r="AP16" i="36"/>
  <c r="AI45" i="37"/>
  <c r="AJ45" i="37" s="1"/>
  <c r="N32" i="36"/>
  <c r="O32" i="36" s="1"/>
  <c r="R46" i="36"/>
  <c r="S46" i="36" s="1"/>
  <c r="R44" i="36"/>
  <c r="S44" i="36" s="1"/>
  <c r="S43" i="36"/>
  <c r="AP45" i="35"/>
  <c r="AQ45" i="35" s="1"/>
  <c r="AN46" i="35"/>
  <c r="AP46" i="35" s="1"/>
  <c r="N24" i="36"/>
  <c r="V24" i="36"/>
  <c r="AB34" i="35"/>
  <c r="AJ34" i="35"/>
  <c r="AF46" i="35"/>
  <c r="AG46" i="35" s="1"/>
  <c r="AF44" i="35"/>
  <c r="AG44" i="35" s="1"/>
  <c r="AG43" i="35"/>
  <c r="AP43" i="35" s="1"/>
  <c r="AP25" i="34"/>
  <c r="N30" i="35"/>
  <c r="O30" i="35" s="1"/>
  <c r="V30" i="35"/>
  <c r="AI18" i="35"/>
  <c r="AQ18" i="35"/>
  <c r="AP20" i="35"/>
  <c r="O36" i="33"/>
  <c r="U45" i="32"/>
  <c r="V45" i="32" s="1"/>
  <c r="AC45" i="32"/>
  <c r="AB30" i="34"/>
  <c r="G32" i="3" s="1"/>
  <c r="G33" i="3" s="1"/>
  <c r="AJ30" i="34"/>
  <c r="G31" i="3"/>
  <c r="V45" i="33"/>
  <c r="N45" i="33"/>
  <c r="O45" i="33" s="1"/>
  <c r="AP17" i="36"/>
  <c r="H46" i="33"/>
  <c r="N15" i="33"/>
  <c r="O15" i="33" s="1"/>
  <c r="L29" i="33"/>
  <c r="V15" i="33"/>
  <c r="AB18" i="35"/>
  <c r="AJ18" i="35"/>
  <c r="N17" i="32"/>
  <c r="V17" i="32"/>
  <c r="AJ25" i="33"/>
  <c r="AB25" i="33"/>
  <c r="AG46" i="33"/>
  <c r="N24" i="32"/>
  <c r="V24" i="32"/>
  <c r="O41" i="31"/>
  <c r="AP37" i="33"/>
  <c r="N28" i="31"/>
  <c r="V28" i="31"/>
  <c r="AJ18" i="33"/>
  <c r="AB18" i="33"/>
  <c r="AJ35" i="31"/>
  <c r="AB35" i="31"/>
  <c r="H46" i="32"/>
  <c r="AG43" i="32"/>
  <c r="N16" i="34"/>
  <c r="V16" i="34"/>
  <c r="N37" i="31"/>
  <c r="V37" i="31"/>
  <c r="U37" i="31"/>
  <c r="AG43" i="30"/>
  <c r="AP43" i="30" s="1"/>
  <c r="AQ44" i="30"/>
  <c r="AI44" i="30"/>
  <c r="AJ44" i="30" s="1"/>
  <c r="H44" i="32"/>
  <c r="N44" i="32" s="1"/>
  <c r="AQ23" i="31"/>
  <c r="AI23" i="31"/>
  <c r="U27" i="30"/>
  <c r="AC27" i="30"/>
  <c r="AJ31" i="31"/>
  <c r="AB31" i="31"/>
  <c r="AI35" i="29"/>
  <c r="AQ35" i="29"/>
  <c r="L44" i="30"/>
  <c r="AP31" i="28"/>
  <c r="H46" i="30"/>
  <c r="AQ35" i="31"/>
  <c r="AI35" i="31"/>
  <c r="V40" i="29"/>
  <c r="N40" i="29"/>
  <c r="O40" i="29" s="1"/>
  <c r="AJ40" i="30"/>
  <c r="AB40" i="30"/>
  <c r="AC40" i="30" s="1"/>
  <c r="AI45" i="27"/>
  <c r="AJ45" i="27" s="1"/>
  <c r="AQ45" i="27"/>
  <c r="AJ45" i="30"/>
  <c r="AB45" i="30"/>
  <c r="AC45" i="30" s="1"/>
  <c r="AP26" i="29"/>
  <c r="AJ34" i="28"/>
  <c r="AB34" i="28"/>
  <c r="O36" i="26"/>
  <c r="AP28" i="27"/>
  <c r="AB37" i="28"/>
  <c r="AJ37" i="28"/>
  <c r="AB15" i="28"/>
  <c r="AC15" i="28" s="1"/>
  <c r="Z29" i="28"/>
  <c r="L46" i="28"/>
  <c r="AG44" i="29"/>
  <c r="U36" i="30"/>
  <c r="V36" i="30" s="1"/>
  <c r="AC36" i="30"/>
  <c r="V23" i="28"/>
  <c r="N23" i="28"/>
  <c r="AJ37" i="26"/>
  <c r="AB37" i="26"/>
  <c r="U34" i="26"/>
  <c r="V34" i="26" s="1"/>
  <c r="AC34" i="26"/>
  <c r="O46" i="27"/>
  <c r="AP21" i="27"/>
  <c r="AI16" i="26"/>
  <c r="AQ16" i="26"/>
  <c r="AQ37" i="27"/>
  <c r="AI37" i="27"/>
  <c r="AP18" i="27"/>
  <c r="AC27" i="27"/>
  <c r="U27" i="27"/>
  <c r="AJ18" i="26"/>
  <c r="AB18" i="26"/>
  <c r="AB39" i="24"/>
  <c r="AC39" i="24" s="1"/>
  <c r="AJ39" i="24"/>
  <c r="O32" i="27"/>
  <c r="AP26" i="26"/>
  <c r="N33" i="24"/>
  <c r="V33" i="24"/>
  <c r="N47" i="23"/>
  <c r="O47" i="23" s="1"/>
  <c r="V47" i="23"/>
  <c r="AJ25" i="26"/>
  <c r="AB25" i="26"/>
  <c r="AJ21" i="25"/>
  <c r="AB21" i="25"/>
  <c r="AB22" i="26"/>
  <c r="AJ22" i="26"/>
  <c r="AJ16" i="26"/>
  <c r="AB16" i="26"/>
  <c r="AC16" i="24"/>
  <c r="U16" i="24"/>
  <c r="AP21" i="26"/>
  <c r="AI25" i="24"/>
  <c r="AQ25" i="24"/>
  <c r="AB36" i="25"/>
  <c r="AC36" i="25" s="1"/>
  <c r="AJ36" i="25"/>
  <c r="AB23" i="25"/>
  <c r="AJ23" i="25"/>
  <c r="AI28" i="23"/>
  <c r="AQ28" i="23"/>
  <c r="L39" i="21"/>
  <c r="U39" i="21" s="1"/>
  <c r="AQ17" i="29"/>
  <c r="AI17" i="29"/>
  <c r="AI38" i="24"/>
  <c r="AJ38" i="24" s="1"/>
  <c r="AQ38" i="24"/>
  <c r="AB34" i="23"/>
  <c r="AC34" i="23" s="1"/>
  <c r="AJ34" i="23"/>
  <c r="X59" i="22"/>
  <c r="AE53" i="22"/>
  <c r="AN42" i="24"/>
  <c r="AP42" i="24" s="1"/>
  <c r="AQ42" i="24" s="1"/>
  <c r="AN39" i="23"/>
  <c r="AP39" i="23" s="1"/>
  <c r="AQ39" i="23" s="1"/>
  <c r="V17" i="24"/>
  <c r="N17" i="24"/>
  <c r="AB27" i="23"/>
  <c r="AJ27" i="23"/>
  <c r="N35" i="20"/>
  <c r="O35" i="20" s="1"/>
  <c r="V35" i="20"/>
  <c r="AC19" i="23"/>
  <c r="U19" i="23"/>
  <c r="V19" i="23" s="1"/>
  <c r="O38" i="21"/>
  <c r="O34" i="20"/>
  <c r="N18" i="20"/>
  <c r="V18" i="20"/>
  <c r="S42" i="24"/>
  <c r="AB42" i="24" s="1"/>
  <c r="AI47" i="24"/>
  <c r="AJ47" i="24" s="1"/>
  <c r="AQ47" i="24"/>
  <c r="AP24" i="22"/>
  <c r="AB25" i="21"/>
  <c r="AJ25" i="21"/>
  <c r="AB48" i="20"/>
  <c r="AC48" i="20" s="1"/>
  <c r="AJ48" i="20"/>
  <c r="AB18" i="21"/>
  <c r="AJ18" i="21"/>
  <c r="AQ18" i="22"/>
  <c r="AI18" i="22"/>
  <c r="AC19" i="20"/>
  <c r="U19" i="20"/>
  <c r="AP33" i="24"/>
  <c r="AC17" i="22"/>
  <c r="U17" i="22"/>
  <c r="AC24" i="23"/>
  <c r="U24" i="23"/>
  <c r="AN38" i="20"/>
  <c r="AP38" i="20" s="1"/>
  <c r="AQ38" i="20" s="1"/>
  <c r="N42" i="18"/>
  <c r="O42" i="18" s="1"/>
  <c r="V42" i="18"/>
  <c r="AC31" i="24"/>
  <c r="U31" i="24"/>
  <c r="AJ41" i="21"/>
  <c r="AB41" i="21"/>
  <c r="AC41" i="21" s="1"/>
  <c r="N38" i="19"/>
  <c r="O38" i="19" s="1"/>
  <c r="V38" i="19"/>
  <c r="S33" i="25"/>
  <c r="L43" i="25"/>
  <c r="AN44" i="25"/>
  <c r="AP44" i="25" s="1"/>
  <c r="AQ44" i="25" s="1"/>
  <c r="Z43" i="25"/>
  <c r="AP17" i="21"/>
  <c r="AI17" i="25"/>
  <c r="AQ17" i="25"/>
  <c r="AP27" i="21"/>
  <c r="V22" i="24"/>
  <c r="N22" i="24"/>
  <c r="AC32" i="17"/>
  <c r="U32" i="17"/>
  <c r="V32" i="17" s="1"/>
  <c r="AB15" i="16"/>
  <c r="AC15" i="16" s="1"/>
  <c r="Z29" i="16"/>
  <c r="AJ15" i="16"/>
  <c r="AP19" i="18"/>
  <c r="U41" i="16"/>
  <c r="V41" i="16" s="1"/>
  <c r="N32" i="17"/>
  <c r="O32" i="17" s="1"/>
  <c r="AB26" i="18"/>
  <c r="AJ26" i="18"/>
  <c r="O38" i="16"/>
  <c r="AI25" i="17"/>
  <c r="AQ25" i="17"/>
  <c r="AI27" i="17"/>
  <c r="AQ27" i="17"/>
  <c r="AB35" i="18"/>
  <c r="AC35" i="18" s="1"/>
  <c r="AJ35" i="18"/>
  <c r="N23" i="17"/>
  <c r="V23" i="17"/>
  <c r="U35" i="18"/>
  <c r="V35" i="18" s="1"/>
  <c r="AQ47" i="17"/>
  <c r="AI47" i="17"/>
  <c r="AJ47" i="17" s="1"/>
  <c r="AQ24" i="17"/>
  <c r="AI24" i="17"/>
  <c r="V25" i="16"/>
  <c r="N25" i="16"/>
  <c r="AJ17" i="16"/>
  <c r="AB17" i="16"/>
  <c r="AI16" i="24"/>
  <c r="AQ16" i="24"/>
  <c r="AP31" i="17"/>
  <c r="N17" i="17"/>
  <c r="V17" i="17"/>
  <c r="N48" i="13"/>
  <c r="O48" i="13" s="1"/>
  <c r="V48" i="13"/>
  <c r="N35" i="14"/>
  <c r="O35" i="14" s="1"/>
  <c r="V35" i="14"/>
  <c r="AI38" i="16"/>
  <c r="AJ38" i="16" s="1"/>
  <c r="AQ38" i="16"/>
  <c r="AP19" i="15"/>
  <c r="AI34" i="13"/>
  <c r="AQ34" i="13"/>
  <c r="AC24" i="15"/>
  <c r="U24" i="15"/>
  <c r="AC15" i="21"/>
  <c r="U15" i="21"/>
  <c r="S29" i="21"/>
  <c r="O47" i="19"/>
  <c r="AJ36" i="16"/>
  <c r="AB36" i="16"/>
  <c r="AC36" i="16" s="1"/>
  <c r="N24" i="13"/>
  <c r="V24" i="13"/>
  <c r="AP47" i="17"/>
  <c r="AQ16" i="14"/>
  <c r="AI16" i="14"/>
  <c r="U48" i="16"/>
  <c r="V48" i="16" s="1"/>
  <c r="AC48" i="16"/>
  <c r="U35" i="15"/>
  <c r="V35" i="15" s="1"/>
  <c r="AI39" i="15"/>
  <c r="AJ39" i="15" s="1"/>
  <c r="AQ39" i="15"/>
  <c r="AP27" i="14"/>
  <c r="V30" i="13"/>
  <c r="N30" i="13"/>
  <c r="O30" i="13" s="1"/>
  <c r="AB47" i="11"/>
  <c r="AC47" i="11" s="1"/>
  <c r="AB41" i="11"/>
  <c r="AC41" i="11" s="1"/>
  <c r="N39" i="15"/>
  <c r="O39" i="15" s="1"/>
  <c r="O36" i="13"/>
  <c r="AC42" i="12"/>
  <c r="U42" i="12"/>
  <c r="V42" i="12" s="1"/>
  <c r="N15" i="12"/>
  <c r="O15" i="12" s="1"/>
  <c r="L29" i="12"/>
  <c r="AP18" i="11"/>
  <c r="AQ18" i="9"/>
  <c r="AI18" i="9"/>
  <c r="N32" i="14"/>
  <c r="O32" i="14" s="1"/>
  <c r="V32" i="14"/>
  <c r="O32" i="12"/>
  <c r="AC25" i="14"/>
  <c r="U25" i="14"/>
  <c r="AB34" i="13"/>
  <c r="AJ34" i="13"/>
  <c r="U38" i="15"/>
  <c r="AC38" i="15"/>
  <c r="AJ16" i="17"/>
  <c r="AB16" i="17"/>
  <c r="AP25" i="16"/>
  <c r="U27" i="18"/>
  <c r="AC27" i="18"/>
  <c r="AJ41" i="16"/>
  <c r="AB41" i="16"/>
  <c r="AC41" i="16" s="1"/>
  <c r="AI22" i="19"/>
  <c r="AQ22" i="19"/>
  <c r="U22" i="20"/>
  <c r="V22" i="20" s="1"/>
  <c r="AC22" i="20"/>
  <c r="AI16" i="17"/>
  <c r="AQ16" i="17"/>
  <c r="V23" i="20"/>
  <c r="N23" i="20"/>
  <c r="AB20" i="20"/>
  <c r="AJ20" i="20"/>
  <c r="U43" i="21"/>
  <c r="V43" i="21" s="1"/>
  <c r="AC43" i="21"/>
  <c r="V18" i="26"/>
  <c r="N18" i="26"/>
  <c r="AB16" i="21"/>
  <c r="AJ16" i="21"/>
  <c r="V26" i="22"/>
  <c r="N26" i="22"/>
  <c r="AP40" i="25"/>
  <c r="AQ40" i="25" s="1"/>
  <c r="N30" i="25"/>
  <c r="O30" i="25" s="1"/>
  <c r="V30" i="25"/>
  <c r="AI41" i="25"/>
  <c r="AQ41" i="25"/>
  <c r="AQ19" i="28"/>
  <c r="AI19" i="28"/>
  <c r="AJ19" i="28" s="1"/>
  <c r="AC25" i="31"/>
  <c r="U25" i="31"/>
  <c r="V22" i="29"/>
  <c r="N22" i="29"/>
  <c r="O32" i="28"/>
  <c r="AC24" i="33"/>
  <c r="U24" i="33"/>
  <c r="V16" i="32"/>
  <c r="N16" i="32"/>
  <c r="AP24" i="32"/>
  <c r="AC41" i="32"/>
  <c r="U41" i="32"/>
  <c r="AQ26" i="31"/>
  <c r="AI26" i="31"/>
  <c r="AI16" i="32"/>
  <c r="AQ16" i="32"/>
  <c r="V23" i="33"/>
  <c r="N23" i="33"/>
  <c r="U15" i="34"/>
  <c r="V15" i="34" s="1"/>
  <c r="AC15" i="34"/>
  <c r="S29" i="34"/>
  <c r="AI25" i="36"/>
  <c r="AQ25" i="36"/>
  <c r="AJ19" i="34"/>
  <c r="AB19" i="34"/>
  <c r="AC19" i="34" s="1"/>
  <c r="AJ33" i="36"/>
  <c r="AB33" i="36"/>
  <c r="AB34" i="36"/>
  <c r="AJ34" i="36"/>
  <c r="AG29" i="36"/>
  <c r="AI15" i="36"/>
  <c r="AJ15" i="36" s="1"/>
  <c r="AQ15" i="36"/>
  <c r="V40" i="37"/>
  <c r="N40" i="37"/>
  <c r="U27" i="39"/>
  <c r="AC27" i="39"/>
  <c r="O45" i="38"/>
  <c r="AP18" i="39"/>
  <c r="AC25" i="39"/>
  <c r="U25" i="39"/>
  <c r="AQ27" i="40"/>
  <c r="AI27" i="40"/>
  <c r="AI17" i="40"/>
  <c r="AQ17" i="40"/>
  <c r="AI38" i="40"/>
  <c r="AQ38" i="40"/>
  <c r="AC19" i="41"/>
  <c r="U19" i="41"/>
  <c r="V19" i="41" s="1"/>
  <c r="AB38" i="41"/>
  <c r="AJ38" i="41"/>
  <c r="AQ25" i="14"/>
  <c r="AI25" i="14"/>
  <c r="N36" i="13"/>
  <c r="V36" i="13"/>
  <c r="V27" i="12"/>
  <c r="N27" i="12"/>
  <c r="U27" i="9"/>
  <c r="AC27" i="9"/>
  <c r="N19" i="15"/>
  <c r="V19" i="15"/>
  <c r="H35" i="13"/>
  <c r="AI41" i="12"/>
  <c r="AJ41" i="12" s="1"/>
  <c r="AQ41" i="12"/>
  <c r="AJ17" i="12"/>
  <c r="AB17" i="12"/>
  <c r="N30" i="11"/>
  <c r="O30" i="11" s="1"/>
  <c r="V30" i="11"/>
  <c r="AJ33" i="12"/>
  <c r="AB33" i="12"/>
  <c r="V22" i="14"/>
  <c r="N22" i="14"/>
  <c r="N48" i="11"/>
  <c r="V48" i="11"/>
  <c r="V48" i="10"/>
  <c r="N48" i="10"/>
  <c r="AQ24" i="13"/>
  <c r="AI24" i="13"/>
  <c r="AJ19" i="10"/>
  <c r="AB19" i="10"/>
  <c r="AQ26" i="9"/>
  <c r="AI26" i="9"/>
  <c r="AI34" i="15"/>
  <c r="AJ34" i="15" s="1"/>
  <c r="AQ34" i="15"/>
  <c r="AC39" i="12"/>
  <c r="U39" i="12"/>
  <c r="V39" i="12" s="1"/>
  <c r="V23" i="12"/>
  <c r="N23" i="12"/>
  <c r="V28" i="10"/>
  <c r="N28" i="10"/>
  <c r="AG41" i="11"/>
  <c r="AP41" i="11" s="1"/>
  <c r="N34" i="10"/>
  <c r="V34" i="10"/>
  <c r="AB21" i="9"/>
  <c r="AJ21" i="9"/>
  <c r="AC28" i="9"/>
  <c r="U28" i="9"/>
  <c r="AP27" i="11"/>
  <c r="U33" i="16"/>
  <c r="AC33" i="16"/>
  <c r="U28" i="10"/>
  <c r="AC28" i="10"/>
  <c r="Z34" i="9"/>
  <c r="AI34" i="9" s="1"/>
  <c r="AI36" i="12"/>
  <c r="AQ36" i="12"/>
  <c r="AC17" i="14"/>
  <c r="U17" i="14"/>
  <c r="AQ25" i="10"/>
  <c r="AI25" i="10"/>
  <c r="AP32" i="9"/>
  <c r="AC32" i="10"/>
  <c r="U32" i="10"/>
  <c r="V32" i="10" s="1"/>
  <c r="H34" i="12"/>
  <c r="L41" i="9"/>
  <c r="U31" i="9"/>
  <c r="AC31" i="9"/>
  <c r="AC20" i="9"/>
  <c r="U20" i="9"/>
  <c r="AP21" i="11"/>
  <c r="AI27" i="10"/>
  <c r="AQ27" i="10"/>
  <c r="AI21" i="13"/>
  <c r="AQ21" i="13"/>
  <c r="AC18" i="9"/>
  <c r="U18" i="9"/>
  <c r="AQ23" i="10"/>
  <c r="AI23" i="10"/>
  <c r="AB42" i="10"/>
  <c r="AC42" i="10" s="1"/>
  <c r="AJ42" i="10"/>
  <c r="AJ28" i="13"/>
  <c r="AB28" i="13"/>
  <c r="V33" i="13"/>
  <c r="N33" i="13"/>
  <c r="AB32" i="13"/>
  <c r="N23" i="16"/>
  <c r="V23" i="16"/>
  <c r="N48" i="14"/>
  <c r="O48" i="14" s="1"/>
  <c r="V48" i="14"/>
  <c r="AP47" i="13"/>
  <c r="AQ47" i="13" s="1"/>
  <c r="U17" i="15"/>
  <c r="AC17" i="15"/>
  <c r="AP33" i="13"/>
  <c r="AB47" i="19"/>
  <c r="AC47" i="19" s="1"/>
  <c r="AQ23" i="15"/>
  <c r="AI23" i="15"/>
  <c r="U23" i="13"/>
  <c r="AC23" i="13"/>
  <c r="AP42" i="13"/>
  <c r="AQ42" i="13" s="1"/>
  <c r="O47" i="16"/>
  <c r="V33" i="15"/>
  <c r="N33" i="15"/>
  <c r="AI36" i="15"/>
  <c r="AJ36" i="15" s="1"/>
  <c r="AQ36" i="15"/>
  <c r="AP26" i="14"/>
  <c r="O30" i="12"/>
  <c r="AP27" i="13"/>
  <c r="AG29" i="12"/>
  <c r="AI15" i="12"/>
  <c r="AJ15" i="12" s="1"/>
  <c r="AQ15" i="12"/>
  <c r="AQ16" i="9"/>
  <c r="AI16" i="9"/>
  <c r="V28" i="14"/>
  <c r="N28" i="14"/>
  <c r="AP42" i="18"/>
  <c r="AQ42" i="18" s="1"/>
  <c r="AJ31" i="16"/>
  <c r="AB31" i="16"/>
  <c r="N33" i="23"/>
  <c r="V33" i="23"/>
  <c r="AQ41" i="16"/>
  <c r="AI41" i="16"/>
  <c r="AJ31" i="18"/>
  <c r="AB31" i="18"/>
  <c r="AB42" i="16"/>
  <c r="AC42" i="16" s="1"/>
  <c r="AJ42" i="16"/>
  <c r="AI24" i="20"/>
  <c r="AQ24" i="20"/>
  <c r="AC22" i="18"/>
  <c r="U22" i="18"/>
  <c r="AP17" i="23"/>
  <c r="N30" i="20"/>
  <c r="V30" i="20"/>
  <c r="U24" i="20"/>
  <c r="AC24" i="20"/>
  <c r="AP31" i="18"/>
  <c r="AP32" i="21"/>
  <c r="O41" i="21"/>
  <c r="AJ31" i="21"/>
  <c r="AB31" i="21"/>
  <c r="AJ42" i="20"/>
  <c r="AB42" i="20"/>
  <c r="AC42" i="20" s="1"/>
  <c r="V25" i="23"/>
  <c r="N25" i="23"/>
  <c r="AJ18" i="24"/>
  <c r="AB18" i="24"/>
  <c r="V43" i="23"/>
  <c r="N43" i="23"/>
  <c r="O43" i="23" s="1"/>
  <c r="N40" i="27"/>
  <c r="O40" i="27" s="1"/>
  <c r="V40" i="27"/>
  <c r="AJ41" i="25"/>
  <c r="AB41" i="25"/>
  <c r="AC41" i="25" s="1"/>
  <c r="V38" i="25"/>
  <c r="N38" i="25"/>
  <c r="AI30" i="25"/>
  <c r="AQ30" i="25"/>
  <c r="AC31" i="25"/>
  <c r="U31" i="25"/>
  <c r="O44" i="28"/>
  <c r="AB28" i="26"/>
  <c r="AJ28" i="26"/>
  <c r="AQ22" i="29"/>
  <c r="AI22" i="29"/>
  <c r="V19" i="28"/>
  <c r="N19" i="28"/>
  <c r="O19" i="28" s="1"/>
  <c r="AN29" i="29"/>
  <c r="AP15" i="29"/>
  <c r="AQ15" i="29" s="1"/>
  <c r="AJ19" i="31"/>
  <c r="AB19" i="31"/>
  <c r="AC19" i="31" s="1"/>
  <c r="AI34" i="31"/>
  <c r="AQ34" i="31"/>
  <c r="AC28" i="31"/>
  <c r="U28" i="31"/>
  <c r="O33" i="31"/>
  <c r="O30" i="32"/>
  <c r="D26" i="3"/>
  <c r="U23" i="33"/>
  <c r="AC23" i="33"/>
  <c r="AJ23" i="33"/>
  <c r="AB23" i="33"/>
  <c r="AQ21" i="35"/>
  <c r="AI21" i="35"/>
  <c r="N16" i="36"/>
  <c r="V16" i="36"/>
  <c r="AJ36" i="34"/>
  <c r="AB36" i="34"/>
  <c r="AP41" i="36"/>
  <c r="AQ41" i="36" s="1"/>
  <c r="AJ35" i="36"/>
  <c r="AB35" i="36"/>
  <c r="V23" i="36"/>
  <c r="N23" i="36"/>
  <c r="AP45" i="37"/>
  <c r="AQ45" i="37" s="1"/>
  <c r="V45" i="38"/>
  <c r="N45" i="38"/>
  <c r="N22" i="37"/>
  <c r="AQ26" i="38"/>
  <c r="AI26" i="38"/>
  <c r="AI25" i="39"/>
  <c r="AQ25" i="39"/>
  <c r="AB22" i="39"/>
  <c r="AJ22" i="39"/>
  <c r="V28" i="40"/>
  <c r="N28" i="40"/>
  <c r="AC28" i="39"/>
  <c r="U28" i="39"/>
  <c r="AJ27" i="39"/>
  <c r="AB27" i="39"/>
  <c r="U28" i="40"/>
  <c r="AC28" i="40"/>
  <c r="N25" i="41"/>
  <c r="V25" i="41"/>
  <c r="O41" i="40"/>
  <c r="AB23" i="41"/>
  <c r="AJ23" i="41"/>
  <c r="AB34" i="41"/>
  <c r="AJ34" i="41"/>
  <c r="O45" i="41"/>
  <c r="AJ34" i="19"/>
  <c r="AB34" i="19"/>
  <c r="AC34" i="19" s="1"/>
  <c r="AI24" i="14"/>
  <c r="AQ24" i="14"/>
  <c r="AI36" i="13"/>
  <c r="AQ36" i="13"/>
  <c r="AQ22" i="13"/>
  <c r="AI22" i="13"/>
  <c r="AP39" i="11"/>
  <c r="AQ39" i="11" s="1"/>
  <c r="U36" i="10"/>
  <c r="AC36" i="10"/>
  <c r="AB26" i="9"/>
  <c r="AJ26" i="9"/>
  <c r="H38" i="13"/>
  <c r="AQ27" i="12"/>
  <c r="AI27" i="12"/>
  <c r="AB43" i="11"/>
  <c r="AJ43" i="11"/>
  <c r="AC47" i="10"/>
  <c r="U47" i="10"/>
  <c r="V47" i="10" s="1"/>
  <c r="V22" i="9"/>
  <c r="N22" i="9"/>
  <c r="AB23" i="14"/>
  <c r="AJ23" i="14"/>
  <c r="AQ20" i="12"/>
  <c r="AI20" i="12"/>
  <c r="AJ16" i="11"/>
  <c r="AB16" i="11"/>
  <c r="AJ26" i="10"/>
  <c r="AB26" i="10"/>
  <c r="AQ17" i="13"/>
  <c r="AI17" i="13"/>
  <c r="AQ38" i="11"/>
  <c r="AI38" i="11"/>
  <c r="AJ38" i="11" s="1"/>
  <c r="N39" i="10"/>
  <c r="O39" i="10" s="1"/>
  <c r="V39" i="10"/>
  <c r="O36" i="9"/>
  <c r="O35" i="15"/>
  <c r="AJ39" i="9"/>
  <c r="AB39" i="9"/>
  <c r="AC39" i="9" s="1"/>
  <c r="AI32" i="10"/>
  <c r="AQ32" i="10"/>
  <c r="O39" i="12"/>
  <c r="U33" i="13"/>
  <c r="AC33" i="13"/>
  <c r="V23" i="10"/>
  <c r="N23" i="10"/>
  <c r="AC32" i="12"/>
  <c r="U32" i="12"/>
  <c r="V32" i="12" s="1"/>
  <c r="AJ16" i="9"/>
  <c r="AB16" i="9"/>
  <c r="AB21" i="11"/>
  <c r="AJ21" i="11"/>
  <c r="U33" i="10"/>
  <c r="AC33" i="10"/>
  <c r="U32" i="9"/>
  <c r="U16" i="10"/>
  <c r="AC16" i="10"/>
  <c r="N26" i="9"/>
  <c r="V26" i="9"/>
  <c r="N24" i="11"/>
  <c r="V24" i="11"/>
  <c r="AC20" i="11"/>
  <c r="U20" i="11"/>
  <c r="S29" i="9"/>
  <c r="X31" i="3" l="1"/>
  <c r="W32" i="3"/>
  <c r="AI29" i="27"/>
  <c r="H22" i="3" s="1"/>
  <c r="AG39" i="27"/>
  <c r="H21" i="3"/>
  <c r="W12" i="3"/>
  <c r="X11" i="3"/>
  <c r="AB29" i="16"/>
  <c r="Z37" i="16"/>
  <c r="AJ29" i="16"/>
  <c r="AE59" i="22"/>
  <c r="AL53" i="22"/>
  <c r="AQ31" i="20"/>
  <c r="AI31" i="20"/>
  <c r="N18" i="3"/>
  <c r="N20" i="3" s="1"/>
  <c r="N29" i="22"/>
  <c r="L37" i="22"/>
  <c r="N29" i="39"/>
  <c r="L39" i="39"/>
  <c r="C45" i="1"/>
  <c r="O29" i="28"/>
  <c r="H39" i="28"/>
  <c r="AB41" i="9"/>
  <c r="AC41" i="9" s="1"/>
  <c r="AJ41" i="9"/>
  <c r="AB29" i="9"/>
  <c r="Z37" i="9"/>
  <c r="AP29" i="19"/>
  <c r="AN37" i="19"/>
  <c r="O38" i="22"/>
  <c r="AI44" i="36"/>
  <c r="AJ44" i="36" s="1"/>
  <c r="N42" i="10"/>
  <c r="O42" i="10" s="1"/>
  <c r="N43" i="30"/>
  <c r="AP29" i="25"/>
  <c r="AQ29" i="25" s="1"/>
  <c r="AN39" i="25"/>
  <c r="N44" i="26"/>
  <c r="O44" i="26" s="1"/>
  <c r="AP29" i="39"/>
  <c r="AN39" i="39"/>
  <c r="G45" i="1"/>
  <c r="G46" i="1" s="1"/>
  <c r="G47" i="1" s="1"/>
  <c r="AG37" i="16"/>
  <c r="AI29" i="16"/>
  <c r="AG39" i="25"/>
  <c r="S39" i="40"/>
  <c r="U29" i="40"/>
  <c r="U42" i="10"/>
  <c r="V42" i="10" s="1"/>
  <c r="AP29" i="9"/>
  <c r="AN37" i="9"/>
  <c r="U41" i="18"/>
  <c r="V41" i="18" s="1"/>
  <c r="AC41" i="18"/>
  <c r="N38" i="22"/>
  <c r="AG37" i="24"/>
  <c r="AI29" i="24"/>
  <c r="AP44" i="35"/>
  <c r="Z39" i="41"/>
  <c r="AB29" i="41"/>
  <c r="E51" i="1"/>
  <c r="E52" i="1" s="1"/>
  <c r="E53" i="1" s="1"/>
  <c r="H39" i="41"/>
  <c r="B51" i="1"/>
  <c r="AG39" i="40"/>
  <c r="AI29" i="40"/>
  <c r="N41" i="9"/>
  <c r="O41" i="9" s="1"/>
  <c r="AG39" i="36"/>
  <c r="AI29" i="36"/>
  <c r="AJ29" i="36" s="1"/>
  <c r="N43" i="25"/>
  <c r="AI29" i="12"/>
  <c r="AG37" i="12"/>
  <c r="U33" i="25"/>
  <c r="V33" i="25" s="1"/>
  <c r="AC33" i="25"/>
  <c r="U42" i="9"/>
  <c r="V42" i="9" s="1"/>
  <c r="AN37" i="18"/>
  <c r="AP29" i="18"/>
  <c r="N41" i="15"/>
  <c r="O41" i="15" s="1"/>
  <c r="N41" i="13"/>
  <c r="O41" i="13" s="1"/>
  <c r="S37" i="13"/>
  <c r="U29" i="13"/>
  <c r="AC29" i="13"/>
  <c r="U20" i="25"/>
  <c r="AC20" i="25"/>
  <c r="AP44" i="29"/>
  <c r="AQ33" i="27"/>
  <c r="AI33" i="27"/>
  <c r="Q23" i="3"/>
  <c r="AQ29" i="29"/>
  <c r="AG39" i="29"/>
  <c r="AI29" i="29"/>
  <c r="AB29" i="21"/>
  <c r="Z37" i="21"/>
  <c r="U44" i="34"/>
  <c r="V44" i="34" s="1"/>
  <c r="L39" i="32"/>
  <c r="N29" i="32"/>
  <c r="AN37" i="20"/>
  <c r="AP29" i="20"/>
  <c r="I17" i="3" s="1"/>
  <c r="I18" i="3" s="1"/>
  <c r="I16" i="3"/>
  <c r="G15" i="1"/>
  <c r="J61" i="37"/>
  <c r="Q55" i="37"/>
  <c r="AP46" i="27"/>
  <c r="AB44" i="36"/>
  <c r="AC44" i="36" s="1"/>
  <c r="AQ37" i="38"/>
  <c r="AI37" i="38"/>
  <c r="AJ37" i="38" s="1"/>
  <c r="U29" i="18"/>
  <c r="S37" i="18"/>
  <c r="U44" i="35"/>
  <c r="AN39" i="37"/>
  <c r="AP29" i="37"/>
  <c r="G39" i="1"/>
  <c r="R20" i="3"/>
  <c r="V18" i="3"/>
  <c r="H37" i="18"/>
  <c r="AC29" i="9"/>
  <c r="U29" i="9"/>
  <c r="S37" i="9"/>
  <c r="AI46" i="33"/>
  <c r="AJ46" i="33" s="1"/>
  <c r="L39" i="25"/>
  <c r="N29" i="25"/>
  <c r="Z37" i="12"/>
  <c r="AB29" i="12"/>
  <c r="AJ29" i="12"/>
  <c r="AC29" i="22"/>
  <c r="S37" i="22"/>
  <c r="U29" i="22"/>
  <c r="V29" i="22" s="1"/>
  <c r="AB44" i="26"/>
  <c r="AC44" i="26" s="1"/>
  <c r="U44" i="36"/>
  <c r="V44" i="36" s="1"/>
  <c r="N38" i="10"/>
  <c r="O38" i="10" s="1"/>
  <c r="U42" i="11"/>
  <c r="V42" i="11" s="1"/>
  <c r="AC42" i="11"/>
  <c r="AI29" i="11"/>
  <c r="AG37" i="11"/>
  <c r="AN37" i="12"/>
  <c r="AP29" i="12"/>
  <c r="AQ29" i="12" s="1"/>
  <c r="L39" i="27"/>
  <c r="N29" i="27"/>
  <c r="E22" i="3" s="1"/>
  <c r="E21" i="3"/>
  <c r="AC43" i="31"/>
  <c r="U43" i="31"/>
  <c r="V43" i="31" s="1"/>
  <c r="N46" i="34"/>
  <c r="O46" i="34" s="1"/>
  <c r="V46" i="34"/>
  <c r="AI44" i="41"/>
  <c r="AJ44" i="41" s="1"/>
  <c r="U41" i="15"/>
  <c r="V41" i="15" s="1"/>
  <c r="U34" i="16"/>
  <c r="AC34" i="16"/>
  <c r="AP44" i="32"/>
  <c r="N35" i="13"/>
  <c r="U35" i="13"/>
  <c r="V35" i="13" s="1"/>
  <c r="AP46" i="33"/>
  <c r="AQ46" i="33" s="1"/>
  <c r="L39" i="38"/>
  <c r="N29" i="38"/>
  <c r="AP29" i="28"/>
  <c r="AN39" i="28"/>
  <c r="S37" i="17"/>
  <c r="U29" i="17"/>
  <c r="O29" i="13"/>
  <c r="H37" i="13"/>
  <c r="H37" i="20"/>
  <c r="B15" i="1"/>
  <c r="B71" i="1" s="1"/>
  <c r="D16" i="3"/>
  <c r="AB29" i="22"/>
  <c r="Z37" i="22"/>
  <c r="AC46" i="34"/>
  <c r="U46" i="34"/>
  <c r="H37" i="23"/>
  <c r="H39" i="30"/>
  <c r="AN39" i="38"/>
  <c r="AP29" i="38"/>
  <c r="AB43" i="36"/>
  <c r="AJ43" i="36"/>
  <c r="AB42" i="11"/>
  <c r="AI29" i="28"/>
  <c r="AG39" i="28"/>
  <c r="AQ29" i="28"/>
  <c r="O43" i="32"/>
  <c r="U29" i="20"/>
  <c r="F17" i="3" s="1"/>
  <c r="S37" i="20"/>
  <c r="F16" i="3"/>
  <c r="D15" i="1"/>
  <c r="V34" i="9"/>
  <c r="N34" i="9"/>
  <c r="O34" i="9" s="1"/>
  <c r="AN37" i="24"/>
  <c r="AP29" i="24"/>
  <c r="AQ29" i="24" s="1"/>
  <c r="AG39" i="33"/>
  <c r="AI29" i="33"/>
  <c r="AQ29" i="33"/>
  <c r="Z37" i="13"/>
  <c r="AB29" i="13"/>
  <c r="AQ42" i="21"/>
  <c r="AI42" i="21"/>
  <c r="AI29" i="35"/>
  <c r="AG39" i="35"/>
  <c r="AJ20" i="25"/>
  <c r="AB20" i="25"/>
  <c r="AN37" i="11"/>
  <c r="AP29" i="11"/>
  <c r="AQ29" i="11" s="1"/>
  <c r="AB38" i="18"/>
  <c r="AC38" i="18" s="1"/>
  <c r="AQ44" i="32"/>
  <c r="AI44" i="32"/>
  <c r="L37" i="17"/>
  <c r="N29" i="17"/>
  <c r="V29" i="17"/>
  <c r="U43" i="34"/>
  <c r="V43" i="34" s="1"/>
  <c r="AC43" i="34"/>
  <c r="U29" i="23"/>
  <c r="S37" i="23"/>
  <c r="N29" i="29"/>
  <c r="L39" i="29"/>
  <c r="AI46" i="38"/>
  <c r="AJ46" i="38" s="1"/>
  <c r="O43" i="41"/>
  <c r="AB29" i="17"/>
  <c r="AC29" i="17" s="1"/>
  <c r="Z37" i="17"/>
  <c r="V29" i="13"/>
  <c r="L37" i="13"/>
  <c r="N29" i="13"/>
  <c r="L39" i="31"/>
  <c r="N29" i="31"/>
  <c r="C27" i="1"/>
  <c r="L37" i="12"/>
  <c r="N29" i="12"/>
  <c r="AC46" i="36"/>
  <c r="U46" i="36"/>
  <c r="V46" i="36" s="1"/>
  <c r="N24" i="3"/>
  <c r="S24" i="3" s="1"/>
  <c r="S22" i="3"/>
  <c r="X21" i="3"/>
  <c r="AP29" i="17"/>
  <c r="AN37" i="17"/>
  <c r="AN39" i="26"/>
  <c r="AP29" i="26"/>
  <c r="G21" i="1"/>
  <c r="Z39" i="32"/>
  <c r="AB29" i="32"/>
  <c r="AC29" i="32" s="1"/>
  <c r="AI43" i="37"/>
  <c r="AJ43" i="37" s="1"/>
  <c r="Z37" i="15"/>
  <c r="AB29" i="15"/>
  <c r="G7" i="3" s="1"/>
  <c r="G6" i="3"/>
  <c r="E9" i="1"/>
  <c r="N29" i="21"/>
  <c r="O29" i="21" s="1"/>
  <c r="L37" i="21"/>
  <c r="AI44" i="26"/>
  <c r="AJ44" i="26" s="1"/>
  <c r="AP29" i="10"/>
  <c r="AN37" i="10"/>
  <c r="H37" i="21"/>
  <c r="N34" i="16"/>
  <c r="O34" i="16" s="1"/>
  <c r="V34" i="16"/>
  <c r="AI46" i="25"/>
  <c r="AJ46" i="25" s="1"/>
  <c r="H39" i="34"/>
  <c r="B33" i="1"/>
  <c r="R10" i="3"/>
  <c r="R13" i="3"/>
  <c r="V8" i="3"/>
  <c r="N43" i="41"/>
  <c r="AP46" i="38"/>
  <c r="AQ46" i="38" s="1"/>
  <c r="Z39" i="39"/>
  <c r="AB29" i="39"/>
  <c r="AC29" i="39" s="1"/>
  <c r="E45" i="1"/>
  <c r="E46" i="1" s="1"/>
  <c r="E47" i="1" s="1"/>
  <c r="AP29" i="14"/>
  <c r="AN37" i="14"/>
  <c r="AB44" i="34"/>
  <c r="AC44" i="34" s="1"/>
  <c r="F61" i="41"/>
  <c r="J55" i="41"/>
  <c r="O43" i="25"/>
  <c r="AN37" i="13"/>
  <c r="AP29" i="13"/>
  <c r="V29" i="10"/>
  <c r="N29" i="10"/>
  <c r="L37" i="10"/>
  <c r="X59" i="23"/>
  <c r="AE53" i="23"/>
  <c r="U38" i="10"/>
  <c r="V38" i="10" s="1"/>
  <c r="AP31" i="20"/>
  <c r="O44" i="36"/>
  <c r="U44" i="38"/>
  <c r="V44" i="38" s="1"/>
  <c r="AC44" i="38"/>
  <c r="AI32" i="20"/>
  <c r="AQ32" i="20"/>
  <c r="O18" i="3"/>
  <c r="AP43" i="33"/>
  <c r="AC44" i="25"/>
  <c r="U44" i="25"/>
  <c r="V44" i="25" s="1"/>
  <c r="N46" i="31"/>
  <c r="T31" i="3"/>
  <c r="U31" i="3"/>
  <c r="AI43" i="32"/>
  <c r="AJ43" i="32" s="1"/>
  <c r="AQ43" i="32"/>
  <c r="V41" i="12"/>
  <c r="N41" i="12"/>
  <c r="N38" i="13"/>
  <c r="AI29" i="34"/>
  <c r="AG39" i="34"/>
  <c r="F33" i="1"/>
  <c r="F34" i="1" s="1"/>
  <c r="F35" i="1" s="1"/>
  <c r="AB29" i="26"/>
  <c r="AC29" i="26" s="1"/>
  <c r="Z39" i="26"/>
  <c r="E21" i="1"/>
  <c r="AB46" i="36"/>
  <c r="O35" i="13"/>
  <c r="AQ43" i="35"/>
  <c r="AI43" i="35"/>
  <c r="AQ31" i="27"/>
  <c r="AI31" i="27"/>
  <c r="N23" i="3"/>
  <c r="N25" i="3" s="1"/>
  <c r="O41" i="17"/>
  <c r="AB46" i="31"/>
  <c r="AI17" i="3"/>
  <c r="S17" i="3"/>
  <c r="L37" i="18"/>
  <c r="V29" i="18"/>
  <c r="N29" i="18"/>
  <c r="O29" i="18" s="1"/>
  <c r="AE59" i="24"/>
  <c r="AL53" i="24"/>
  <c r="L37" i="23"/>
  <c r="N29" i="23"/>
  <c r="O29" i="23" s="1"/>
  <c r="V29" i="23"/>
  <c r="U29" i="33"/>
  <c r="S39" i="33"/>
  <c r="AP43" i="41"/>
  <c r="AQ43" i="41" s="1"/>
  <c r="AQ43" i="25"/>
  <c r="AI43" i="25"/>
  <c r="H37" i="11"/>
  <c r="N29" i="19"/>
  <c r="L37" i="19"/>
  <c r="AG37" i="15"/>
  <c r="AI29" i="15"/>
  <c r="H7" i="3" s="1"/>
  <c r="H6" i="3"/>
  <c r="F9" i="1"/>
  <c r="H39" i="27"/>
  <c r="O29" i="27"/>
  <c r="D21" i="3"/>
  <c r="U44" i="29"/>
  <c r="V44" i="29" s="1"/>
  <c r="S39" i="39"/>
  <c r="U29" i="39"/>
  <c r="V29" i="39" s="1"/>
  <c r="D45" i="1"/>
  <c r="D46" i="1" s="1"/>
  <c r="D47" i="1" s="1"/>
  <c r="U43" i="25"/>
  <c r="V43" i="25" s="1"/>
  <c r="AQ32" i="27"/>
  <c r="AI32" i="27"/>
  <c r="O23" i="3"/>
  <c r="AP43" i="37"/>
  <c r="AQ43" i="37" s="1"/>
  <c r="U29" i="14"/>
  <c r="S37" i="14"/>
  <c r="AB44" i="35"/>
  <c r="AC44" i="35" s="1"/>
  <c r="AQ29" i="26"/>
  <c r="AI29" i="26"/>
  <c r="AJ29" i="26" s="1"/>
  <c r="AG39" i="26"/>
  <c r="F21" i="1"/>
  <c r="F22" i="1" s="1"/>
  <c r="F23" i="1" s="1"/>
  <c r="H37" i="24"/>
  <c r="AQ29" i="18"/>
  <c r="AI29" i="18"/>
  <c r="AG37" i="18"/>
  <c r="AN37" i="16"/>
  <c r="AP29" i="16"/>
  <c r="AQ29" i="16" s="1"/>
  <c r="S39" i="27"/>
  <c r="U29" i="27"/>
  <c r="F22" i="3" s="1"/>
  <c r="F23" i="3" s="1"/>
  <c r="F21" i="3"/>
  <c r="AG37" i="10"/>
  <c r="AI29" i="10"/>
  <c r="AQ29" i="10"/>
  <c r="L10" i="3"/>
  <c r="S10" i="3" s="1"/>
  <c r="AC9" i="3" s="1"/>
  <c r="X9" i="3"/>
  <c r="AA9" i="3" s="1"/>
  <c r="O29" i="29"/>
  <c r="H39" i="29"/>
  <c r="AJ29" i="24"/>
  <c r="AB29" i="24"/>
  <c r="Z37" i="24"/>
  <c r="AG37" i="9"/>
  <c r="AI29" i="9"/>
  <c r="AJ29" i="9" s="1"/>
  <c r="AQ29" i="9"/>
  <c r="AP29" i="31"/>
  <c r="AQ29" i="31" s="1"/>
  <c r="AN39" i="31"/>
  <c r="G27" i="1"/>
  <c r="N44" i="40"/>
  <c r="O44" i="40" s="1"/>
  <c r="AI19" i="27"/>
  <c r="AJ19" i="27" s="1"/>
  <c r="O46" i="30"/>
  <c r="AI44" i="35"/>
  <c r="AJ44" i="35" s="1"/>
  <c r="AQ44" i="35"/>
  <c r="N34" i="13"/>
  <c r="V34" i="13"/>
  <c r="N46" i="25"/>
  <c r="O46" i="25" s="1"/>
  <c r="S39" i="26"/>
  <c r="U29" i="26"/>
  <c r="D21" i="1"/>
  <c r="AI44" i="27"/>
  <c r="AN37" i="21"/>
  <c r="AP29" i="21"/>
  <c r="AQ46" i="36"/>
  <c r="AI46" i="36"/>
  <c r="AJ46" i="36" s="1"/>
  <c r="N44" i="39"/>
  <c r="AB33" i="25"/>
  <c r="N37" i="39"/>
  <c r="O37" i="39" s="1"/>
  <c r="X34" i="3"/>
  <c r="AA34" i="3" s="1"/>
  <c r="L35" i="3"/>
  <c r="S33" i="3"/>
  <c r="V28" i="3"/>
  <c r="R30" i="3"/>
  <c r="AQ37" i="25"/>
  <c r="AI37" i="25"/>
  <c r="H39" i="36"/>
  <c r="S39" i="29"/>
  <c r="U29" i="29"/>
  <c r="V29" i="29" s="1"/>
  <c r="AC29" i="29"/>
  <c r="N46" i="38"/>
  <c r="O46" i="38" s="1"/>
  <c r="V46" i="38"/>
  <c r="AC43" i="26"/>
  <c r="U43" i="26"/>
  <c r="V43" i="26" s="1"/>
  <c r="H39" i="32"/>
  <c r="O29" i="32"/>
  <c r="AP29" i="40"/>
  <c r="AQ29" i="40" s="1"/>
  <c r="AN39" i="40"/>
  <c r="L39" i="37"/>
  <c r="N29" i="37"/>
  <c r="C39" i="1"/>
  <c r="S18" i="3"/>
  <c r="W19" i="3" s="1"/>
  <c r="X19" i="3"/>
  <c r="L20" i="3"/>
  <c r="S20" i="3" s="1"/>
  <c r="AC19" i="3" s="1"/>
  <c r="AB46" i="35"/>
  <c r="AC46" i="35" s="1"/>
  <c r="H37" i="9"/>
  <c r="AP44" i="36"/>
  <c r="AQ44" i="36" s="1"/>
  <c r="AG39" i="30"/>
  <c r="AI29" i="30"/>
  <c r="AN39" i="36"/>
  <c r="AP29" i="36"/>
  <c r="AQ29" i="36" s="1"/>
  <c r="O46" i="36"/>
  <c r="AC46" i="38"/>
  <c r="U46" i="38"/>
  <c r="AI32" i="15"/>
  <c r="AQ32" i="15"/>
  <c r="O8" i="3"/>
  <c r="S8" i="3" s="1"/>
  <c r="W9" i="3" s="1"/>
  <c r="Z9" i="3" s="1"/>
  <c r="AI29" i="31"/>
  <c r="AG39" i="31"/>
  <c r="F27" i="1"/>
  <c r="N39" i="13"/>
  <c r="O39" i="13" s="1"/>
  <c r="U46" i="25"/>
  <c r="V46" i="25" s="1"/>
  <c r="AC46" i="25"/>
  <c r="V30" i="34"/>
  <c r="AQ29" i="38"/>
  <c r="AG39" i="38"/>
  <c r="AI29" i="38"/>
  <c r="AI29" i="41"/>
  <c r="AJ29" i="41" s="1"/>
  <c r="AG39" i="41"/>
  <c r="F51" i="1"/>
  <c r="N34" i="12"/>
  <c r="O34" i="12" s="1"/>
  <c r="Z39" i="34"/>
  <c r="AJ29" i="34"/>
  <c r="AB29" i="34"/>
  <c r="E33" i="1"/>
  <c r="H33" i="3"/>
  <c r="T32" i="3"/>
  <c r="U32" i="3" s="1"/>
  <c r="N34" i="21"/>
  <c r="O34" i="21" s="1"/>
  <c r="O44" i="32"/>
  <c r="O38" i="13"/>
  <c r="AI46" i="35"/>
  <c r="AJ46" i="35" s="1"/>
  <c r="AQ46" i="35"/>
  <c r="N38" i="9"/>
  <c r="O38" i="9" s="1"/>
  <c r="L39" i="41"/>
  <c r="N29" i="41"/>
  <c r="O29" i="41" s="1"/>
  <c r="C51" i="1"/>
  <c r="C52" i="1" s="1"/>
  <c r="C53" i="1" s="1"/>
  <c r="V29" i="14"/>
  <c r="L37" i="14"/>
  <c r="N29" i="14"/>
  <c r="V46" i="35"/>
  <c r="N46" i="35"/>
  <c r="O46" i="35" s="1"/>
  <c r="O41" i="14"/>
  <c r="AQ35" i="27"/>
  <c r="AI35" i="27"/>
  <c r="P23" i="3"/>
  <c r="P25" i="3" s="1"/>
  <c r="AB41" i="41"/>
  <c r="AC41" i="41" s="1"/>
  <c r="AJ42" i="9"/>
  <c r="AB42" i="9"/>
  <c r="AC42" i="9" s="1"/>
  <c r="T26" i="3"/>
  <c r="U26" i="3" s="1"/>
  <c r="O33" i="25"/>
  <c r="AI43" i="33"/>
  <c r="AJ43" i="33" s="1"/>
  <c r="AQ43" i="33"/>
  <c r="S37" i="12"/>
  <c r="U29" i="12"/>
  <c r="V29" i="12" s="1"/>
  <c r="AC29" i="12"/>
  <c r="AJ44" i="32"/>
  <c r="AB44" i="32"/>
  <c r="AC44" i="32" s="1"/>
  <c r="N46" i="39"/>
  <c r="U43" i="30"/>
  <c r="V43" i="30" s="1"/>
  <c r="S37" i="11"/>
  <c r="U29" i="11"/>
  <c r="N37" i="38"/>
  <c r="O37" i="38" s="1"/>
  <c r="V37" i="38"/>
  <c r="S39" i="30"/>
  <c r="U29" i="30"/>
  <c r="I28" i="3"/>
  <c r="H39" i="26"/>
  <c r="B21" i="1"/>
  <c r="AC29" i="15"/>
  <c r="S37" i="15"/>
  <c r="U29" i="15"/>
  <c r="F7" i="3" s="1"/>
  <c r="F6" i="3"/>
  <c r="D9" i="1"/>
  <c r="AI46" i="31"/>
  <c r="AJ46" i="31" s="1"/>
  <c r="S39" i="38"/>
  <c r="U29" i="38"/>
  <c r="V29" i="38" s="1"/>
  <c r="AC29" i="38"/>
  <c r="AC29" i="41"/>
  <c r="U29" i="41"/>
  <c r="V29" i="41" s="1"/>
  <c r="S39" i="41"/>
  <c r="D51" i="1"/>
  <c r="D52" i="1" s="1"/>
  <c r="D53" i="1" s="1"/>
  <c r="AJ43" i="35"/>
  <c r="AB43" i="35"/>
  <c r="AC43" i="35" s="1"/>
  <c r="AP41" i="20"/>
  <c r="AQ41" i="20" s="1"/>
  <c r="N39" i="17"/>
  <c r="O39" i="17" s="1"/>
  <c r="AJ29" i="18"/>
  <c r="Z37" i="18"/>
  <c r="AB29" i="18"/>
  <c r="AC29" i="18" s="1"/>
  <c r="AC38" i="24"/>
  <c r="U38" i="24"/>
  <c r="V38" i="24" s="1"/>
  <c r="H39" i="35"/>
  <c r="AJ43" i="28"/>
  <c r="AB43" i="28"/>
  <c r="AC43" i="28" s="1"/>
  <c r="U29" i="31"/>
  <c r="V29" i="31" s="1"/>
  <c r="S39" i="31"/>
  <c r="D27" i="1"/>
  <c r="D28" i="1" s="1"/>
  <c r="D29" i="1" s="1"/>
  <c r="E33" i="3"/>
  <c r="N44" i="25"/>
  <c r="O44" i="25" s="1"/>
  <c r="S39" i="28"/>
  <c r="U29" i="28"/>
  <c r="N41" i="20"/>
  <c r="O41" i="20" s="1"/>
  <c r="AG37" i="14"/>
  <c r="AQ29" i="14"/>
  <c r="AI29" i="14"/>
  <c r="AG37" i="19"/>
  <c r="AI29" i="19"/>
  <c r="AQ29" i="19"/>
  <c r="AJ36" i="41"/>
  <c r="AB36" i="41"/>
  <c r="AC36" i="41" s="1"/>
  <c r="N44" i="30"/>
  <c r="O44" i="30" s="1"/>
  <c r="Z39" i="37"/>
  <c r="AB29" i="37"/>
  <c r="E39" i="1"/>
  <c r="AP43" i="32"/>
  <c r="H37" i="15"/>
  <c r="D6" i="3"/>
  <c r="B9" i="1"/>
  <c r="B66" i="1" s="1"/>
  <c r="B86" i="1" s="1"/>
  <c r="B85" i="1" s="1"/>
  <c r="N42" i="15"/>
  <c r="O42" i="15" s="1"/>
  <c r="V42" i="15"/>
  <c r="AP43" i="25"/>
  <c r="H28" i="3"/>
  <c r="T27" i="3"/>
  <c r="U27" i="3"/>
  <c r="AP29" i="27"/>
  <c r="I22" i="3" s="1"/>
  <c r="AN39" i="27"/>
  <c r="I21" i="3"/>
  <c r="U46" i="31"/>
  <c r="V46" i="31" s="1"/>
  <c r="AC46" i="31"/>
  <c r="N29" i="11"/>
  <c r="O29" i="11" s="1"/>
  <c r="V29" i="11"/>
  <c r="L37" i="11"/>
  <c r="O29" i="10"/>
  <c r="H37" i="10"/>
  <c r="AP29" i="33"/>
  <c r="AN39" i="33"/>
  <c r="Z39" i="30"/>
  <c r="AJ29" i="30"/>
  <c r="AB29" i="30"/>
  <c r="AC29" i="30" s="1"/>
  <c r="L39" i="40"/>
  <c r="V29" i="40"/>
  <c r="N29" i="40"/>
  <c r="O29" i="40" s="1"/>
  <c r="N42" i="17"/>
  <c r="O42" i="17" s="1"/>
  <c r="AC29" i="16"/>
  <c r="U29" i="16"/>
  <c r="S37" i="16"/>
  <c r="H39" i="33"/>
  <c r="AB29" i="38"/>
  <c r="Z39" i="38"/>
  <c r="AJ29" i="38"/>
  <c r="AI41" i="41"/>
  <c r="AJ41" i="41" s="1"/>
  <c r="H37" i="17"/>
  <c r="O29" i="17"/>
  <c r="AB29" i="27"/>
  <c r="G22" i="3" s="1"/>
  <c r="G23" i="3" s="1"/>
  <c r="AJ29" i="27"/>
  <c r="Z39" i="27"/>
  <c r="G21" i="3"/>
  <c r="Z39" i="29"/>
  <c r="AJ29" i="29"/>
  <c r="AB29" i="29"/>
  <c r="U29" i="19"/>
  <c r="V29" i="19" s="1"/>
  <c r="S37" i="19"/>
  <c r="AQ29" i="22"/>
  <c r="AI29" i="22"/>
  <c r="AJ29" i="22" s="1"/>
  <c r="AG37" i="22"/>
  <c r="U29" i="36"/>
  <c r="S39" i="36"/>
  <c r="Z37" i="20"/>
  <c r="AB29" i="20"/>
  <c r="G17" i="3" s="1"/>
  <c r="G18" i="3" s="1"/>
  <c r="G16" i="3"/>
  <c r="E15" i="1"/>
  <c r="AI29" i="23"/>
  <c r="AJ29" i="23" s="1"/>
  <c r="AG37" i="23"/>
  <c r="AQ29" i="23"/>
  <c r="O44" i="39"/>
  <c r="Z37" i="23"/>
  <c r="AB29" i="23"/>
  <c r="AC29" i="23" s="1"/>
  <c r="AB44" i="29"/>
  <c r="AC44" i="29" s="1"/>
  <c r="N39" i="21"/>
  <c r="O39" i="21" s="1"/>
  <c r="V39" i="21"/>
  <c r="AI44" i="29"/>
  <c r="AJ44" i="29" s="1"/>
  <c r="AQ44" i="29"/>
  <c r="S39" i="34"/>
  <c r="U29" i="34"/>
  <c r="V29" i="34" s="1"/>
  <c r="AC29" i="34"/>
  <c r="D33" i="1"/>
  <c r="N46" i="28"/>
  <c r="O46" i="28" s="1"/>
  <c r="V29" i="16"/>
  <c r="L37" i="16"/>
  <c r="N29" i="16"/>
  <c r="O34" i="13"/>
  <c r="N29" i="30"/>
  <c r="O29" i="30" s="1"/>
  <c r="L39" i="30"/>
  <c r="V29" i="30"/>
  <c r="AJ29" i="35"/>
  <c r="AB29" i="35"/>
  <c r="Z39" i="35"/>
  <c r="AP29" i="34"/>
  <c r="AQ29" i="34" s="1"/>
  <c r="AN39" i="34"/>
  <c r="G33" i="1"/>
  <c r="AB37" i="39"/>
  <c r="AP29" i="22"/>
  <c r="AN37" i="22"/>
  <c r="AP43" i="29"/>
  <c r="AQ43" i="29" s="1"/>
  <c r="V44" i="31"/>
  <c r="N44" i="31"/>
  <c r="O44" i="31" s="1"/>
  <c r="V20" i="25"/>
  <c r="N20" i="25"/>
  <c r="O38" i="20"/>
  <c r="AB39" i="21"/>
  <c r="AC39" i="21" s="1"/>
  <c r="AJ39" i="21"/>
  <c r="N29" i="34"/>
  <c r="O29" i="34" s="1"/>
  <c r="L39" i="34"/>
  <c r="C33" i="1"/>
  <c r="C34" i="1" s="1"/>
  <c r="C35" i="1" s="1"/>
  <c r="O29" i="25"/>
  <c r="H39" i="25"/>
  <c r="AB43" i="34"/>
  <c r="N34" i="17"/>
  <c r="O34" i="17" s="1"/>
  <c r="N29" i="9"/>
  <c r="O29" i="9" s="1"/>
  <c r="L37" i="9"/>
  <c r="V29" i="9"/>
  <c r="AQ46" i="26"/>
  <c r="AI46" i="26"/>
  <c r="AJ46" i="26" s="1"/>
  <c r="O29" i="19"/>
  <c r="H37" i="19"/>
  <c r="AC38" i="9"/>
  <c r="U38" i="9"/>
  <c r="V38" i="9" s="1"/>
  <c r="O29" i="16"/>
  <c r="H37" i="16"/>
  <c r="AG39" i="32"/>
  <c r="AI29" i="32"/>
  <c r="AJ29" i="32" s="1"/>
  <c r="AC46" i="26"/>
  <c r="U46" i="26"/>
  <c r="V46" i="26" s="1"/>
  <c r="AQ29" i="37"/>
  <c r="AI29" i="37"/>
  <c r="AJ29" i="37" s="1"/>
  <c r="AG39" i="37"/>
  <c r="F39" i="1"/>
  <c r="F40" i="1" s="1"/>
  <c r="F41" i="1" s="1"/>
  <c r="U44" i="39"/>
  <c r="V44" i="39" s="1"/>
  <c r="C82" i="1"/>
  <c r="C83" i="1" s="1"/>
  <c r="AQ44" i="37"/>
  <c r="AI44" i="37"/>
  <c r="AJ44" i="37" s="1"/>
  <c r="AQ46" i="39"/>
  <c r="AI46" i="39"/>
  <c r="N33" i="25"/>
  <c r="S39" i="32"/>
  <c r="U29" i="32"/>
  <c r="V29" i="32" s="1"/>
  <c r="AP29" i="30"/>
  <c r="AQ29" i="30" s="1"/>
  <c r="AN39" i="30"/>
  <c r="R35" i="3"/>
  <c r="V33" i="3"/>
  <c r="AQ44" i="34"/>
  <c r="AI44" i="34"/>
  <c r="AJ44" i="34" s="1"/>
  <c r="U34" i="21"/>
  <c r="V34" i="21" s="1"/>
  <c r="L25" i="3"/>
  <c r="S25" i="3" s="1"/>
  <c r="AC24" i="3" s="1"/>
  <c r="X24" i="3"/>
  <c r="AA24" i="3" s="1"/>
  <c r="S23" i="3"/>
  <c r="F28" i="3"/>
  <c r="AJ29" i="19"/>
  <c r="Z37" i="19"/>
  <c r="AB29" i="19"/>
  <c r="AC29" i="19" s="1"/>
  <c r="AC29" i="35"/>
  <c r="U29" i="35"/>
  <c r="S39" i="35"/>
  <c r="L37" i="24"/>
  <c r="N29" i="24"/>
  <c r="O29" i="24" s="1"/>
  <c r="L30" i="3"/>
  <c r="S30" i="3" s="1"/>
  <c r="S28" i="3"/>
  <c r="X29" i="3"/>
  <c r="AA29" i="3" s="1"/>
  <c r="AC43" i="36"/>
  <c r="U43" i="36"/>
  <c r="V43" i="36" s="1"/>
  <c r="N44" i="35"/>
  <c r="O44" i="35" s="1"/>
  <c r="V44" i="35"/>
  <c r="S37" i="21"/>
  <c r="U29" i="21"/>
  <c r="V29" i="21" s="1"/>
  <c r="AC29" i="21"/>
  <c r="AJ43" i="25"/>
  <c r="AB43" i="25"/>
  <c r="AC43" i="25" s="1"/>
  <c r="AB29" i="28"/>
  <c r="AC29" i="28" s="1"/>
  <c r="Z39" i="28"/>
  <c r="AJ29" i="28"/>
  <c r="V29" i="33"/>
  <c r="L39" i="33"/>
  <c r="N29" i="33"/>
  <c r="O29" i="33" s="1"/>
  <c r="AB29" i="40"/>
  <c r="AC29" i="40" s="1"/>
  <c r="AJ29" i="40"/>
  <c r="Z39" i="40"/>
  <c r="V39" i="9"/>
  <c r="N39" i="9"/>
  <c r="O39" i="9" s="1"/>
  <c r="H39" i="40"/>
  <c r="W27" i="3"/>
  <c r="X26" i="3"/>
  <c r="AC44" i="33"/>
  <c r="U44" i="33"/>
  <c r="V44" i="33" s="1"/>
  <c r="AB46" i="39"/>
  <c r="AJ46" i="39"/>
  <c r="U46" i="33"/>
  <c r="AC46" i="33"/>
  <c r="O41" i="12"/>
  <c r="AI38" i="18"/>
  <c r="AJ38" i="18" s="1"/>
  <c r="L39" i="26"/>
  <c r="N29" i="26"/>
  <c r="O29" i="26" s="1"/>
  <c r="V29" i="26"/>
  <c r="C21" i="1"/>
  <c r="N43" i="33"/>
  <c r="O43" i="33" s="1"/>
  <c r="Z37" i="11"/>
  <c r="AJ29" i="11"/>
  <c r="AB29" i="11"/>
  <c r="AC29" i="11" s="1"/>
  <c r="AB46" i="27"/>
  <c r="AC46" i="27" s="1"/>
  <c r="AJ46" i="27"/>
  <c r="N29" i="28"/>
  <c r="L39" i="28"/>
  <c r="V29" i="28"/>
  <c r="AC39" i="18"/>
  <c r="U39" i="18"/>
  <c r="V39" i="18" s="1"/>
  <c r="AB42" i="21"/>
  <c r="AC42" i="21" s="1"/>
  <c r="AJ42" i="21"/>
  <c r="AI46" i="27"/>
  <c r="AQ46" i="27"/>
  <c r="O46" i="31"/>
  <c r="AC46" i="39"/>
  <c r="U46" i="39"/>
  <c r="V46" i="39" s="1"/>
  <c r="AC44" i="27"/>
  <c r="U44" i="27"/>
  <c r="V44" i="27" s="1"/>
  <c r="E28" i="3"/>
  <c r="AG39" i="39"/>
  <c r="AI29" i="39"/>
  <c r="AJ29" i="39" s="1"/>
  <c r="AQ29" i="39"/>
  <c r="F45" i="1"/>
  <c r="AP44" i="26"/>
  <c r="AQ44" i="26" s="1"/>
  <c r="AP46" i="25"/>
  <c r="AQ46" i="25" s="1"/>
  <c r="S29" i="25"/>
  <c r="S39" i="37"/>
  <c r="U29" i="37"/>
  <c r="V29" i="37" s="1"/>
  <c r="AC29" i="37"/>
  <c r="D39" i="1"/>
  <c r="D40" i="1" s="1"/>
  <c r="D41" i="1" s="1"/>
  <c r="AI29" i="20"/>
  <c r="H17" i="3" s="1"/>
  <c r="AG37" i="20"/>
  <c r="F15" i="1"/>
  <c r="H16" i="3"/>
  <c r="Z37" i="10"/>
  <c r="AB29" i="10"/>
  <c r="AJ29" i="10"/>
  <c r="AC29" i="10"/>
  <c r="S37" i="10"/>
  <c r="U29" i="10"/>
  <c r="Z39" i="33"/>
  <c r="AB29" i="33"/>
  <c r="AC29" i="33" s="1"/>
  <c r="AJ29" i="33"/>
  <c r="H39" i="39"/>
  <c r="O29" i="39"/>
  <c r="B45" i="1"/>
  <c r="G82" i="1"/>
  <c r="G83" i="1" s="1"/>
  <c r="U38" i="13"/>
  <c r="V38" i="13" s="1"/>
  <c r="AQ29" i="13"/>
  <c r="AG37" i="13"/>
  <c r="AI29" i="13"/>
  <c r="AJ29" i="13" s="1"/>
  <c r="AI37" i="39"/>
  <c r="AJ37" i="39" s="1"/>
  <c r="AQ37" i="39"/>
  <c r="AN39" i="35"/>
  <c r="AP29" i="35"/>
  <c r="AQ29" i="35" s="1"/>
  <c r="AB41" i="19"/>
  <c r="AC41" i="19" s="1"/>
  <c r="AJ41" i="19"/>
  <c r="N43" i="36"/>
  <c r="O43" i="36" s="1"/>
  <c r="S37" i="24"/>
  <c r="U29" i="24"/>
  <c r="V29" i="24" s="1"/>
  <c r="AC29" i="24"/>
  <c r="AN39" i="32"/>
  <c r="AP29" i="32"/>
  <c r="AQ29" i="32" s="1"/>
  <c r="AP29" i="29"/>
  <c r="AN39" i="29"/>
  <c r="AG37" i="21"/>
  <c r="AQ29" i="21"/>
  <c r="AI29" i="21"/>
  <c r="AJ29" i="21" s="1"/>
  <c r="V23" i="3"/>
  <c r="R25" i="3"/>
  <c r="U42" i="24"/>
  <c r="V42" i="24" s="1"/>
  <c r="AC42" i="24"/>
  <c r="AQ43" i="30"/>
  <c r="AI43" i="30"/>
  <c r="AJ43" i="30" s="1"/>
  <c r="AJ34" i="9"/>
  <c r="AB34" i="9"/>
  <c r="AC34" i="9" s="1"/>
  <c r="AI41" i="11"/>
  <c r="AJ41" i="11" s="1"/>
  <c r="AQ41" i="11"/>
  <c r="AN39" i="41"/>
  <c r="AP29" i="41"/>
  <c r="AQ29" i="41" s="1"/>
  <c r="G51" i="1"/>
  <c r="G52" i="1" s="1"/>
  <c r="G53" i="1" s="1"/>
  <c r="U41" i="9"/>
  <c r="V41" i="9" s="1"/>
  <c r="H37" i="12"/>
  <c r="O29" i="12"/>
  <c r="V39" i="16"/>
  <c r="N39" i="16"/>
  <c r="O39" i="16" s="1"/>
  <c r="U46" i="28"/>
  <c r="V46" i="28" s="1"/>
  <c r="O43" i="29"/>
  <c r="V46" i="33"/>
  <c r="N46" i="33"/>
  <c r="O46" i="33" s="1"/>
  <c r="AJ44" i="27"/>
  <c r="AB44" i="27"/>
  <c r="O43" i="30"/>
  <c r="AC44" i="30"/>
  <c r="U44" i="30"/>
  <c r="V44" i="30" s="1"/>
  <c r="U43" i="33"/>
  <c r="V43" i="33" s="1"/>
  <c r="AC43" i="33"/>
  <c r="AQ43" i="38"/>
  <c r="AI43" i="38"/>
  <c r="AJ43" i="38" s="1"/>
  <c r="O44" i="37"/>
  <c r="AC37" i="39"/>
  <c r="U37" i="39"/>
  <c r="V37" i="39" s="1"/>
  <c r="Z29" i="25"/>
  <c r="AN37" i="23"/>
  <c r="AP29" i="23"/>
  <c r="O29" i="31"/>
  <c r="H39" i="31"/>
  <c r="B27" i="1"/>
  <c r="AJ29" i="14"/>
  <c r="Z37" i="14"/>
  <c r="AB29" i="14"/>
  <c r="AC29" i="14" s="1"/>
  <c r="H37" i="14"/>
  <c r="O29" i="14"/>
  <c r="U41" i="13"/>
  <c r="V41" i="13" s="1"/>
  <c r="N46" i="32"/>
  <c r="O46" i="32" s="1"/>
  <c r="AP44" i="27"/>
  <c r="AQ44" i="27" s="1"/>
  <c r="U44" i="40"/>
  <c r="V44" i="40" s="1"/>
  <c r="V29" i="36"/>
  <c r="L39" i="36"/>
  <c r="N29" i="36"/>
  <c r="O29" i="36" s="1"/>
  <c r="AQ32" i="25"/>
  <c r="AI32" i="25"/>
  <c r="U46" i="29"/>
  <c r="V46" i="29" s="1"/>
  <c r="AC46" i="29"/>
  <c r="O46" i="39"/>
  <c r="N42" i="12"/>
  <c r="O42" i="12" s="1"/>
  <c r="O29" i="37"/>
  <c r="H39" i="37"/>
  <c r="B39" i="1"/>
  <c r="U44" i="26"/>
  <c r="V44" i="26" s="1"/>
  <c r="AP29" i="15"/>
  <c r="I7" i="3" s="1"/>
  <c r="I8" i="3" s="1"/>
  <c r="AN37" i="15"/>
  <c r="G9" i="1"/>
  <c r="I6" i="3"/>
  <c r="L37" i="15"/>
  <c r="N29" i="15"/>
  <c r="E7" i="3" s="1"/>
  <c r="E8" i="3" s="1"/>
  <c r="E6" i="3"/>
  <c r="V29" i="15"/>
  <c r="C9" i="1"/>
  <c r="O29" i="22"/>
  <c r="H37" i="22"/>
  <c r="AJ44" i="39"/>
  <c r="AB44" i="39"/>
  <c r="AC44" i="39" s="1"/>
  <c r="O40" i="41"/>
  <c r="AJ29" i="31"/>
  <c r="AB29" i="31"/>
  <c r="AC29" i="31" s="1"/>
  <c r="Z39" i="31"/>
  <c r="E27" i="1"/>
  <c r="E28" i="1" s="1"/>
  <c r="E29" i="1" s="1"/>
  <c r="N29" i="20"/>
  <c r="E17" i="3" s="1"/>
  <c r="E18" i="3" s="1"/>
  <c r="L37" i="20"/>
  <c r="V29" i="20"/>
  <c r="C15" i="1"/>
  <c r="E16" i="3"/>
  <c r="AI29" i="17"/>
  <c r="AJ29" i="17" s="1"/>
  <c r="AG37" i="17"/>
  <c r="AQ29" i="17"/>
  <c r="V29" i="35"/>
  <c r="L39" i="35"/>
  <c r="N29" i="35"/>
  <c r="O29" i="35" s="1"/>
  <c r="AC41" i="24"/>
  <c r="U41" i="24"/>
  <c r="V41" i="24" s="1"/>
  <c r="AP33" i="27"/>
  <c r="AB29" i="36"/>
  <c r="AC29" i="36" s="1"/>
  <c r="Z39" i="36"/>
  <c r="AB44" i="33"/>
  <c r="AP44" i="41"/>
  <c r="AQ44" i="41" s="1"/>
  <c r="N44" i="37"/>
  <c r="AP19" i="27"/>
  <c r="AQ19" i="27" s="1"/>
  <c r="O29" i="38"/>
  <c r="H39" i="38"/>
  <c r="S42" i="34" l="1"/>
  <c r="U39" i="34"/>
  <c r="AG40" i="23"/>
  <c r="AI37" i="23"/>
  <c r="H40" i="17"/>
  <c r="Z42" i="34"/>
  <c r="AB39" i="34"/>
  <c r="AC39" i="34" s="1"/>
  <c r="AN42" i="36"/>
  <c r="AP39" i="36"/>
  <c r="C40" i="1"/>
  <c r="C41" i="1" s="1"/>
  <c r="W34" i="3"/>
  <c r="Z34" i="3" s="1"/>
  <c r="S42" i="27"/>
  <c r="U39" i="27"/>
  <c r="AI39" i="26"/>
  <c r="AG42" i="26"/>
  <c r="F10" i="1"/>
  <c r="F11" i="1" s="1"/>
  <c r="F66" i="1"/>
  <c r="AB39" i="32"/>
  <c r="AC39" i="32" s="1"/>
  <c r="Z42" i="32"/>
  <c r="O29" i="20"/>
  <c r="AN40" i="20"/>
  <c r="AP37" i="20"/>
  <c r="AQ39" i="36"/>
  <c r="AI39" i="36"/>
  <c r="AG42" i="36"/>
  <c r="AP39" i="39"/>
  <c r="AN42" i="39"/>
  <c r="C46" i="1"/>
  <c r="C47" i="1" s="1"/>
  <c r="AQ29" i="27"/>
  <c r="N39" i="33"/>
  <c r="L42" i="33"/>
  <c r="AL59" i="22"/>
  <c r="L42" i="26"/>
  <c r="N39" i="26"/>
  <c r="Z40" i="19"/>
  <c r="AB37" i="19"/>
  <c r="AJ37" i="19"/>
  <c r="AG42" i="37"/>
  <c r="AI39" i="37"/>
  <c r="H40" i="19"/>
  <c r="L42" i="30"/>
  <c r="N39" i="30"/>
  <c r="L42" i="40"/>
  <c r="V39" i="40"/>
  <c r="N39" i="40"/>
  <c r="O39" i="40" s="1"/>
  <c r="O39" i="26"/>
  <c r="H42" i="26"/>
  <c r="F28" i="1"/>
  <c r="F29" i="1" s="1"/>
  <c r="S35" i="3"/>
  <c r="AC34" i="3" s="1"/>
  <c r="AC29" i="27"/>
  <c r="W6" i="3"/>
  <c r="T6" i="3"/>
  <c r="U6" i="3" s="1"/>
  <c r="AI39" i="34"/>
  <c r="AJ39" i="34" s="1"/>
  <c r="AG42" i="34"/>
  <c r="AN40" i="13"/>
  <c r="AP37" i="13"/>
  <c r="AQ37" i="13" s="1"/>
  <c r="G22" i="1"/>
  <c r="G23" i="1" s="1"/>
  <c r="AG42" i="33"/>
  <c r="AI39" i="33"/>
  <c r="H40" i="13"/>
  <c r="H40" i="18"/>
  <c r="S40" i="13"/>
  <c r="U37" i="13"/>
  <c r="AJ39" i="41"/>
  <c r="AB39" i="41"/>
  <c r="Z42" i="41"/>
  <c r="L42" i="39"/>
  <c r="N39" i="39"/>
  <c r="AI39" i="27"/>
  <c r="AG42" i="27"/>
  <c r="AN40" i="23"/>
  <c r="AP37" i="23"/>
  <c r="AQ37" i="23" s="1"/>
  <c r="O39" i="30"/>
  <c r="H42" i="30"/>
  <c r="N37" i="20"/>
  <c r="L40" i="20"/>
  <c r="Z42" i="28"/>
  <c r="AB39" i="28"/>
  <c r="AP37" i="22"/>
  <c r="AN40" i="22"/>
  <c r="E16" i="1"/>
  <c r="E71" i="1"/>
  <c r="AC37" i="19"/>
  <c r="U37" i="19"/>
  <c r="V37" i="19" s="1"/>
  <c r="S40" i="19"/>
  <c r="AB37" i="18"/>
  <c r="Z40" i="18"/>
  <c r="F52" i="1"/>
  <c r="F53" i="1" s="1"/>
  <c r="AG42" i="31"/>
  <c r="AI39" i="31"/>
  <c r="AJ39" i="31" s="1"/>
  <c r="L42" i="37"/>
  <c r="N39" i="37"/>
  <c r="D22" i="1"/>
  <c r="D23" i="1" s="1"/>
  <c r="H42" i="29"/>
  <c r="T7" i="3"/>
  <c r="U7" i="3" s="1"/>
  <c r="H8" i="3"/>
  <c r="L40" i="18"/>
  <c r="N37" i="18"/>
  <c r="O37" i="18" s="1"/>
  <c r="Z42" i="39"/>
  <c r="AB39" i="39"/>
  <c r="AC39" i="39" s="1"/>
  <c r="E10" i="1"/>
  <c r="E11" i="1" s="1"/>
  <c r="E66" i="1"/>
  <c r="N37" i="12"/>
  <c r="L40" i="12"/>
  <c r="AG42" i="35"/>
  <c r="AI39" i="35"/>
  <c r="AI39" i="28"/>
  <c r="AJ39" i="28" s="1"/>
  <c r="AG42" i="28"/>
  <c r="H40" i="23"/>
  <c r="AB19" i="3"/>
  <c r="AB17" i="3"/>
  <c r="AC17" i="3"/>
  <c r="L42" i="32"/>
  <c r="N39" i="32"/>
  <c r="AN40" i="19"/>
  <c r="AP37" i="19"/>
  <c r="T22" i="3"/>
  <c r="U22" i="3" s="1"/>
  <c r="H23" i="3"/>
  <c r="H42" i="25"/>
  <c r="Z19" i="3"/>
  <c r="AC27" i="3"/>
  <c r="AB29" i="3"/>
  <c r="AB27" i="3"/>
  <c r="U21" i="3"/>
  <c r="T21" i="3"/>
  <c r="AB29" i="25"/>
  <c r="AC29" i="25" s="1"/>
  <c r="Z39" i="25"/>
  <c r="AJ29" i="25"/>
  <c r="U39" i="37"/>
  <c r="V39" i="37" s="1"/>
  <c r="S42" i="37"/>
  <c r="H42" i="40"/>
  <c r="Z42" i="31"/>
  <c r="AB39" i="31"/>
  <c r="S39" i="25"/>
  <c r="U29" i="25"/>
  <c r="V29" i="25" s="1"/>
  <c r="Z42" i="38"/>
  <c r="AB39" i="38"/>
  <c r="AC39" i="38" s="1"/>
  <c r="O29" i="15"/>
  <c r="AG42" i="30"/>
  <c r="AI39" i="30"/>
  <c r="AJ39" i="30" s="1"/>
  <c r="AP37" i="16"/>
  <c r="AN40" i="16"/>
  <c r="AQ29" i="15"/>
  <c r="AN42" i="26"/>
  <c r="AP39" i="26"/>
  <c r="AQ39" i="26" s="1"/>
  <c r="C28" i="1"/>
  <c r="C29" i="1" s="1"/>
  <c r="AN40" i="24"/>
  <c r="AP37" i="24"/>
  <c r="AB37" i="12"/>
  <c r="Z40" i="12"/>
  <c r="AB37" i="16"/>
  <c r="Z40" i="16"/>
  <c r="AN40" i="21"/>
  <c r="AP37" i="21"/>
  <c r="AI37" i="13"/>
  <c r="AG40" i="13"/>
  <c r="S40" i="24"/>
  <c r="U37" i="24"/>
  <c r="L42" i="35"/>
  <c r="N39" i="35"/>
  <c r="W29" i="3"/>
  <c r="Z29" i="3" s="1"/>
  <c r="W24" i="3"/>
  <c r="Z24" i="3" s="1"/>
  <c r="S42" i="32"/>
  <c r="U39" i="32"/>
  <c r="V39" i="32" s="1"/>
  <c r="Z42" i="30"/>
  <c r="AB39" i="30"/>
  <c r="AP39" i="27"/>
  <c r="AQ39" i="27" s="1"/>
  <c r="AN42" i="27"/>
  <c r="H40" i="15"/>
  <c r="AI37" i="19"/>
  <c r="AQ37" i="19"/>
  <c r="AG40" i="19"/>
  <c r="S42" i="31"/>
  <c r="U39" i="31"/>
  <c r="V39" i="31" s="1"/>
  <c r="AC39" i="31"/>
  <c r="U39" i="38"/>
  <c r="S42" i="38"/>
  <c r="N37" i="14"/>
  <c r="O37" i="14" s="1"/>
  <c r="L40" i="14"/>
  <c r="AG42" i="41"/>
  <c r="AI39" i="41"/>
  <c r="AN42" i="40"/>
  <c r="AP39" i="40"/>
  <c r="AQ37" i="15"/>
  <c r="AI37" i="15"/>
  <c r="AG40" i="15"/>
  <c r="U39" i="33"/>
  <c r="V39" i="33" s="1"/>
  <c r="S42" i="33"/>
  <c r="G8" i="3"/>
  <c r="AN40" i="17"/>
  <c r="AP37" i="17"/>
  <c r="L40" i="17"/>
  <c r="N37" i="17"/>
  <c r="O37" i="17" s="1"/>
  <c r="G40" i="1"/>
  <c r="G41" i="1" s="1"/>
  <c r="AG40" i="12"/>
  <c r="AI37" i="12"/>
  <c r="AJ37" i="12" s="1"/>
  <c r="U39" i="40"/>
  <c r="S42" i="40"/>
  <c r="AP39" i="25"/>
  <c r="AQ39" i="25" s="1"/>
  <c r="AN42" i="25"/>
  <c r="Z40" i="9"/>
  <c r="AB37" i="9"/>
  <c r="V39" i="38"/>
  <c r="N39" i="38"/>
  <c r="L42" i="38"/>
  <c r="X27" i="3"/>
  <c r="W28" i="3"/>
  <c r="X28" i="3" s="1"/>
  <c r="O39" i="38"/>
  <c r="H42" i="38"/>
  <c r="V39" i="34"/>
  <c r="L42" i="34"/>
  <c r="N39" i="34"/>
  <c r="O39" i="34" s="1"/>
  <c r="N37" i="15"/>
  <c r="O37" i="15" s="1"/>
  <c r="L40" i="15"/>
  <c r="H40" i="14"/>
  <c r="G10" i="1"/>
  <c r="G11" i="1" s="1"/>
  <c r="G66" i="1"/>
  <c r="AB37" i="14"/>
  <c r="AC37" i="14" s="1"/>
  <c r="Z40" i="14"/>
  <c r="AN42" i="41"/>
  <c r="AP39" i="41"/>
  <c r="AQ39" i="41" s="1"/>
  <c r="AB24" i="3"/>
  <c r="AC22" i="3"/>
  <c r="AB22" i="3"/>
  <c r="Z40" i="10"/>
  <c r="AB37" i="10"/>
  <c r="AC29" i="3"/>
  <c r="N37" i="16"/>
  <c r="L40" i="16"/>
  <c r="Z40" i="20"/>
  <c r="AB37" i="20"/>
  <c r="AC37" i="20" s="1"/>
  <c r="AJ37" i="20"/>
  <c r="AP39" i="33"/>
  <c r="AQ39" i="33" s="1"/>
  <c r="AN42" i="33"/>
  <c r="I23" i="3"/>
  <c r="S42" i="30"/>
  <c r="U39" i="30"/>
  <c r="V39" i="30" s="1"/>
  <c r="AC39" i="30"/>
  <c r="U39" i="29"/>
  <c r="S42" i="29"/>
  <c r="U39" i="26"/>
  <c r="V39" i="26" s="1"/>
  <c r="S42" i="26"/>
  <c r="G28" i="1"/>
  <c r="G29" i="1" s="1"/>
  <c r="U37" i="14"/>
  <c r="V37" i="14" s="1"/>
  <c r="S40" i="14"/>
  <c r="L40" i="19"/>
  <c r="N37" i="19"/>
  <c r="O37" i="19" s="1"/>
  <c r="AB9" i="3"/>
  <c r="AC7" i="3"/>
  <c r="AB7" i="3"/>
  <c r="H40" i="21"/>
  <c r="AJ29" i="15"/>
  <c r="E23" i="3"/>
  <c r="N39" i="25"/>
  <c r="O39" i="25" s="1"/>
  <c r="L42" i="25"/>
  <c r="AG40" i="24"/>
  <c r="AI37" i="24"/>
  <c r="AQ37" i="24"/>
  <c r="AG42" i="25"/>
  <c r="AI39" i="25"/>
  <c r="V37" i="22"/>
  <c r="N37" i="22"/>
  <c r="O37" i="22" s="1"/>
  <c r="L40" i="22"/>
  <c r="S42" i="28"/>
  <c r="U39" i="28"/>
  <c r="AC39" i="28"/>
  <c r="AJ37" i="24"/>
  <c r="Z40" i="24"/>
  <c r="AB37" i="24"/>
  <c r="AC37" i="24" s="1"/>
  <c r="S40" i="22"/>
  <c r="U37" i="22"/>
  <c r="AN40" i="15"/>
  <c r="AP37" i="15"/>
  <c r="W16" i="3"/>
  <c r="U16" i="3"/>
  <c r="T16" i="3"/>
  <c r="F46" i="1"/>
  <c r="F47" i="1" s="1"/>
  <c r="Z40" i="11"/>
  <c r="AB37" i="11"/>
  <c r="G34" i="1"/>
  <c r="G35" i="1" s="1"/>
  <c r="AJ29" i="20"/>
  <c r="Z42" i="29"/>
  <c r="AB39" i="29"/>
  <c r="AC39" i="29" s="1"/>
  <c r="O39" i="33"/>
  <c r="H42" i="33"/>
  <c r="E40" i="1"/>
  <c r="E41" i="1" s="1"/>
  <c r="D66" i="1"/>
  <c r="D10" i="1"/>
  <c r="D11" i="1" s="1"/>
  <c r="H40" i="9"/>
  <c r="O37" i="9"/>
  <c r="AP39" i="31"/>
  <c r="AQ39" i="31" s="1"/>
  <c r="AN42" i="31"/>
  <c r="AQ37" i="18"/>
  <c r="AG40" i="18"/>
  <c r="AI37" i="18"/>
  <c r="AJ37" i="18" s="1"/>
  <c r="U39" i="39"/>
  <c r="V39" i="39" s="1"/>
  <c r="S42" i="39"/>
  <c r="E22" i="1"/>
  <c r="E23" i="1" s="1"/>
  <c r="Q55" i="41"/>
  <c r="R15" i="3"/>
  <c r="S15" i="3" s="1"/>
  <c r="S13" i="3"/>
  <c r="W14" i="3" s="1"/>
  <c r="Z14" i="3" s="1"/>
  <c r="Z40" i="15"/>
  <c r="AB37" i="15"/>
  <c r="AJ37" i="15"/>
  <c r="W22" i="3"/>
  <c r="N39" i="31"/>
  <c r="O39" i="31" s="1"/>
  <c r="L42" i="31"/>
  <c r="V39" i="29"/>
  <c r="L42" i="29"/>
  <c r="N39" i="29"/>
  <c r="O39" i="29" s="1"/>
  <c r="D16" i="1"/>
  <c r="D71" i="1"/>
  <c r="S40" i="17"/>
  <c r="U37" i="17"/>
  <c r="V37" i="17" s="1"/>
  <c r="V39" i="27"/>
  <c r="L42" i="27"/>
  <c r="N39" i="27"/>
  <c r="AN42" i="37"/>
  <c r="AP39" i="37"/>
  <c r="AQ39" i="37" s="1"/>
  <c r="Q61" i="37"/>
  <c r="X55" i="37"/>
  <c r="Z40" i="21"/>
  <c r="AB37" i="21"/>
  <c r="AC37" i="21" s="1"/>
  <c r="AQ39" i="40"/>
  <c r="AG42" i="40"/>
  <c r="AI39" i="40"/>
  <c r="AJ39" i="40" s="1"/>
  <c r="AI29" i="25"/>
  <c r="O39" i="39"/>
  <c r="H42" i="39"/>
  <c r="F16" i="1"/>
  <c r="F71" i="1"/>
  <c r="Z42" i="40"/>
  <c r="AB39" i="40"/>
  <c r="AC39" i="40" s="1"/>
  <c r="AQ39" i="32"/>
  <c r="AI39" i="32"/>
  <c r="AJ39" i="32" s="1"/>
  <c r="AG42" i="32"/>
  <c r="V37" i="9"/>
  <c r="N37" i="9"/>
  <c r="L40" i="9"/>
  <c r="AN42" i="34"/>
  <c r="AP39" i="34"/>
  <c r="AQ39" i="34" s="1"/>
  <c r="S40" i="16"/>
  <c r="U37" i="16"/>
  <c r="V37" i="16" s="1"/>
  <c r="AC37" i="16"/>
  <c r="AI37" i="14"/>
  <c r="AJ37" i="14" s="1"/>
  <c r="AG40" i="14"/>
  <c r="U37" i="12"/>
  <c r="V37" i="12" s="1"/>
  <c r="S40" i="12"/>
  <c r="AC37" i="12"/>
  <c r="AG42" i="38"/>
  <c r="AI39" i="38"/>
  <c r="AJ39" i="38" s="1"/>
  <c r="O39" i="32"/>
  <c r="H42" i="32"/>
  <c r="O39" i="36"/>
  <c r="H42" i="36"/>
  <c r="AB39" i="26"/>
  <c r="AC39" i="26" s="1"/>
  <c r="AJ39" i="26"/>
  <c r="Z42" i="26"/>
  <c r="AL53" i="23"/>
  <c r="AE59" i="23"/>
  <c r="J61" i="41"/>
  <c r="AP37" i="10"/>
  <c r="AN40" i="10"/>
  <c r="AB37" i="22"/>
  <c r="AC37" i="22" s="1"/>
  <c r="Z40" i="22"/>
  <c r="AJ37" i="22"/>
  <c r="AN42" i="28"/>
  <c r="AP39" i="28"/>
  <c r="AQ39" i="28" s="1"/>
  <c r="V29" i="27"/>
  <c r="C66" i="1"/>
  <c r="C10" i="1"/>
  <c r="C11" i="1" s="1"/>
  <c r="S42" i="41"/>
  <c r="AC39" i="41"/>
  <c r="U39" i="41"/>
  <c r="AN42" i="32"/>
  <c r="AP39" i="32"/>
  <c r="AQ37" i="17"/>
  <c r="AG40" i="17"/>
  <c r="AI37" i="17"/>
  <c r="L42" i="36"/>
  <c r="N39" i="36"/>
  <c r="H42" i="31"/>
  <c r="AQ37" i="21"/>
  <c r="AG40" i="21"/>
  <c r="AI37" i="21"/>
  <c r="AJ37" i="21" s="1"/>
  <c r="AQ29" i="20"/>
  <c r="L40" i="24"/>
  <c r="N37" i="24"/>
  <c r="V37" i="24"/>
  <c r="S42" i="36"/>
  <c r="U39" i="36"/>
  <c r="V39" i="36" s="1"/>
  <c r="AJ39" i="27"/>
  <c r="Z42" i="27"/>
  <c r="AB39" i="27"/>
  <c r="AC39" i="27" s="1"/>
  <c r="H40" i="10"/>
  <c r="O37" i="10"/>
  <c r="T28" i="3"/>
  <c r="U28" i="3" s="1"/>
  <c r="F8" i="3"/>
  <c r="T33" i="3"/>
  <c r="U33" i="3" s="1"/>
  <c r="L40" i="23"/>
  <c r="N37" i="23"/>
  <c r="O37" i="23" s="1"/>
  <c r="V37" i="13"/>
  <c r="L40" i="13"/>
  <c r="N37" i="13"/>
  <c r="O37" i="13" s="1"/>
  <c r="S40" i="20"/>
  <c r="U37" i="20"/>
  <c r="V37" i="20" s="1"/>
  <c r="V39" i="28"/>
  <c r="L42" i="28"/>
  <c r="N39" i="28"/>
  <c r="H42" i="27"/>
  <c r="O39" i="27"/>
  <c r="V37" i="21"/>
  <c r="L40" i="21"/>
  <c r="N37" i="21"/>
  <c r="O37" i="21" s="1"/>
  <c r="O37" i="20"/>
  <c r="H40" i="20"/>
  <c r="AP37" i="9"/>
  <c r="AN40" i="9"/>
  <c r="S40" i="10"/>
  <c r="U37" i="10"/>
  <c r="V37" i="10" s="1"/>
  <c r="AC37" i="10"/>
  <c r="H40" i="22"/>
  <c r="AN42" i="29"/>
  <c r="AP39" i="29"/>
  <c r="AN42" i="35"/>
  <c r="AP39" i="35"/>
  <c r="AQ39" i="35" s="1"/>
  <c r="AI37" i="20"/>
  <c r="AQ37" i="20"/>
  <c r="AG40" i="20"/>
  <c r="AG42" i="39"/>
  <c r="AI39" i="39"/>
  <c r="AJ39" i="39" s="1"/>
  <c r="AQ39" i="39"/>
  <c r="S40" i="21"/>
  <c r="U37" i="21"/>
  <c r="U39" i="35"/>
  <c r="V39" i="35" s="1"/>
  <c r="S42" i="35"/>
  <c r="H40" i="16"/>
  <c r="O37" i="16"/>
  <c r="Z42" i="35"/>
  <c r="AJ39" i="35"/>
  <c r="AB39" i="35"/>
  <c r="AC39" i="35" s="1"/>
  <c r="D34" i="1"/>
  <c r="D35" i="1" s="1"/>
  <c r="AJ37" i="23"/>
  <c r="Z40" i="23"/>
  <c r="AB37" i="23"/>
  <c r="AJ39" i="37"/>
  <c r="Z42" i="37"/>
  <c r="AB39" i="37"/>
  <c r="AC39" i="37" s="1"/>
  <c r="O39" i="35"/>
  <c r="H42" i="35"/>
  <c r="S40" i="15"/>
  <c r="AC37" i="15"/>
  <c r="U37" i="15"/>
  <c r="V37" i="15" s="1"/>
  <c r="U37" i="11"/>
  <c r="S40" i="11"/>
  <c r="AC37" i="11"/>
  <c r="V39" i="41"/>
  <c r="L42" i="41"/>
  <c r="N39" i="41"/>
  <c r="E34" i="1"/>
  <c r="E35" i="1" s="1"/>
  <c r="AQ37" i="10"/>
  <c r="AI37" i="10"/>
  <c r="AJ37" i="10" s="1"/>
  <c r="AG40" i="10"/>
  <c r="H40" i="11"/>
  <c r="O37" i="11"/>
  <c r="AL59" i="24"/>
  <c r="N37" i="10"/>
  <c r="L40" i="10"/>
  <c r="AN40" i="14"/>
  <c r="AP37" i="14"/>
  <c r="AQ37" i="14" s="1"/>
  <c r="H42" i="34"/>
  <c r="S40" i="23"/>
  <c r="U37" i="23"/>
  <c r="V37" i="23" s="1"/>
  <c r="AC37" i="23"/>
  <c r="Z40" i="13"/>
  <c r="AJ37" i="13"/>
  <c r="AB37" i="13"/>
  <c r="AC37" i="13" s="1"/>
  <c r="F18" i="3"/>
  <c r="AP37" i="12"/>
  <c r="AQ37" i="12" s="1"/>
  <c r="AN40" i="12"/>
  <c r="AC37" i="9"/>
  <c r="S40" i="9"/>
  <c r="U37" i="9"/>
  <c r="S40" i="18"/>
  <c r="AC37" i="18"/>
  <c r="U37" i="18"/>
  <c r="V37" i="18" s="1"/>
  <c r="G71" i="1"/>
  <c r="G16" i="1"/>
  <c r="AN40" i="18"/>
  <c r="AP37" i="18"/>
  <c r="AI37" i="16"/>
  <c r="AJ37" i="16" s="1"/>
  <c r="AQ37" i="16"/>
  <c r="AG40" i="16"/>
  <c r="W33" i="3"/>
  <c r="X33" i="3" s="1"/>
  <c r="X32" i="3"/>
  <c r="AJ37" i="17"/>
  <c r="Z40" i="17"/>
  <c r="AB37" i="17"/>
  <c r="AC37" i="17" s="1"/>
  <c r="AG40" i="11"/>
  <c r="AI37" i="11"/>
  <c r="AJ37" i="11" s="1"/>
  <c r="AN42" i="30"/>
  <c r="AP39" i="30"/>
  <c r="AQ39" i="30" s="1"/>
  <c r="H40" i="12"/>
  <c r="O37" i="12"/>
  <c r="AJ39" i="36"/>
  <c r="Z42" i="36"/>
  <c r="AB39" i="36"/>
  <c r="AC39" i="36" s="1"/>
  <c r="C71" i="1"/>
  <c r="C16" i="1"/>
  <c r="O39" i="37"/>
  <c r="H42" i="37"/>
  <c r="Z42" i="33"/>
  <c r="AB39" i="33"/>
  <c r="AC39" i="33" s="1"/>
  <c r="AJ39" i="33"/>
  <c r="T17" i="3"/>
  <c r="U17" i="3" s="1"/>
  <c r="H18" i="3"/>
  <c r="C22" i="1"/>
  <c r="C23" i="1" s="1"/>
  <c r="AB34" i="3"/>
  <c r="AC32" i="3"/>
  <c r="AB32" i="3"/>
  <c r="AG40" i="22"/>
  <c r="AI37" i="22"/>
  <c r="AQ37" i="22"/>
  <c r="L40" i="11"/>
  <c r="V37" i="11"/>
  <c r="N37" i="11"/>
  <c r="AA19" i="3"/>
  <c r="AI37" i="9"/>
  <c r="AJ37" i="9" s="1"/>
  <c r="AG40" i="9"/>
  <c r="AQ37" i="9"/>
  <c r="O37" i="24"/>
  <c r="H40" i="24"/>
  <c r="AP37" i="11"/>
  <c r="AQ37" i="11" s="1"/>
  <c r="AN40" i="11"/>
  <c r="AC29" i="20"/>
  <c r="AP39" i="38"/>
  <c r="AQ39" i="38" s="1"/>
  <c r="AN42" i="38"/>
  <c r="AG42" i="29"/>
  <c r="AI39" i="29"/>
  <c r="AJ39" i="29" s="1"/>
  <c r="AQ39" i="29"/>
  <c r="O39" i="41"/>
  <c r="H42" i="41"/>
  <c r="O39" i="28"/>
  <c r="H42" i="28"/>
  <c r="W13" i="3"/>
  <c r="X13" i="3" s="1"/>
  <c r="X12" i="3"/>
  <c r="C72" i="1" l="1"/>
  <c r="C17" i="1"/>
  <c r="C73" i="1" s="1"/>
  <c r="X16" i="3"/>
  <c r="W17" i="3"/>
  <c r="AN58" i="36"/>
  <c r="AP42" i="36"/>
  <c r="AN52" i="36"/>
  <c r="AB40" i="17"/>
  <c r="AJ40" i="17"/>
  <c r="Z50" i="17"/>
  <c r="Z56" i="17"/>
  <c r="O40" i="11"/>
  <c r="H56" i="11"/>
  <c r="H50" i="11"/>
  <c r="AI42" i="39"/>
  <c r="AG58" i="39"/>
  <c r="AG52" i="39"/>
  <c r="U40" i="10"/>
  <c r="S50" i="10"/>
  <c r="S56" i="10"/>
  <c r="AJ42" i="26"/>
  <c r="AB42" i="26"/>
  <c r="AC42" i="26" s="1"/>
  <c r="Z58" i="26"/>
  <c r="Z52" i="26"/>
  <c r="AG58" i="32"/>
  <c r="AI42" i="32"/>
  <c r="AG52" i="32"/>
  <c r="AQ42" i="40"/>
  <c r="AI42" i="40"/>
  <c r="AG52" i="40"/>
  <c r="AG58" i="40"/>
  <c r="W23" i="3"/>
  <c r="X23" i="3" s="1"/>
  <c r="X22" i="3"/>
  <c r="AB42" i="38"/>
  <c r="Z58" i="38"/>
  <c r="Z52" i="38"/>
  <c r="AP40" i="13"/>
  <c r="AN56" i="13"/>
  <c r="AN50" i="13"/>
  <c r="F86" i="1"/>
  <c r="F85" i="1" s="1"/>
  <c r="F67" i="1"/>
  <c r="AI40" i="20"/>
  <c r="AG50" i="20"/>
  <c r="AG56" i="20"/>
  <c r="AI40" i="17"/>
  <c r="AG50" i="17"/>
  <c r="AG56" i="17"/>
  <c r="AI40" i="14"/>
  <c r="AG56" i="14"/>
  <c r="AG50" i="14"/>
  <c r="AI40" i="18"/>
  <c r="AG56" i="18"/>
  <c r="AG50" i="18"/>
  <c r="AP40" i="15"/>
  <c r="AN50" i="15"/>
  <c r="AN56" i="15"/>
  <c r="H50" i="21"/>
  <c r="H56" i="21"/>
  <c r="AP42" i="40"/>
  <c r="AN52" i="40"/>
  <c r="AN58" i="40"/>
  <c r="S58" i="31"/>
  <c r="U42" i="31"/>
  <c r="S52" i="31"/>
  <c r="Z42" i="25"/>
  <c r="AB39" i="25"/>
  <c r="AC39" i="25" s="1"/>
  <c r="AJ39" i="25"/>
  <c r="T23" i="3"/>
  <c r="U23" i="3" s="1"/>
  <c r="AI42" i="28"/>
  <c r="AJ42" i="28" s="1"/>
  <c r="AG58" i="28"/>
  <c r="AG52" i="28"/>
  <c r="AQ42" i="34"/>
  <c r="AI42" i="34"/>
  <c r="AG58" i="34"/>
  <c r="AG52" i="34"/>
  <c r="AB40" i="19"/>
  <c r="AJ40" i="19"/>
  <c r="Z56" i="19"/>
  <c r="Z50" i="19"/>
  <c r="AN58" i="39"/>
  <c r="AP42" i="39"/>
  <c r="AQ42" i="39" s="1"/>
  <c r="AN52" i="39"/>
  <c r="N40" i="15"/>
  <c r="V40" i="15"/>
  <c r="L56" i="15"/>
  <c r="L50" i="15"/>
  <c r="U40" i="15"/>
  <c r="S56" i="15"/>
  <c r="S50" i="15"/>
  <c r="H58" i="35"/>
  <c r="H52" i="35"/>
  <c r="Z58" i="29"/>
  <c r="AB42" i="29"/>
  <c r="AC42" i="29" s="1"/>
  <c r="Z52" i="29"/>
  <c r="S58" i="26"/>
  <c r="U42" i="26"/>
  <c r="S52" i="26"/>
  <c r="AB40" i="9"/>
  <c r="Z56" i="9"/>
  <c r="Z50" i="9"/>
  <c r="N40" i="17"/>
  <c r="O40" i="17" s="1"/>
  <c r="L56" i="17"/>
  <c r="L50" i="17"/>
  <c r="AI40" i="19"/>
  <c r="AG50" i="19"/>
  <c r="AG56" i="19"/>
  <c r="U42" i="32"/>
  <c r="S58" i="32"/>
  <c r="S52" i="32"/>
  <c r="AP42" i="26"/>
  <c r="AQ42" i="26" s="1"/>
  <c r="AN58" i="26"/>
  <c r="AN52" i="26"/>
  <c r="S42" i="25"/>
  <c r="U39" i="25"/>
  <c r="V39" i="25" s="1"/>
  <c r="AB42" i="39"/>
  <c r="AJ42" i="39"/>
  <c r="Z58" i="39"/>
  <c r="Z52" i="39"/>
  <c r="N42" i="37"/>
  <c r="L52" i="37"/>
  <c r="L58" i="37"/>
  <c r="E72" i="1"/>
  <c r="E17" i="1"/>
  <c r="E73" i="1" s="1"/>
  <c r="AP40" i="23"/>
  <c r="AN56" i="23"/>
  <c r="AN50" i="23"/>
  <c r="U40" i="13"/>
  <c r="S56" i="13"/>
  <c r="S50" i="13"/>
  <c r="N42" i="40"/>
  <c r="V42" i="40"/>
  <c r="L58" i="40"/>
  <c r="L52" i="40"/>
  <c r="AI42" i="26"/>
  <c r="AG58" i="26"/>
  <c r="AG52" i="26"/>
  <c r="AB42" i="34"/>
  <c r="Z58" i="34"/>
  <c r="AJ42" i="34"/>
  <c r="Z52" i="34"/>
  <c r="U40" i="12"/>
  <c r="AC40" i="12"/>
  <c r="S56" i="12"/>
  <c r="S50" i="12"/>
  <c r="AN58" i="33"/>
  <c r="AP42" i="33"/>
  <c r="AN52" i="33"/>
  <c r="AP40" i="9"/>
  <c r="AN56" i="9"/>
  <c r="AN50" i="9"/>
  <c r="AB42" i="36"/>
  <c r="AC42" i="36" s="1"/>
  <c r="Z58" i="36"/>
  <c r="AJ42" i="36"/>
  <c r="Z52" i="36"/>
  <c r="H58" i="34"/>
  <c r="H52" i="34"/>
  <c r="U40" i="20"/>
  <c r="S56" i="20"/>
  <c r="S50" i="20"/>
  <c r="N40" i="24"/>
  <c r="L50" i="24"/>
  <c r="L56" i="24"/>
  <c r="AQ42" i="29"/>
  <c r="AI42" i="29"/>
  <c r="AJ42" i="29" s="1"/>
  <c r="AG58" i="29"/>
  <c r="AG52" i="29"/>
  <c r="U18" i="3"/>
  <c r="T18" i="3"/>
  <c r="AC40" i="9"/>
  <c r="U40" i="9"/>
  <c r="S56" i="9"/>
  <c r="S50" i="9"/>
  <c r="H56" i="16"/>
  <c r="H50" i="16"/>
  <c r="H56" i="20"/>
  <c r="H50" i="20"/>
  <c r="AB40" i="22"/>
  <c r="Z56" i="22"/>
  <c r="Z50" i="22"/>
  <c r="H58" i="36"/>
  <c r="H52" i="36"/>
  <c r="AJ40" i="21"/>
  <c r="AB40" i="21"/>
  <c r="AC40" i="21" s="1"/>
  <c r="Z56" i="21"/>
  <c r="Z50" i="21"/>
  <c r="U40" i="17"/>
  <c r="V40" i="17" s="1"/>
  <c r="AC40" i="17"/>
  <c r="S56" i="17"/>
  <c r="S50" i="17"/>
  <c r="AB40" i="15"/>
  <c r="AC40" i="15" s="1"/>
  <c r="Z50" i="15"/>
  <c r="Z56" i="15"/>
  <c r="AN58" i="31"/>
  <c r="AP42" i="31"/>
  <c r="AQ42" i="31" s="1"/>
  <c r="AN52" i="31"/>
  <c r="AJ40" i="20"/>
  <c r="AB40" i="20"/>
  <c r="AC40" i="20" s="1"/>
  <c r="Z50" i="20"/>
  <c r="Z56" i="20"/>
  <c r="AP42" i="41"/>
  <c r="AN58" i="41"/>
  <c r="AN52" i="41"/>
  <c r="N42" i="34"/>
  <c r="O42" i="34" s="1"/>
  <c r="L58" i="34"/>
  <c r="L52" i="34"/>
  <c r="AP42" i="25"/>
  <c r="AN58" i="25"/>
  <c r="AN52" i="25"/>
  <c r="AP40" i="21"/>
  <c r="AN50" i="21"/>
  <c r="AN56" i="21"/>
  <c r="AP40" i="22"/>
  <c r="AN56" i="22"/>
  <c r="AN50" i="22"/>
  <c r="H50" i="18"/>
  <c r="H56" i="18"/>
  <c r="AQ42" i="36"/>
  <c r="AG58" i="36"/>
  <c r="AI42" i="36"/>
  <c r="AG52" i="36"/>
  <c r="H56" i="17"/>
  <c r="H50" i="17"/>
  <c r="L58" i="36"/>
  <c r="N42" i="36"/>
  <c r="O42" i="36" s="1"/>
  <c r="L52" i="36"/>
  <c r="N42" i="27"/>
  <c r="L58" i="27"/>
  <c r="V42" i="27"/>
  <c r="L52" i="27"/>
  <c r="AP40" i="24"/>
  <c r="AN56" i="24"/>
  <c r="AN50" i="24"/>
  <c r="H58" i="25"/>
  <c r="H52" i="25"/>
  <c r="U40" i="18"/>
  <c r="S56" i="18"/>
  <c r="S50" i="18"/>
  <c r="AP42" i="28"/>
  <c r="AQ42" i="28" s="1"/>
  <c r="AN58" i="28"/>
  <c r="AN52" i="28"/>
  <c r="N40" i="16"/>
  <c r="O40" i="16" s="1"/>
  <c r="L56" i="16"/>
  <c r="L50" i="16"/>
  <c r="AP40" i="17"/>
  <c r="AQ40" i="17" s="1"/>
  <c r="AN56" i="17"/>
  <c r="AN50" i="17"/>
  <c r="AI42" i="41"/>
  <c r="AQ42" i="41"/>
  <c r="AG58" i="41"/>
  <c r="AG52" i="41"/>
  <c r="AJ40" i="16"/>
  <c r="AB40" i="16"/>
  <c r="Z50" i="16"/>
  <c r="Z56" i="16"/>
  <c r="AP40" i="16"/>
  <c r="AN50" i="16"/>
  <c r="AN56" i="16"/>
  <c r="AP40" i="19"/>
  <c r="AQ40" i="19" s="1"/>
  <c r="AN56" i="19"/>
  <c r="AN50" i="19"/>
  <c r="AG58" i="27"/>
  <c r="AI42" i="27"/>
  <c r="AG52" i="27"/>
  <c r="L58" i="30"/>
  <c r="N42" i="30"/>
  <c r="L52" i="30"/>
  <c r="N42" i="26"/>
  <c r="L58" i="26"/>
  <c r="V42" i="26"/>
  <c r="L52" i="26"/>
  <c r="AQ40" i="13"/>
  <c r="AI40" i="13"/>
  <c r="AG56" i="13"/>
  <c r="AG50" i="13"/>
  <c r="H50" i="23"/>
  <c r="H56" i="23"/>
  <c r="AN58" i="32"/>
  <c r="AP42" i="32"/>
  <c r="AQ42" i="32" s="1"/>
  <c r="AN52" i="32"/>
  <c r="AC40" i="22"/>
  <c r="U40" i="22"/>
  <c r="S56" i="22"/>
  <c r="S50" i="22"/>
  <c r="AB42" i="37"/>
  <c r="Z58" i="37"/>
  <c r="Z52" i="37"/>
  <c r="AN58" i="35"/>
  <c r="AP42" i="35"/>
  <c r="AN52" i="35"/>
  <c r="N40" i="13"/>
  <c r="O40" i="13" s="1"/>
  <c r="V40" i="13"/>
  <c r="L56" i="13"/>
  <c r="L50" i="13"/>
  <c r="O40" i="10"/>
  <c r="H50" i="10"/>
  <c r="H56" i="10"/>
  <c r="AQ40" i="21"/>
  <c r="AI40" i="21"/>
  <c r="AG50" i="21"/>
  <c r="AG56" i="21"/>
  <c r="AP40" i="10"/>
  <c r="AN56" i="10"/>
  <c r="AN50" i="10"/>
  <c r="H58" i="32"/>
  <c r="O42" i="32"/>
  <c r="H52" i="32"/>
  <c r="AJ42" i="40"/>
  <c r="AB42" i="40"/>
  <c r="Z58" i="40"/>
  <c r="Z52" i="40"/>
  <c r="Z55" i="37"/>
  <c r="AE55" i="37"/>
  <c r="X61" i="37"/>
  <c r="D72" i="1"/>
  <c r="D17" i="1"/>
  <c r="D73" i="1" s="1"/>
  <c r="T14" i="3"/>
  <c r="AC14" i="3"/>
  <c r="H58" i="38"/>
  <c r="H52" i="38"/>
  <c r="AC42" i="40"/>
  <c r="U42" i="40"/>
  <c r="S58" i="40"/>
  <c r="S52" i="40"/>
  <c r="N40" i="14"/>
  <c r="L50" i="14"/>
  <c r="L56" i="14"/>
  <c r="AJ42" i="31"/>
  <c r="AB42" i="31"/>
  <c r="AC42" i="31" s="1"/>
  <c r="Z58" i="31"/>
  <c r="Z52" i="31"/>
  <c r="AQ42" i="35"/>
  <c r="AG58" i="35"/>
  <c r="AI42" i="35"/>
  <c r="AG52" i="35"/>
  <c r="V40" i="18"/>
  <c r="N40" i="18"/>
  <c r="O40" i="18" s="1"/>
  <c r="L56" i="18"/>
  <c r="L50" i="18"/>
  <c r="AG58" i="31"/>
  <c r="AI42" i="31"/>
  <c r="AG52" i="31"/>
  <c r="H50" i="13"/>
  <c r="H56" i="13"/>
  <c r="AQ40" i="16"/>
  <c r="AI40" i="16"/>
  <c r="AG56" i="16"/>
  <c r="AG50" i="16"/>
  <c r="U42" i="29"/>
  <c r="S58" i="29"/>
  <c r="S52" i="29"/>
  <c r="N40" i="10"/>
  <c r="V40" i="10"/>
  <c r="L56" i="10"/>
  <c r="L50" i="10"/>
  <c r="N42" i="41"/>
  <c r="O42" i="41" s="1"/>
  <c r="L58" i="41"/>
  <c r="L52" i="41"/>
  <c r="N40" i="21"/>
  <c r="O40" i="21" s="1"/>
  <c r="V40" i="21"/>
  <c r="L50" i="21"/>
  <c r="L56" i="21"/>
  <c r="U40" i="16"/>
  <c r="V40" i="16" s="1"/>
  <c r="AC40" i="16"/>
  <c r="S56" i="16"/>
  <c r="S50" i="16"/>
  <c r="H56" i="9"/>
  <c r="H50" i="9"/>
  <c r="AB40" i="11"/>
  <c r="AC40" i="11" s="1"/>
  <c r="Z50" i="11"/>
  <c r="Z56" i="11"/>
  <c r="AB40" i="24"/>
  <c r="AJ40" i="24"/>
  <c r="Z50" i="24"/>
  <c r="Z56" i="24"/>
  <c r="S58" i="33"/>
  <c r="U42" i="33"/>
  <c r="V42" i="33" s="1"/>
  <c r="S52" i="33"/>
  <c r="O40" i="15"/>
  <c r="H56" i="15"/>
  <c r="H50" i="15"/>
  <c r="U8" i="3"/>
  <c r="T8" i="3"/>
  <c r="X6" i="3"/>
  <c r="W7" i="3"/>
  <c r="H56" i="19"/>
  <c r="H50" i="19"/>
  <c r="AN59" i="22"/>
  <c r="AI40" i="23"/>
  <c r="AJ40" i="23" s="1"/>
  <c r="AQ40" i="23"/>
  <c r="AG50" i="23"/>
  <c r="AG56" i="23"/>
  <c r="H58" i="41"/>
  <c r="H52" i="41"/>
  <c r="S58" i="36"/>
  <c r="U42" i="36"/>
  <c r="V42" i="36" s="1"/>
  <c r="S52" i="36"/>
  <c r="V40" i="22"/>
  <c r="N40" i="22"/>
  <c r="O40" i="22" s="1"/>
  <c r="L50" i="22"/>
  <c r="L56" i="22"/>
  <c r="AJ42" i="35"/>
  <c r="AB42" i="35"/>
  <c r="Z58" i="35"/>
  <c r="Z52" i="35"/>
  <c r="H56" i="12"/>
  <c r="H50" i="12"/>
  <c r="AP42" i="29"/>
  <c r="AN58" i="29"/>
  <c r="AN52" i="29"/>
  <c r="AB42" i="27"/>
  <c r="AC42" i="27" s="1"/>
  <c r="AJ42" i="27"/>
  <c r="Z58" i="27"/>
  <c r="Z52" i="27"/>
  <c r="U42" i="41"/>
  <c r="V42" i="41" s="1"/>
  <c r="S58" i="41"/>
  <c r="S52" i="41"/>
  <c r="Q61" i="41"/>
  <c r="F72" i="1"/>
  <c r="F17" i="1"/>
  <c r="F73" i="1" s="1"/>
  <c r="V42" i="29"/>
  <c r="L58" i="29"/>
  <c r="N42" i="29"/>
  <c r="O42" i="29" s="1"/>
  <c r="L52" i="29"/>
  <c r="X55" i="41"/>
  <c r="AI40" i="24"/>
  <c r="AQ40" i="24"/>
  <c r="AG56" i="24"/>
  <c r="AG50" i="24"/>
  <c r="G86" i="1"/>
  <c r="G85" i="1" s="1"/>
  <c r="G67" i="1"/>
  <c r="AN58" i="27"/>
  <c r="AP42" i="27"/>
  <c r="AQ42" i="27" s="1"/>
  <c r="AN52" i="27"/>
  <c r="L58" i="35"/>
  <c r="N42" i="35"/>
  <c r="O42" i="35" s="1"/>
  <c r="L52" i="35"/>
  <c r="AB40" i="12"/>
  <c r="AJ40" i="12"/>
  <c r="Z56" i="12"/>
  <c r="Z50" i="12"/>
  <c r="AQ42" i="30"/>
  <c r="AG58" i="30"/>
  <c r="AI42" i="30"/>
  <c r="AJ42" i="30" s="1"/>
  <c r="AG52" i="30"/>
  <c r="O42" i="40"/>
  <c r="H58" i="40"/>
  <c r="H52" i="40"/>
  <c r="L58" i="32"/>
  <c r="N42" i="32"/>
  <c r="V42" i="32"/>
  <c r="L52" i="32"/>
  <c r="AJ40" i="18"/>
  <c r="AB40" i="18"/>
  <c r="AC40" i="18" s="1"/>
  <c r="Z50" i="18"/>
  <c r="Z56" i="18"/>
  <c r="AB42" i="28"/>
  <c r="Z58" i="28"/>
  <c r="Z52" i="28"/>
  <c r="L58" i="33"/>
  <c r="N42" i="33"/>
  <c r="O42" i="33" s="1"/>
  <c r="L52" i="33"/>
  <c r="AP40" i="20"/>
  <c r="AQ40" i="20" s="1"/>
  <c r="AN56" i="20"/>
  <c r="AN50" i="20"/>
  <c r="S58" i="27"/>
  <c r="U42" i="27"/>
  <c r="S52" i="27"/>
  <c r="N42" i="28"/>
  <c r="L58" i="28"/>
  <c r="L52" i="28"/>
  <c r="Z58" i="30"/>
  <c r="AB42" i="30"/>
  <c r="AC42" i="30" s="1"/>
  <c r="Z52" i="30"/>
  <c r="O42" i="30"/>
  <c r="H58" i="30"/>
  <c r="H52" i="30"/>
  <c r="AI40" i="9"/>
  <c r="AJ40" i="9" s="1"/>
  <c r="AQ40" i="9"/>
  <c r="AG56" i="9"/>
  <c r="AG50" i="9"/>
  <c r="AG58" i="25"/>
  <c r="AI42" i="25"/>
  <c r="AQ42" i="25"/>
  <c r="AG52" i="25"/>
  <c r="AP40" i="11"/>
  <c r="AN50" i="11"/>
  <c r="AN56" i="11"/>
  <c r="AP40" i="18"/>
  <c r="AQ40" i="18" s="1"/>
  <c r="AN56" i="18"/>
  <c r="AN50" i="18"/>
  <c r="AB40" i="23"/>
  <c r="Z50" i="23"/>
  <c r="Z56" i="23"/>
  <c r="H56" i="22"/>
  <c r="H50" i="22"/>
  <c r="H58" i="31"/>
  <c r="O42" i="31"/>
  <c r="H52" i="31"/>
  <c r="AP42" i="34"/>
  <c r="AN58" i="34"/>
  <c r="AN52" i="34"/>
  <c r="H58" i="39"/>
  <c r="H52" i="39"/>
  <c r="D67" i="1"/>
  <c r="D86" i="1"/>
  <c r="D85" i="1" s="1"/>
  <c r="L58" i="25"/>
  <c r="N42" i="25"/>
  <c r="O42" i="25" s="1"/>
  <c r="L52" i="25"/>
  <c r="N40" i="19"/>
  <c r="O40" i="19" s="1"/>
  <c r="L50" i="19"/>
  <c r="L56" i="19"/>
  <c r="S58" i="38"/>
  <c r="U42" i="38"/>
  <c r="AC42" i="38"/>
  <c r="S52" i="38"/>
  <c r="V40" i="12"/>
  <c r="N40" i="12"/>
  <c r="O40" i="12" s="1"/>
  <c r="L56" i="12"/>
  <c r="L50" i="12"/>
  <c r="V40" i="20"/>
  <c r="N40" i="20"/>
  <c r="O40" i="20" s="1"/>
  <c r="L56" i="20"/>
  <c r="L50" i="20"/>
  <c r="L58" i="39"/>
  <c r="N42" i="39"/>
  <c r="O42" i="39" s="1"/>
  <c r="L52" i="39"/>
  <c r="AN53" i="23"/>
  <c r="AL59" i="23"/>
  <c r="AN59" i="23" s="1"/>
  <c r="AQ40" i="10"/>
  <c r="AI40" i="10"/>
  <c r="AG50" i="10"/>
  <c r="AG56" i="10"/>
  <c r="AN58" i="38"/>
  <c r="AP42" i="38"/>
  <c r="AN52" i="38"/>
  <c r="AJ40" i="14"/>
  <c r="AB40" i="14"/>
  <c r="AC40" i="14" s="1"/>
  <c r="Z56" i="14"/>
  <c r="Z50" i="14"/>
  <c r="AP40" i="12"/>
  <c r="AQ40" i="12" s="1"/>
  <c r="AN50" i="12"/>
  <c r="AN56" i="12"/>
  <c r="Z58" i="33"/>
  <c r="AB42" i="33"/>
  <c r="AC42" i="33" s="1"/>
  <c r="Z52" i="33"/>
  <c r="O42" i="28"/>
  <c r="H58" i="28"/>
  <c r="H52" i="28"/>
  <c r="O42" i="37"/>
  <c r="H58" i="37"/>
  <c r="H52" i="37"/>
  <c r="G72" i="1"/>
  <c r="G17" i="1"/>
  <c r="G73" i="1" s="1"/>
  <c r="AN59" i="24"/>
  <c r="U40" i="11"/>
  <c r="S56" i="11"/>
  <c r="S50" i="11"/>
  <c r="U40" i="21"/>
  <c r="S56" i="21"/>
  <c r="S50" i="21"/>
  <c r="O42" i="27"/>
  <c r="H58" i="27"/>
  <c r="H52" i="27"/>
  <c r="C67" i="1"/>
  <c r="C86" i="1"/>
  <c r="C85" i="1" s="1"/>
  <c r="AQ42" i="38"/>
  <c r="AI42" i="38"/>
  <c r="AJ42" i="38" s="1"/>
  <c r="AG58" i="38"/>
  <c r="AG52" i="38"/>
  <c r="V40" i="9"/>
  <c r="N40" i="9"/>
  <c r="O40" i="9" s="1"/>
  <c r="L56" i="9"/>
  <c r="L50" i="9"/>
  <c r="AP42" i="37"/>
  <c r="AQ42" i="37" s="1"/>
  <c r="AN52" i="37"/>
  <c r="AN58" i="37"/>
  <c r="L58" i="31"/>
  <c r="V42" i="31"/>
  <c r="N42" i="31"/>
  <c r="L52" i="31"/>
  <c r="U40" i="14"/>
  <c r="V40" i="14" s="1"/>
  <c r="S50" i="14"/>
  <c r="S56" i="14"/>
  <c r="U42" i="30"/>
  <c r="V42" i="30" s="1"/>
  <c r="S58" i="30"/>
  <c r="S52" i="30"/>
  <c r="L58" i="38"/>
  <c r="V42" i="38"/>
  <c r="N42" i="38"/>
  <c r="O42" i="38" s="1"/>
  <c r="L52" i="38"/>
  <c r="AQ40" i="15"/>
  <c r="AI40" i="15"/>
  <c r="AJ40" i="15" s="1"/>
  <c r="AG56" i="15"/>
  <c r="AG50" i="15"/>
  <c r="AC40" i="24"/>
  <c r="U40" i="24"/>
  <c r="V40" i="24" s="1"/>
  <c r="S56" i="24"/>
  <c r="S50" i="24"/>
  <c r="U42" i="37"/>
  <c r="V42" i="37" s="1"/>
  <c r="AC42" i="37"/>
  <c r="S52" i="37"/>
  <c r="S58" i="37"/>
  <c r="H58" i="29"/>
  <c r="H52" i="29"/>
  <c r="AB42" i="41"/>
  <c r="AC42" i="41" s="1"/>
  <c r="AJ42" i="41"/>
  <c r="Z58" i="41"/>
  <c r="Z52" i="41"/>
  <c r="AQ42" i="33"/>
  <c r="AG58" i="33"/>
  <c r="AI42" i="33"/>
  <c r="AJ42" i="33" s="1"/>
  <c r="AG52" i="33"/>
  <c r="AI42" i="37"/>
  <c r="AJ42" i="37" s="1"/>
  <c r="AG58" i="37"/>
  <c r="AG52" i="37"/>
  <c r="AC40" i="23"/>
  <c r="U40" i="23"/>
  <c r="V40" i="23" s="1"/>
  <c r="S56" i="23"/>
  <c r="S50" i="23"/>
  <c r="AC42" i="35"/>
  <c r="S58" i="35"/>
  <c r="U42" i="35"/>
  <c r="V42" i="35" s="1"/>
  <c r="S52" i="35"/>
  <c r="AP40" i="14"/>
  <c r="AQ40" i="14" s="1"/>
  <c r="AN56" i="14"/>
  <c r="AN50" i="14"/>
  <c r="V40" i="11"/>
  <c r="N40" i="11"/>
  <c r="L56" i="11"/>
  <c r="L50" i="11"/>
  <c r="AN58" i="30"/>
  <c r="AP42" i="30"/>
  <c r="AN52" i="30"/>
  <c r="O40" i="24"/>
  <c r="H50" i="24"/>
  <c r="H56" i="24"/>
  <c r="AQ40" i="22"/>
  <c r="AI40" i="22"/>
  <c r="AJ40" i="22" s="1"/>
  <c r="AG50" i="22"/>
  <c r="AG56" i="22"/>
  <c r="AQ40" i="11"/>
  <c r="AI40" i="11"/>
  <c r="AJ40" i="11" s="1"/>
  <c r="AG56" i="11"/>
  <c r="AG50" i="11"/>
  <c r="AJ40" i="13"/>
  <c r="AB40" i="13"/>
  <c r="AC40" i="13" s="1"/>
  <c r="Z50" i="13"/>
  <c r="Z56" i="13"/>
  <c r="N40" i="23"/>
  <c r="O40" i="23" s="1"/>
  <c r="L56" i="23"/>
  <c r="L50" i="23"/>
  <c r="AG59" i="23"/>
  <c r="S58" i="39"/>
  <c r="AC42" i="39"/>
  <c r="U42" i="39"/>
  <c r="V42" i="39" s="1"/>
  <c r="S52" i="39"/>
  <c r="H58" i="33"/>
  <c r="H52" i="33"/>
  <c r="S58" i="28"/>
  <c r="AC42" i="28"/>
  <c r="U42" i="28"/>
  <c r="V42" i="28" s="1"/>
  <c r="S52" i="28"/>
  <c r="AJ40" i="10"/>
  <c r="AB40" i="10"/>
  <c r="AC40" i="10" s="1"/>
  <c r="Z56" i="10"/>
  <c r="Z50" i="10"/>
  <c r="O40" i="14"/>
  <c r="H56" i="14"/>
  <c r="H50" i="14"/>
  <c r="AI40" i="12"/>
  <c r="AG50" i="12"/>
  <c r="AG56" i="12"/>
  <c r="E86" i="1"/>
  <c r="E85" i="1" s="1"/>
  <c r="E67" i="1"/>
  <c r="AC40" i="19"/>
  <c r="U40" i="19"/>
  <c r="V40" i="19" s="1"/>
  <c r="S50" i="19"/>
  <c r="S56" i="19"/>
  <c r="O42" i="26"/>
  <c r="H58" i="26"/>
  <c r="H52" i="26"/>
  <c r="AJ42" i="32"/>
  <c r="Z58" i="32"/>
  <c r="AB42" i="32"/>
  <c r="AC42" i="32" s="1"/>
  <c r="Z52" i="32"/>
  <c r="U42" i="34"/>
  <c r="V42" i="34" s="1"/>
  <c r="S58" i="34"/>
  <c r="AC42" i="34"/>
  <c r="S52" i="34"/>
  <c r="L57" i="22" l="1"/>
  <c r="L58" i="22" s="1"/>
  <c r="N56" i="22"/>
  <c r="L59" i="22"/>
  <c r="AI50" i="20"/>
  <c r="F18" i="1" s="1"/>
  <c r="AG53" i="20"/>
  <c r="AQ50" i="20"/>
  <c r="G19" i="1" s="1"/>
  <c r="G74" i="1" s="1"/>
  <c r="AG51" i="20"/>
  <c r="AG52" i="20" s="1"/>
  <c r="AB52" i="32"/>
  <c r="Z53" i="32"/>
  <c r="Z55" i="32"/>
  <c r="S53" i="28"/>
  <c r="S55" i="28"/>
  <c r="U52" i="28"/>
  <c r="L51" i="23"/>
  <c r="L53" i="23"/>
  <c r="N50" i="23"/>
  <c r="AG58" i="22"/>
  <c r="AG57" i="22"/>
  <c r="AI56" i="22"/>
  <c r="AG59" i="22"/>
  <c r="AI50" i="15"/>
  <c r="F12" i="1" s="1"/>
  <c r="AG51" i="15"/>
  <c r="AG52" i="15"/>
  <c r="AG53" i="15"/>
  <c r="S57" i="14"/>
  <c r="U56" i="14"/>
  <c r="S58" i="14"/>
  <c r="S59" i="14"/>
  <c r="N56" i="9"/>
  <c r="L57" i="9"/>
  <c r="L59" i="9"/>
  <c r="S52" i="21"/>
  <c r="U50" i="21"/>
  <c r="S53" i="21"/>
  <c r="S51" i="21"/>
  <c r="H59" i="37"/>
  <c r="H60" i="37"/>
  <c r="H61" i="37"/>
  <c r="AB50" i="14"/>
  <c r="Z52" i="14"/>
  <c r="Z51" i="14"/>
  <c r="AJ50" i="14"/>
  <c r="Z53" i="14"/>
  <c r="H51" i="22"/>
  <c r="H53" i="22"/>
  <c r="Z53" i="30"/>
  <c r="Z54" i="30"/>
  <c r="Z55" i="30"/>
  <c r="AB52" i="30"/>
  <c r="AN52" i="20"/>
  <c r="AP50" i="20"/>
  <c r="G18" i="1" s="1"/>
  <c r="AN51" i="20"/>
  <c r="AN53" i="20"/>
  <c r="AB50" i="18"/>
  <c r="Z51" i="18"/>
  <c r="Z53" i="18"/>
  <c r="AG59" i="30"/>
  <c r="AG60" i="30" s="1"/>
  <c r="AI58" i="30"/>
  <c r="AJ58" i="30" s="1"/>
  <c r="AG61" i="30"/>
  <c r="AN59" i="27"/>
  <c r="AN60" i="27" s="1"/>
  <c r="AP58" i="27"/>
  <c r="AN61" i="27"/>
  <c r="L51" i="22"/>
  <c r="N50" i="22"/>
  <c r="O50" i="22" s="1"/>
  <c r="L52" i="22"/>
  <c r="L53" i="22"/>
  <c r="L51" i="18"/>
  <c r="N50" i="18"/>
  <c r="O50" i="18" s="1"/>
  <c r="L53" i="18"/>
  <c r="L58" i="14"/>
  <c r="L57" i="14"/>
  <c r="N56" i="14"/>
  <c r="V56" i="14"/>
  <c r="L59" i="14"/>
  <c r="T15" i="3"/>
  <c r="U15" i="3" s="1"/>
  <c r="U14" i="3"/>
  <c r="H61" i="32"/>
  <c r="O61" i="32" s="1"/>
  <c r="O58" i="32"/>
  <c r="H59" i="32"/>
  <c r="H60" i="32"/>
  <c r="L58" i="13"/>
  <c r="L57" i="13"/>
  <c r="N56" i="13"/>
  <c r="L59" i="13"/>
  <c r="N52" i="26"/>
  <c r="C24" i="1" s="1"/>
  <c r="L53" i="26"/>
  <c r="L55" i="26"/>
  <c r="AN51" i="19"/>
  <c r="AP50" i="19"/>
  <c r="AN53" i="19"/>
  <c r="AN52" i="19"/>
  <c r="U50" i="18"/>
  <c r="V50" i="18" s="1"/>
  <c r="AC50" i="18"/>
  <c r="S51" i="18"/>
  <c r="S53" i="18"/>
  <c r="S52" i="18"/>
  <c r="L59" i="27"/>
  <c r="L60" i="27" s="1"/>
  <c r="N58" i="27"/>
  <c r="O58" i="27" s="1"/>
  <c r="L61" i="27"/>
  <c r="AN53" i="31"/>
  <c r="AN54" i="31"/>
  <c r="AN55" i="31"/>
  <c r="AP52" i="31"/>
  <c r="AB56" i="21"/>
  <c r="Z57" i="21"/>
  <c r="Z59" i="21"/>
  <c r="S57" i="12"/>
  <c r="U56" i="12"/>
  <c r="S59" i="12"/>
  <c r="L61" i="40"/>
  <c r="L59" i="40"/>
  <c r="N58" i="40"/>
  <c r="L60" i="40"/>
  <c r="L60" i="37"/>
  <c r="L59" i="37"/>
  <c r="V58" i="37"/>
  <c r="N58" i="37"/>
  <c r="O58" i="37" s="1"/>
  <c r="L61" i="37"/>
  <c r="AP58" i="26"/>
  <c r="AN61" i="26"/>
  <c r="AN59" i="26"/>
  <c r="AI52" i="28"/>
  <c r="AG55" i="28"/>
  <c r="AG53" i="28"/>
  <c r="AG54" i="28" s="1"/>
  <c r="Z58" i="17"/>
  <c r="AB56" i="17"/>
  <c r="Z57" i="17"/>
  <c r="Z59" i="17"/>
  <c r="S57" i="22"/>
  <c r="U56" i="22"/>
  <c r="V56" i="22" s="1"/>
  <c r="S58" i="22"/>
  <c r="S59" i="22"/>
  <c r="Z51" i="21"/>
  <c r="Z52" i="21"/>
  <c r="AB50" i="21"/>
  <c r="AC50" i="21" s="1"/>
  <c r="Z53" i="21"/>
  <c r="N56" i="17"/>
  <c r="L57" i="17"/>
  <c r="L58" i="17" s="1"/>
  <c r="L59" i="17"/>
  <c r="G87" i="1"/>
  <c r="G68" i="1"/>
  <c r="G88" i="1" s="1"/>
  <c r="AP52" i="29"/>
  <c r="AN55" i="29"/>
  <c r="AN53" i="29"/>
  <c r="AP53" i="29" s="1"/>
  <c r="S55" i="33"/>
  <c r="S53" i="33"/>
  <c r="U52" i="33"/>
  <c r="H53" i="9"/>
  <c r="H51" i="9"/>
  <c r="O50" i="9"/>
  <c r="L54" i="41"/>
  <c r="V52" i="41"/>
  <c r="D55" i="1" s="1"/>
  <c r="N52" i="41"/>
  <c r="C54" i="1" s="1"/>
  <c r="L53" i="41"/>
  <c r="L55" i="41"/>
  <c r="AG53" i="16"/>
  <c r="AG51" i="16"/>
  <c r="AI50" i="16"/>
  <c r="N56" i="18"/>
  <c r="O56" i="18" s="1"/>
  <c r="V56" i="18"/>
  <c r="L57" i="18"/>
  <c r="L58" i="18" s="1"/>
  <c r="L59" i="18"/>
  <c r="L53" i="14"/>
  <c r="L52" i="14"/>
  <c r="L51" i="14"/>
  <c r="N50" i="14"/>
  <c r="AN51" i="10"/>
  <c r="AP50" i="10"/>
  <c r="AN53" i="10"/>
  <c r="AN58" i="19"/>
  <c r="AP56" i="19"/>
  <c r="AQ56" i="19" s="1"/>
  <c r="AN59" i="19"/>
  <c r="AN57" i="19"/>
  <c r="U56" i="18"/>
  <c r="S57" i="18"/>
  <c r="S59" i="18"/>
  <c r="H57" i="18"/>
  <c r="H59" i="18"/>
  <c r="L55" i="34"/>
  <c r="L53" i="34"/>
  <c r="N52" i="34"/>
  <c r="C36" i="1" s="1"/>
  <c r="H51" i="16"/>
  <c r="H53" i="16"/>
  <c r="AB52" i="36"/>
  <c r="Z55" i="36"/>
  <c r="Z53" i="36"/>
  <c r="N52" i="37"/>
  <c r="C42" i="1" s="1"/>
  <c r="L53" i="37"/>
  <c r="L54" i="37" s="1"/>
  <c r="L55" i="37"/>
  <c r="Z61" i="29"/>
  <c r="Z59" i="29"/>
  <c r="AB58" i="29"/>
  <c r="AJ58" i="29"/>
  <c r="AN55" i="39"/>
  <c r="AP55" i="39" s="1"/>
  <c r="AN54" i="39"/>
  <c r="AP52" i="39"/>
  <c r="G48" i="1" s="1"/>
  <c r="AN53" i="39"/>
  <c r="AG59" i="28"/>
  <c r="AG60" i="28" s="1"/>
  <c r="AG61" i="28"/>
  <c r="AI58" i="28"/>
  <c r="AN61" i="40"/>
  <c r="AP61" i="40" s="1"/>
  <c r="AN59" i="40"/>
  <c r="AP59" i="40" s="1"/>
  <c r="AP58" i="40"/>
  <c r="AQ58" i="40" s="1"/>
  <c r="AG59" i="40"/>
  <c r="AG60" i="40" s="1"/>
  <c r="AI58" i="40"/>
  <c r="AG61" i="40"/>
  <c r="U56" i="10"/>
  <c r="S57" i="10"/>
  <c r="S58" i="10"/>
  <c r="S59" i="10"/>
  <c r="Z53" i="17"/>
  <c r="Z51" i="17"/>
  <c r="AB50" i="17"/>
  <c r="O52" i="37"/>
  <c r="C43" i="1" s="1"/>
  <c r="H53" i="37"/>
  <c r="H54" i="37"/>
  <c r="H55" i="37"/>
  <c r="H57" i="15"/>
  <c r="H58" i="15"/>
  <c r="H59" i="15"/>
  <c r="AG60" i="41"/>
  <c r="AI58" i="41"/>
  <c r="AG59" i="41"/>
  <c r="AG57" i="18"/>
  <c r="AG58" i="18" s="1"/>
  <c r="AI56" i="18"/>
  <c r="AG59" i="18"/>
  <c r="AG53" i="37"/>
  <c r="AG54" i="37" s="1"/>
  <c r="AI52" i="37"/>
  <c r="F42" i="1" s="1"/>
  <c r="Z57" i="14"/>
  <c r="AB56" i="14"/>
  <c r="AC56" i="14" s="1"/>
  <c r="Z58" i="14"/>
  <c r="Z59" i="14"/>
  <c r="AI58" i="37"/>
  <c r="AG59" i="37"/>
  <c r="AG60" i="37"/>
  <c r="AP59" i="22"/>
  <c r="L59" i="41"/>
  <c r="N58" i="41"/>
  <c r="AG57" i="16"/>
  <c r="AI56" i="16"/>
  <c r="AG59" i="16"/>
  <c r="AN57" i="10"/>
  <c r="AP56" i="10"/>
  <c r="AN58" i="10"/>
  <c r="AN59" i="10"/>
  <c r="AN54" i="32"/>
  <c r="AN55" i="32"/>
  <c r="AP52" i="32"/>
  <c r="G30" i="1" s="1"/>
  <c r="AN53" i="32"/>
  <c r="N58" i="26"/>
  <c r="L61" i="26"/>
  <c r="L59" i="26"/>
  <c r="L60" i="26"/>
  <c r="AN51" i="17"/>
  <c r="AP50" i="17"/>
  <c r="AN53" i="17"/>
  <c r="AN52" i="17"/>
  <c r="L53" i="36"/>
  <c r="L55" i="36"/>
  <c r="N52" i="36"/>
  <c r="H51" i="18"/>
  <c r="H52" i="18" s="1"/>
  <c r="H53" i="18"/>
  <c r="H57" i="16"/>
  <c r="H58" i="16" s="1"/>
  <c r="H59" i="16"/>
  <c r="N56" i="24"/>
  <c r="L57" i="24"/>
  <c r="L59" i="24"/>
  <c r="AC52" i="32"/>
  <c r="S53" i="32"/>
  <c r="U52" i="32"/>
  <c r="S55" i="32"/>
  <c r="S54" i="32"/>
  <c r="AJ50" i="9"/>
  <c r="Z51" i="9"/>
  <c r="Z52" i="9" s="1"/>
  <c r="AB50" i="9"/>
  <c r="Z53" i="9"/>
  <c r="H53" i="35"/>
  <c r="H54" i="35"/>
  <c r="H55" i="35"/>
  <c r="O55" i="35" s="1"/>
  <c r="AN53" i="40"/>
  <c r="AN55" i="40"/>
  <c r="AP52" i="40"/>
  <c r="AQ52" i="40" s="1"/>
  <c r="AI50" i="14"/>
  <c r="AG51" i="14"/>
  <c r="AG53" i="14"/>
  <c r="F87" i="1"/>
  <c r="F68" i="1"/>
  <c r="F88" i="1" s="1"/>
  <c r="AG53" i="40"/>
  <c r="AI52" i="40"/>
  <c r="AG55" i="40"/>
  <c r="S51" i="10"/>
  <c r="S52" i="10" s="1"/>
  <c r="U50" i="10"/>
  <c r="S53" i="10"/>
  <c r="E87" i="1"/>
  <c r="E68" i="1"/>
  <c r="E88" i="1" s="1"/>
  <c r="N50" i="9"/>
  <c r="L51" i="9"/>
  <c r="L52" i="9"/>
  <c r="L53" i="9"/>
  <c r="H61" i="31"/>
  <c r="O61" i="31" s="1"/>
  <c r="H59" i="31"/>
  <c r="H60" i="31" s="1"/>
  <c r="L59" i="29"/>
  <c r="L60" i="29" s="1"/>
  <c r="N58" i="29"/>
  <c r="L61" i="29"/>
  <c r="AG61" i="31"/>
  <c r="AQ58" i="31"/>
  <c r="AG59" i="31"/>
  <c r="AI58" i="31"/>
  <c r="AQ58" i="29"/>
  <c r="AI58" i="29"/>
  <c r="AG61" i="29"/>
  <c r="AG59" i="29"/>
  <c r="AC50" i="12"/>
  <c r="S51" i="12"/>
  <c r="S53" i="12"/>
  <c r="U50" i="12"/>
  <c r="S52" i="12"/>
  <c r="AB50" i="12"/>
  <c r="Z53" i="12"/>
  <c r="Z51" i="12"/>
  <c r="AN59" i="29"/>
  <c r="AP59" i="29" s="1"/>
  <c r="AP58" i="29"/>
  <c r="AN61" i="29"/>
  <c r="AP61" i="29" s="1"/>
  <c r="H58" i="9"/>
  <c r="H57" i="9"/>
  <c r="O56" i="9"/>
  <c r="H59" i="9"/>
  <c r="AN60" i="31"/>
  <c r="AN61" i="31"/>
  <c r="AP58" i="31"/>
  <c r="AN59" i="31"/>
  <c r="S61" i="28"/>
  <c r="S59" i="28"/>
  <c r="U58" i="28"/>
  <c r="AP56" i="14"/>
  <c r="AN57" i="14"/>
  <c r="AP57" i="14" s="1"/>
  <c r="AN59" i="14"/>
  <c r="AI52" i="38"/>
  <c r="AG55" i="38"/>
  <c r="AG54" i="38"/>
  <c r="AG53" i="38"/>
  <c r="H59" i="28"/>
  <c r="H61" i="28"/>
  <c r="O61" i="28" s="1"/>
  <c r="H60" i="28"/>
  <c r="H53" i="39"/>
  <c r="H55" i="39"/>
  <c r="O55" i="39" s="1"/>
  <c r="Z58" i="23"/>
  <c r="Z57" i="23"/>
  <c r="AB56" i="23"/>
  <c r="Z59" i="23"/>
  <c r="Z61" i="30"/>
  <c r="Z59" i="30"/>
  <c r="Z60" i="30" s="1"/>
  <c r="AB58" i="30"/>
  <c r="L55" i="33"/>
  <c r="L53" i="33"/>
  <c r="V52" i="33"/>
  <c r="N52" i="33"/>
  <c r="L55" i="32"/>
  <c r="V52" i="32"/>
  <c r="L53" i="32"/>
  <c r="N52" i="32"/>
  <c r="AB56" i="12"/>
  <c r="AC56" i="12" s="1"/>
  <c r="Z57" i="12"/>
  <c r="Z58" i="12" s="1"/>
  <c r="Z59" i="12"/>
  <c r="AG51" i="24"/>
  <c r="AI50" i="24"/>
  <c r="AG52" i="24"/>
  <c r="AG53" i="24"/>
  <c r="L61" i="41"/>
  <c r="AC52" i="36"/>
  <c r="S53" i="36"/>
  <c r="U52" i="36"/>
  <c r="V52" i="36" s="1"/>
  <c r="S55" i="36"/>
  <c r="H53" i="19"/>
  <c r="H51" i="19"/>
  <c r="H52" i="19" s="1"/>
  <c r="Z61" i="37"/>
  <c r="AP52" i="35"/>
  <c r="AQ52" i="35" s="1"/>
  <c r="AN55" i="35"/>
  <c r="AP55" i="35" s="1"/>
  <c r="AN53" i="35"/>
  <c r="AP53" i="35" s="1"/>
  <c r="AN57" i="16"/>
  <c r="AP57" i="16" s="1"/>
  <c r="AP56" i="16"/>
  <c r="AQ56" i="16" s="1"/>
  <c r="AN59" i="16"/>
  <c r="AP59" i="16" s="1"/>
  <c r="AP56" i="17"/>
  <c r="AN57" i="17"/>
  <c r="AN59" i="17"/>
  <c r="L59" i="34"/>
  <c r="N58" i="34"/>
  <c r="L61" i="34"/>
  <c r="L60" i="34"/>
  <c r="Z57" i="15"/>
  <c r="Z58" i="15" s="1"/>
  <c r="AB56" i="15"/>
  <c r="Z59" i="15"/>
  <c r="H53" i="36"/>
  <c r="H55" i="36"/>
  <c r="O55" i="36" s="1"/>
  <c r="O52" i="36"/>
  <c r="L53" i="24"/>
  <c r="N50" i="24"/>
  <c r="O50" i="24" s="1"/>
  <c r="L52" i="24"/>
  <c r="L51" i="24"/>
  <c r="AB58" i="36"/>
  <c r="Z59" i="36"/>
  <c r="Z61" i="36"/>
  <c r="Z60" i="36"/>
  <c r="Z53" i="34"/>
  <c r="Z55" i="34"/>
  <c r="Z54" i="34"/>
  <c r="AB52" i="34"/>
  <c r="E36" i="1" s="1"/>
  <c r="S52" i="13"/>
  <c r="S51" i="13"/>
  <c r="U50" i="13"/>
  <c r="S53" i="13"/>
  <c r="Z57" i="9"/>
  <c r="AB56" i="9"/>
  <c r="Z58" i="9"/>
  <c r="Z59" i="9"/>
  <c r="H60" i="35"/>
  <c r="H61" i="35"/>
  <c r="O61" i="35" s="1"/>
  <c r="H59" i="35"/>
  <c r="AN59" i="39"/>
  <c r="AN60" i="39" s="1"/>
  <c r="AP58" i="39"/>
  <c r="AN61" i="39"/>
  <c r="AI56" i="14"/>
  <c r="AJ56" i="14" s="1"/>
  <c r="AQ56" i="14"/>
  <c r="AG57" i="14"/>
  <c r="AG58" i="14" s="1"/>
  <c r="AG59" i="14"/>
  <c r="AJ56" i="18"/>
  <c r="Z57" i="18"/>
  <c r="AB56" i="18"/>
  <c r="AC56" i="18" s="1"/>
  <c r="Z59" i="18"/>
  <c r="AN61" i="25"/>
  <c r="AP58" i="25"/>
  <c r="AN59" i="25"/>
  <c r="AC56" i="21"/>
  <c r="S57" i="21"/>
  <c r="S58" i="21" s="1"/>
  <c r="U56" i="21"/>
  <c r="S59" i="21"/>
  <c r="S53" i="38"/>
  <c r="S54" i="38" s="1"/>
  <c r="U52" i="38"/>
  <c r="S55" i="38"/>
  <c r="H59" i="24"/>
  <c r="H57" i="24"/>
  <c r="O56" i="24"/>
  <c r="U58" i="37"/>
  <c r="S59" i="37"/>
  <c r="S60" i="37" s="1"/>
  <c r="AG59" i="38"/>
  <c r="AG60" i="38" s="1"/>
  <c r="AG61" i="38"/>
  <c r="AI58" i="38"/>
  <c r="S60" i="38"/>
  <c r="U58" i="38"/>
  <c r="S59" i="38"/>
  <c r="AC58" i="38"/>
  <c r="S61" i="38"/>
  <c r="L54" i="28"/>
  <c r="N52" i="28"/>
  <c r="V52" i="28"/>
  <c r="L53" i="28"/>
  <c r="L55" i="28"/>
  <c r="AI56" i="24"/>
  <c r="AG57" i="24"/>
  <c r="AG58" i="24"/>
  <c r="AG59" i="24"/>
  <c r="H52" i="12"/>
  <c r="H51" i="12"/>
  <c r="H53" i="12"/>
  <c r="S59" i="33"/>
  <c r="S60" i="33" s="1"/>
  <c r="S61" i="33"/>
  <c r="U58" i="33"/>
  <c r="S61" i="37"/>
  <c r="AG53" i="35"/>
  <c r="AI52" i="35"/>
  <c r="AG54" i="35"/>
  <c r="AG55" i="35"/>
  <c r="S53" i="40"/>
  <c r="S54" i="40" s="1"/>
  <c r="U52" i="40"/>
  <c r="S55" i="40"/>
  <c r="AG55" i="37"/>
  <c r="AE61" i="37"/>
  <c r="AG61" i="37" s="1"/>
  <c r="AL55" i="37"/>
  <c r="AG57" i="21"/>
  <c r="AI56" i="21"/>
  <c r="AJ56" i="21" s="1"/>
  <c r="AG59" i="21"/>
  <c r="AN61" i="32"/>
  <c r="AN59" i="32"/>
  <c r="AN60" i="32" s="1"/>
  <c r="AP58" i="32"/>
  <c r="L55" i="30"/>
  <c r="L54" i="30"/>
  <c r="N52" i="30"/>
  <c r="L53" i="30"/>
  <c r="V52" i="30"/>
  <c r="AP50" i="16"/>
  <c r="AQ50" i="16" s="1"/>
  <c r="AN51" i="16"/>
  <c r="AP51" i="16" s="1"/>
  <c r="AN53" i="16"/>
  <c r="AP53" i="16" s="1"/>
  <c r="H55" i="25"/>
  <c r="O55" i="25" s="1"/>
  <c r="H53" i="25"/>
  <c r="AN51" i="22"/>
  <c r="AN52" i="22" s="1"/>
  <c r="AP50" i="22"/>
  <c r="AN53" i="22"/>
  <c r="AB50" i="15"/>
  <c r="E12" i="1" s="1"/>
  <c r="Z51" i="15"/>
  <c r="Z52" i="15" s="1"/>
  <c r="AJ50" i="15"/>
  <c r="F13" i="1" s="1"/>
  <c r="Z53" i="15"/>
  <c r="S51" i="9"/>
  <c r="AC50" i="9"/>
  <c r="U50" i="9"/>
  <c r="V50" i="9" s="1"/>
  <c r="S53" i="9"/>
  <c r="S57" i="13"/>
  <c r="U56" i="13"/>
  <c r="V56" i="13" s="1"/>
  <c r="S59" i="13"/>
  <c r="Z54" i="39"/>
  <c r="Z53" i="39"/>
  <c r="AB52" i="39"/>
  <c r="E48" i="1" s="1"/>
  <c r="Z55" i="39"/>
  <c r="S60" i="32"/>
  <c r="U58" i="32"/>
  <c r="V58" i="32" s="1"/>
  <c r="S59" i="32"/>
  <c r="AC58" i="32"/>
  <c r="S61" i="32"/>
  <c r="Z53" i="19"/>
  <c r="Z51" i="19"/>
  <c r="Z52" i="19" s="1"/>
  <c r="AB50" i="19"/>
  <c r="H57" i="21"/>
  <c r="H59" i="21"/>
  <c r="H58" i="21"/>
  <c r="AN51" i="13"/>
  <c r="AP51" i="13" s="1"/>
  <c r="AP50" i="13"/>
  <c r="AN53" i="13"/>
  <c r="AN53" i="36"/>
  <c r="AN55" i="36"/>
  <c r="AP52" i="36"/>
  <c r="L57" i="11"/>
  <c r="N56" i="11"/>
  <c r="L59" i="11"/>
  <c r="AP59" i="23"/>
  <c r="AQ59" i="23" s="1"/>
  <c r="V50" i="13"/>
  <c r="L52" i="13"/>
  <c r="L51" i="13"/>
  <c r="N50" i="13"/>
  <c r="L53" i="13"/>
  <c r="AG61" i="36"/>
  <c r="AI58" i="36"/>
  <c r="AJ58" i="36" s="1"/>
  <c r="AG59" i="36"/>
  <c r="H59" i="34"/>
  <c r="O58" i="34"/>
  <c r="H61" i="34"/>
  <c r="O61" i="34" s="1"/>
  <c r="L54" i="40"/>
  <c r="V52" i="40"/>
  <c r="L53" i="40"/>
  <c r="L55" i="40"/>
  <c r="N52" i="40"/>
  <c r="AG57" i="15"/>
  <c r="AI56" i="15"/>
  <c r="AJ56" i="15" s="1"/>
  <c r="AG59" i="15"/>
  <c r="AN59" i="20"/>
  <c r="AP56" i="20"/>
  <c r="AN57" i="20"/>
  <c r="AN53" i="14"/>
  <c r="AP53" i="14" s="1"/>
  <c r="AN51" i="14"/>
  <c r="AP51" i="14" s="1"/>
  <c r="AP50" i="14"/>
  <c r="AQ50" i="14" s="1"/>
  <c r="AN52" i="14"/>
  <c r="D87" i="1"/>
  <c r="D68" i="1"/>
  <c r="D88" i="1" s="1"/>
  <c r="H53" i="33"/>
  <c r="O52" i="33"/>
  <c r="H55" i="33"/>
  <c r="O55" i="33" s="1"/>
  <c r="L53" i="31"/>
  <c r="L54" i="31" s="1"/>
  <c r="N52" i="31"/>
  <c r="C30" i="1" s="1"/>
  <c r="L55" i="31"/>
  <c r="AP52" i="38"/>
  <c r="AQ52" i="38" s="1"/>
  <c r="AN53" i="38"/>
  <c r="AP53" i="38" s="1"/>
  <c r="AN55" i="38"/>
  <c r="AP55" i="38" s="1"/>
  <c r="AB50" i="23"/>
  <c r="AC50" i="23" s="1"/>
  <c r="Z51" i="23"/>
  <c r="Z53" i="23"/>
  <c r="H58" i="19"/>
  <c r="H57" i="19"/>
  <c r="H59" i="19"/>
  <c r="O58" i="26"/>
  <c r="H61" i="26"/>
  <c r="O61" i="26" s="1"/>
  <c r="H59" i="26"/>
  <c r="H60" i="26"/>
  <c r="O50" i="14"/>
  <c r="H52" i="14"/>
  <c r="H51" i="14"/>
  <c r="H53" i="14"/>
  <c r="H60" i="33"/>
  <c r="H59" i="33"/>
  <c r="H61" i="33"/>
  <c r="O61" i="33" s="1"/>
  <c r="Z52" i="13"/>
  <c r="Z53" i="13"/>
  <c r="AB50" i="13"/>
  <c r="AC50" i="13" s="1"/>
  <c r="Z51" i="13"/>
  <c r="H51" i="24"/>
  <c r="H53" i="24"/>
  <c r="S55" i="35"/>
  <c r="U52" i="35"/>
  <c r="S53" i="35"/>
  <c r="AI52" i="33"/>
  <c r="AJ52" i="33" s="1"/>
  <c r="AG53" i="33"/>
  <c r="AG54" i="33"/>
  <c r="AG55" i="33"/>
  <c r="S53" i="37"/>
  <c r="S54" i="37" s="1"/>
  <c r="U52" i="37"/>
  <c r="D42" i="1" s="1"/>
  <c r="S55" i="37"/>
  <c r="S58" i="11"/>
  <c r="S57" i="11"/>
  <c r="U56" i="11"/>
  <c r="V56" i="11" s="1"/>
  <c r="S59" i="11"/>
  <c r="Z54" i="33"/>
  <c r="AB52" i="33"/>
  <c r="AC52" i="33" s="1"/>
  <c r="Z55" i="33"/>
  <c r="Z53" i="33"/>
  <c r="L53" i="20"/>
  <c r="L51" i="20"/>
  <c r="N50" i="20"/>
  <c r="C18" i="1" s="1"/>
  <c r="L58" i="19"/>
  <c r="N56" i="19"/>
  <c r="O56" i="19" s="1"/>
  <c r="L57" i="19"/>
  <c r="L59" i="19"/>
  <c r="H59" i="39"/>
  <c r="H61" i="39"/>
  <c r="O61" i="39" s="1"/>
  <c r="H60" i="39"/>
  <c r="AI50" i="9"/>
  <c r="AG51" i="9"/>
  <c r="AG52" i="9"/>
  <c r="AG53" i="9"/>
  <c r="V58" i="33"/>
  <c r="N58" i="33"/>
  <c r="O58" i="33" s="1"/>
  <c r="L61" i="33"/>
  <c r="L59" i="33"/>
  <c r="L60" i="33" s="1"/>
  <c r="S53" i="41"/>
  <c r="S54" i="41"/>
  <c r="U52" i="41"/>
  <c r="D54" i="1" s="1"/>
  <c r="H57" i="12"/>
  <c r="H58" i="12" s="1"/>
  <c r="H59" i="12"/>
  <c r="S60" i="36"/>
  <c r="AC58" i="36"/>
  <c r="S59" i="36"/>
  <c r="U58" i="36"/>
  <c r="S61" i="36"/>
  <c r="AJ56" i="24"/>
  <c r="Z57" i="24"/>
  <c r="Z58" i="24"/>
  <c r="AB56" i="24"/>
  <c r="Z59" i="24"/>
  <c r="S51" i="16"/>
  <c r="S52" i="16"/>
  <c r="U50" i="16"/>
  <c r="V50" i="16" s="1"/>
  <c r="S53" i="16"/>
  <c r="V50" i="10"/>
  <c r="N50" i="10"/>
  <c r="L51" i="10"/>
  <c r="L53" i="10"/>
  <c r="H58" i="13"/>
  <c r="O56" i="13"/>
  <c r="H57" i="13"/>
  <c r="H59" i="13"/>
  <c r="S60" i="40"/>
  <c r="S61" i="40"/>
  <c r="U58" i="40"/>
  <c r="V58" i="40" s="1"/>
  <c r="S59" i="40"/>
  <c r="AB55" i="37"/>
  <c r="AI50" i="21"/>
  <c r="AJ50" i="21" s="1"/>
  <c r="AG51" i="21"/>
  <c r="AQ50" i="21"/>
  <c r="AG53" i="21"/>
  <c r="AN61" i="35"/>
  <c r="AN59" i="35"/>
  <c r="AP59" i="35" s="1"/>
  <c r="AP58" i="35"/>
  <c r="H57" i="23"/>
  <c r="H58" i="23"/>
  <c r="H59" i="23"/>
  <c r="L53" i="16"/>
  <c r="N50" i="16"/>
  <c r="O50" i="16" s="1"/>
  <c r="L51" i="16"/>
  <c r="L52" i="16"/>
  <c r="L61" i="36"/>
  <c r="L60" i="36"/>
  <c r="N58" i="36"/>
  <c r="L59" i="36"/>
  <c r="V58" i="36"/>
  <c r="AN57" i="22"/>
  <c r="AP57" i="22" s="1"/>
  <c r="AN58" i="22"/>
  <c r="AP56" i="22"/>
  <c r="AQ56" i="22" s="1"/>
  <c r="AN54" i="41"/>
  <c r="AP52" i="41"/>
  <c r="G54" i="1" s="1"/>
  <c r="AN53" i="41"/>
  <c r="H61" i="36"/>
  <c r="O61" i="36" s="1"/>
  <c r="H60" i="36"/>
  <c r="O58" i="36"/>
  <c r="H59" i="36"/>
  <c r="AC56" i="9"/>
  <c r="S57" i="9"/>
  <c r="S58" i="9"/>
  <c r="U56" i="9"/>
  <c r="V56" i="9" s="1"/>
  <c r="S59" i="9"/>
  <c r="AP50" i="9"/>
  <c r="AQ50" i="9" s="1"/>
  <c r="AN51" i="9"/>
  <c r="AN53" i="9"/>
  <c r="AP53" i="9" s="1"/>
  <c r="Z60" i="34"/>
  <c r="AB58" i="34"/>
  <c r="Z61" i="34"/>
  <c r="Z59" i="34"/>
  <c r="Z61" i="39"/>
  <c r="Z59" i="39"/>
  <c r="Z60" i="39" s="1"/>
  <c r="AB58" i="39"/>
  <c r="S51" i="15"/>
  <c r="S52" i="15" s="1"/>
  <c r="AC50" i="15"/>
  <c r="E13" i="1" s="1"/>
  <c r="U50" i="15"/>
  <c r="D12" i="1" s="1"/>
  <c r="S53" i="15"/>
  <c r="Z57" i="19"/>
  <c r="AB56" i="19"/>
  <c r="Z58" i="19"/>
  <c r="Z59" i="19"/>
  <c r="O50" i="21"/>
  <c r="H51" i="21"/>
  <c r="H53" i="21"/>
  <c r="H52" i="21"/>
  <c r="AN58" i="13"/>
  <c r="AP56" i="13"/>
  <c r="AN57" i="13"/>
  <c r="AN59" i="13"/>
  <c r="AI52" i="32"/>
  <c r="F30" i="1" s="1"/>
  <c r="AG55" i="32"/>
  <c r="AG53" i="32"/>
  <c r="AQ52" i="32"/>
  <c r="AG55" i="39"/>
  <c r="AG53" i="39"/>
  <c r="AI52" i="39"/>
  <c r="F48" i="1" s="1"/>
  <c r="AG54" i="39"/>
  <c r="AQ52" i="39"/>
  <c r="G49" i="1" s="1"/>
  <c r="H57" i="20"/>
  <c r="H59" i="20"/>
  <c r="S51" i="14"/>
  <c r="U50" i="14"/>
  <c r="V50" i="14" s="1"/>
  <c r="S52" i="14"/>
  <c r="S53" i="14"/>
  <c r="AC50" i="14"/>
  <c r="H57" i="22"/>
  <c r="O56" i="22"/>
  <c r="H59" i="22"/>
  <c r="H59" i="29"/>
  <c r="O58" i="29"/>
  <c r="H60" i="29"/>
  <c r="H61" i="29"/>
  <c r="O61" i="29" s="1"/>
  <c r="H55" i="28"/>
  <c r="O55" i="28" s="1"/>
  <c r="H54" i="28"/>
  <c r="H53" i="28"/>
  <c r="O52" i="28"/>
  <c r="H53" i="26"/>
  <c r="O52" i="26"/>
  <c r="C25" i="1" s="1"/>
  <c r="H55" i="26"/>
  <c r="O55" i="26" s="1"/>
  <c r="Z57" i="13"/>
  <c r="AB56" i="13"/>
  <c r="AC56" i="13" s="1"/>
  <c r="Z59" i="13"/>
  <c r="L54" i="38"/>
  <c r="L55" i="38"/>
  <c r="V52" i="38"/>
  <c r="N52" i="38"/>
  <c r="L53" i="38"/>
  <c r="U50" i="11"/>
  <c r="S51" i="11"/>
  <c r="S52" i="11" s="1"/>
  <c r="S53" i="11"/>
  <c r="L59" i="39"/>
  <c r="N58" i="39"/>
  <c r="O58" i="39" s="1"/>
  <c r="L61" i="39"/>
  <c r="AG60" i="25"/>
  <c r="AG61" i="25"/>
  <c r="AQ58" i="25"/>
  <c r="AG59" i="25"/>
  <c r="S61" i="41"/>
  <c r="X61" i="41"/>
  <c r="O56" i="14"/>
  <c r="H57" i="14"/>
  <c r="H58" i="14" s="1"/>
  <c r="H59" i="14"/>
  <c r="AP58" i="38"/>
  <c r="AQ58" i="38" s="1"/>
  <c r="AN61" i="38"/>
  <c r="AP61" i="38" s="1"/>
  <c r="AN59" i="38"/>
  <c r="AP59" i="38" s="1"/>
  <c r="N56" i="20"/>
  <c r="O56" i="20" s="1"/>
  <c r="L57" i="20"/>
  <c r="L59" i="20"/>
  <c r="L51" i="19"/>
  <c r="V50" i="19"/>
  <c r="N50" i="19"/>
  <c r="O50" i="19" s="1"/>
  <c r="L53" i="19"/>
  <c r="AN55" i="34"/>
  <c r="AN54" i="34"/>
  <c r="AN53" i="34"/>
  <c r="AP52" i="34"/>
  <c r="G36" i="1" s="1"/>
  <c r="AI56" i="9"/>
  <c r="AJ56" i="9" s="1"/>
  <c r="AG57" i="9"/>
  <c r="AG59" i="9"/>
  <c r="AQ56" i="9"/>
  <c r="N58" i="28"/>
  <c r="O58" i="28" s="1"/>
  <c r="L61" i="28"/>
  <c r="V58" i="28"/>
  <c r="L59" i="28"/>
  <c r="L60" i="28" s="1"/>
  <c r="L61" i="32"/>
  <c r="L59" i="32"/>
  <c r="N58" i="32"/>
  <c r="L60" i="32"/>
  <c r="N52" i="35"/>
  <c r="O52" i="35" s="1"/>
  <c r="L55" i="35"/>
  <c r="V52" i="35"/>
  <c r="L53" i="35"/>
  <c r="U58" i="41"/>
  <c r="V58" i="41" s="1"/>
  <c r="S60" i="41"/>
  <c r="S59" i="41"/>
  <c r="W8" i="3"/>
  <c r="X8" i="3" s="1"/>
  <c r="X7" i="3"/>
  <c r="AJ50" i="24"/>
  <c r="Z51" i="24"/>
  <c r="Z52" i="24" s="1"/>
  <c r="AB50" i="24"/>
  <c r="Z53" i="24"/>
  <c r="U56" i="16"/>
  <c r="AC56" i="16"/>
  <c r="S57" i="16"/>
  <c r="S58" i="16" s="1"/>
  <c r="S59" i="16"/>
  <c r="V56" i="10"/>
  <c r="L57" i="10"/>
  <c r="L58" i="10" s="1"/>
  <c r="N56" i="10"/>
  <c r="L59" i="10"/>
  <c r="O50" i="13"/>
  <c r="H53" i="13"/>
  <c r="H51" i="13"/>
  <c r="AG60" i="35"/>
  <c r="AI58" i="35"/>
  <c r="AG61" i="35"/>
  <c r="AG59" i="35"/>
  <c r="AQ58" i="35"/>
  <c r="AB52" i="40"/>
  <c r="AC52" i="40" s="1"/>
  <c r="Z55" i="40"/>
  <c r="Z53" i="40"/>
  <c r="AJ52" i="40"/>
  <c r="Z53" i="37"/>
  <c r="AB52" i="37"/>
  <c r="E42" i="1" s="1"/>
  <c r="H51" i="23"/>
  <c r="H52" i="23" s="1"/>
  <c r="O50" i="23"/>
  <c r="H53" i="23"/>
  <c r="Z57" i="16"/>
  <c r="Z58" i="16" s="1"/>
  <c r="AB56" i="16"/>
  <c r="AJ56" i="16"/>
  <c r="Z59" i="16"/>
  <c r="V56" i="16"/>
  <c r="L57" i="16"/>
  <c r="L58" i="16" s="1"/>
  <c r="N56" i="16"/>
  <c r="O56" i="16" s="1"/>
  <c r="L59" i="16"/>
  <c r="H61" i="25"/>
  <c r="O61" i="25" s="1"/>
  <c r="H59" i="25"/>
  <c r="H60" i="25"/>
  <c r="H53" i="17"/>
  <c r="H51" i="17"/>
  <c r="H52" i="17" s="1"/>
  <c r="AN59" i="41"/>
  <c r="AP59" i="41" s="1"/>
  <c r="AP58" i="41"/>
  <c r="AQ58" i="41" s="1"/>
  <c r="AB50" i="22"/>
  <c r="Z51" i="22"/>
  <c r="Z53" i="22"/>
  <c r="S51" i="20"/>
  <c r="S52" i="20"/>
  <c r="S53" i="20"/>
  <c r="U50" i="20"/>
  <c r="D18" i="1" s="1"/>
  <c r="AN58" i="9"/>
  <c r="AP56" i="9"/>
  <c r="AN57" i="9"/>
  <c r="AN59" i="9"/>
  <c r="AP59" i="9" s="1"/>
  <c r="AI56" i="19"/>
  <c r="AJ56" i="19" s="1"/>
  <c r="AG57" i="19"/>
  <c r="AG59" i="19"/>
  <c r="S53" i="26"/>
  <c r="S54" i="26" s="1"/>
  <c r="S55" i="26"/>
  <c r="U52" i="26"/>
  <c r="D24" i="1" s="1"/>
  <c r="AC56" i="15"/>
  <c r="U56" i="15"/>
  <c r="S57" i="15"/>
  <c r="S58" i="15" s="1"/>
  <c r="S59" i="15"/>
  <c r="AQ56" i="17"/>
  <c r="AG57" i="17"/>
  <c r="AG58" i="17" s="1"/>
  <c r="AI56" i="17"/>
  <c r="AJ56" i="17" s="1"/>
  <c r="AG59" i="17"/>
  <c r="AN61" i="36"/>
  <c r="AP61" i="36" s="1"/>
  <c r="AN59" i="36"/>
  <c r="AP58" i="36"/>
  <c r="AQ58" i="36" s="1"/>
  <c r="L60" i="25"/>
  <c r="N58" i="25"/>
  <c r="O58" i="25" s="1"/>
  <c r="L59" i="25"/>
  <c r="L61" i="25"/>
  <c r="S60" i="31"/>
  <c r="S61" i="31"/>
  <c r="U58" i="31"/>
  <c r="S59" i="31"/>
  <c r="AQ50" i="22"/>
  <c r="AI50" i="22"/>
  <c r="AJ50" i="22" s="1"/>
  <c r="AG52" i="22"/>
  <c r="AG51" i="22"/>
  <c r="AG53" i="22"/>
  <c r="AG53" i="25"/>
  <c r="AG54" i="25" s="1"/>
  <c r="AG55" i="25"/>
  <c r="AG51" i="12"/>
  <c r="AI50" i="12"/>
  <c r="AJ50" i="12" s="1"/>
  <c r="AG53" i="12"/>
  <c r="AC52" i="39"/>
  <c r="E49" i="1" s="1"/>
  <c r="S55" i="39"/>
  <c r="S53" i="39"/>
  <c r="U52" i="39"/>
  <c r="D48" i="1" s="1"/>
  <c r="S59" i="35"/>
  <c r="S60" i="35" s="1"/>
  <c r="U58" i="35"/>
  <c r="S61" i="35"/>
  <c r="N58" i="38"/>
  <c r="L61" i="38"/>
  <c r="V58" i="38"/>
  <c r="L60" i="38"/>
  <c r="L59" i="38"/>
  <c r="AG58" i="10"/>
  <c r="AG57" i="10"/>
  <c r="AI56" i="10"/>
  <c r="AQ56" i="10"/>
  <c r="AG59" i="10"/>
  <c r="AN59" i="34"/>
  <c r="AP58" i="34"/>
  <c r="AN61" i="34"/>
  <c r="AN60" i="34"/>
  <c r="AN51" i="18"/>
  <c r="AP50" i="18"/>
  <c r="AQ50" i="18" s="1"/>
  <c r="AN53" i="18"/>
  <c r="H54" i="40"/>
  <c r="H55" i="40"/>
  <c r="O55" i="40" s="1"/>
  <c r="H53" i="40"/>
  <c r="O52" i="40"/>
  <c r="AE55" i="41"/>
  <c r="Z55" i="41"/>
  <c r="Z55" i="35"/>
  <c r="Z53" i="35"/>
  <c r="AB52" i="35"/>
  <c r="AC52" i="35" s="1"/>
  <c r="AJ52" i="35"/>
  <c r="O52" i="41"/>
  <c r="C55" i="1" s="1"/>
  <c r="H53" i="41"/>
  <c r="H55" i="41"/>
  <c r="AJ58" i="40"/>
  <c r="Z59" i="40"/>
  <c r="Z61" i="40"/>
  <c r="AB58" i="40"/>
  <c r="AC58" i="40" s="1"/>
  <c r="Z59" i="37"/>
  <c r="AB58" i="37"/>
  <c r="AC58" i="37" s="1"/>
  <c r="AJ58" i="37"/>
  <c r="L59" i="30"/>
  <c r="L60" i="30" s="1"/>
  <c r="N58" i="30"/>
  <c r="L61" i="30"/>
  <c r="AB50" i="16"/>
  <c r="AC50" i="16" s="1"/>
  <c r="AJ50" i="16"/>
  <c r="Z53" i="16"/>
  <c r="Z51" i="16"/>
  <c r="Z52" i="16" s="1"/>
  <c r="AP50" i="24"/>
  <c r="AQ50" i="24" s="1"/>
  <c r="AN51" i="24"/>
  <c r="AP51" i="24" s="1"/>
  <c r="AN52" i="24"/>
  <c r="AN53" i="24"/>
  <c r="AP53" i="24" s="1"/>
  <c r="H57" i="17"/>
  <c r="H58" i="17" s="1"/>
  <c r="O56" i="17"/>
  <c r="H59" i="17"/>
  <c r="AN57" i="21"/>
  <c r="AP57" i="21" s="1"/>
  <c r="AP56" i="21"/>
  <c r="AQ56" i="21" s="1"/>
  <c r="AN59" i="21"/>
  <c r="AP59" i="21" s="1"/>
  <c r="U50" i="17"/>
  <c r="AC50" i="17"/>
  <c r="S53" i="17"/>
  <c r="S52" i="17"/>
  <c r="S51" i="17"/>
  <c r="AB56" i="22"/>
  <c r="AC56" i="22" s="1"/>
  <c r="AJ56" i="22"/>
  <c r="Z57" i="22"/>
  <c r="Z59" i="22"/>
  <c r="AC56" i="20"/>
  <c r="S57" i="20"/>
  <c r="S59" i="20"/>
  <c r="U56" i="20"/>
  <c r="V56" i="20" s="1"/>
  <c r="AI52" i="26"/>
  <c r="F24" i="1" s="1"/>
  <c r="AG55" i="26"/>
  <c r="AG53" i="26"/>
  <c r="AG54" i="26"/>
  <c r="AN51" i="23"/>
  <c r="AP50" i="23"/>
  <c r="AQ50" i="23" s="1"/>
  <c r="AN52" i="23"/>
  <c r="AI50" i="19"/>
  <c r="AJ50" i="19" s="1"/>
  <c r="AQ50" i="19"/>
  <c r="AG51" i="19"/>
  <c r="AG53" i="19"/>
  <c r="AN58" i="15"/>
  <c r="AP56" i="15"/>
  <c r="AQ56" i="15" s="1"/>
  <c r="AN57" i="15"/>
  <c r="AP57" i="15" s="1"/>
  <c r="AN59" i="15"/>
  <c r="AG51" i="17"/>
  <c r="AG53" i="17"/>
  <c r="AI50" i="17"/>
  <c r="AJ50" i="17" s="1"/>
  <c r="AQ50" i="17"/>
  <c r="Z53" i="38"/>
  <c r="Z54" i="38" s="1"/>
  <c r="AB52" i="38"/>
  <c r="AC52" i="38" s="1"/>
  <c r="AJ52" i="38"/>
  <c r="Z55" i="38"/>
  <c r="AG59" i="39"/>
  <c r="AQ58" i="39"/>
  <c r="AG60" i="39"/>
  <c r="AI58" i="39"/>
  <c r="AJ58" i="39" s="1"/>
  <c r="AG61" i="39"/>
  <c r="X17" i="3"/>
  <c r="W18" i="3"/>
  <c r="X18" i="3" s="1"/>
  <c r="AP50" i="11"/>
  <c r="AN51" i="11"/>
  <c r="AN53" i="11"/>
  <c r="L57" i="23"/>
  <c r="N56" i="23"/>
  <c r="O56" i="23" s="1"/>
  <c r="L58" i="23"/>
  <c r="L59" i="23"/>
  <c r="L55" i="39"/>
  <c r="V52" i="39"/>
  <c r="D49" i="1" s="1"/>
  <c r="L53" i="39"/>
  <c r="N52" i="39"/>
  <c r="C48" i="1" s="1"/>
  <c r="L54" i="39"/>
  <c r="Z60" i="32"/>
  <c r="Z61" i="32"/>
  <c r="Z59" i="32"/>
  <c r="AB58" i="32"/>
  <c r="AC56" i="19"/>
  <c r="S57" i="19"/>
  <c r="S58" i="19"/>
  <c r="U56" i="19"/>
  <c r="V56" i="19" s="1"/>
  <c r="S59" i="19"/>
  <c r="AN55" i="30"/>
  <c r="AN53" i="30"/>
  <c r="AP52" i="30"/>
  <c r="AG61" i="33"/>
  <c r="AG59" i="33"/>
  <c r="AI58" i="33"/>
  <c r="L60" i="31"/>
  <c r="L61" i="31"/>
  <c r="L59" i="31"/>
  <c r="V58" i="31"/>
  <c r="N58" i="31"/>
  <c r="O58" i="31" s="1"/>
  <c r="AJ52" i="28"/>
  <c r="Z53" i="28"/>
  <c r="Z54" i="28" s="1"/>
  <c r="AB52" i="28"/>
  <c r="AC52" i="28" s="1"/>
  <c r="Z55" i="28"/>
  <c r="S54" i="34"/>
  <c r="AC52" i="34"/>
  <c r="E37" i="1" s="1"/>
  <c r="U52" i="34"/>
  <c r="D36" i="1" s="1"/>
  <c r="S55" i="34"/>
  <c r="S53" i="34"/>
  <c r="U50" i="19"/>
  <c r="S51" i="19"/>
  <c r="S53" i="19"/>
  <c r="AC50" i="19"/>
  <c r="AB50" i="10"/>
  <c r="AC50" i="10" s="1"/>
  <c r="Z51" i="10"/>
  <c r="Z52" i="10"/>
  <c r="Z53" i="10"/>
  <c r="AG51" i="11"/>
  <c r="AI50" i="11"/>
  <c r="AG53" i="11"/>
  <c r="AQ50" i="11"/>
  <c r="S52" i="24"/>
  <c r="AC50" i="24"/>
  <c r="U50" i="24"/>
  <c r="V50" i="24" s="1"/>
  <c r="S51" i="24"/>
  <c r="S53" i="24"/>
  <c r="AC52" i="30"/>
  <c r="S53" i="30"/>
  <c r="U52" i="30"/>
  <c r="S55" i="30"/>
  <c r="AN59" i="37"/>
  <c r="AP59" i="37" s="1"/>
  <c r="AP58" i="37"/>
  <c r="AQ58" i="37" s="1"/>
  <c r="C87" i="1"/>
  <c r="C68" i="1"/>
  <c r="C88" i="1" s="1"/>
  <c r="AP59" i="24"/>
  <c r="AB58" i="33"/>
  <c r="AC58" i="33" s="1"/>
  <c r="Z61" i="33"/>
  <c r="AJ58" i="33"/>
  <c r="Z59" i="33"/>
  <c r="AI50" i="10"/>
  <c r="AJ50" i="10" s="1"/>
  <c r="AG51" i="10"/>
  <c r="AQ50" i="10"/>
  <c r="AG53" i="10"/>
  <c r="AP56" i="18"/>
  <c r="AQ56" i="18" s="1"/>
  <c r="AN57" i="18"/>
  <c r="AP57" i="18" s="1"/>
  <c r="AN59" i="18"/>
  <c r="AP59" i="18" s="1"/>
  <c r="S54" i="27"/>
  <c r="U52" i="27"/>
  <c r="V52" i="27" s="1"/>
  <c r="S55" i="27"/>
  <c r="S53" i="27"/>
  <c r="H61" i="40"/>
  <c r="O61" i="40" s="1"/>
  <c r="H59" i="40"/>
  <c r="H60" i="40" s="1"/>
  <c r="O58" i="40"/>
  <c r="S55" i="41"/>
  <c r="AB58" i="35"/>
  <c r="AC58" i="35" s="1"/>
  <c r="Z59" i="35"/>
  <c r="Z60" i="35"/>
  <c r="AJ58" i="35"/>
  <c r="Z61" i="35"/>
  <c r="H59" i="41"/>
  <c r="O58" i="41"/>
  <c r="H60" i="41"/>
  <c r="H61" i="41"/>
  <c r="AG53" i="31"/>
  <c r="AG55" i="31"/>
  <c r="AI52" i="31"/>
  <c r="AQ52" i="31"/>
  <c r="G31" i="1" s="1"/>
  <c r="AB52" i="31"/>
  <c r="E30" i="1" s="1"/>
  <c r="AJ52" i="31"/>
  <c r="F31" i="1" s="1"/>
  <c r="Z53" i="31"/>
  <c r="Z54" i="31"/>
  <c r="Z55" i="31"/>
  <c r="H54" i="38"/>
  <c r="H55" i="38"/>
  <c r="O55" i="38" s="1"/>
  <c r="O52" i="38"/>
  <c r="H53" i="38"/>
  <c r="H57" i="10"/>
  <c r="H58" i="10"/>
  <c r="O56" i="10"/>
  <c r="H59" i="10"/>
  <c r="AQ50" i="13"/>
  <c r="AG51" i="13"/>
  <c r="AI50" i="13"/>
  <c r="AJ50" i="13" s="1"/>
  <c r="AG53" i="13"/>
  <c r="AI52" i="27"/>
  <c r="AG55" i="27"/>
  <c r="AG53" i="27"/>
  <c r="AP56" i="24"/>
  <c r="AQ56" i="24" s="1"/>
  <c r="AN57" i="24"/>
  <c r="AP57" i="24" s="1"/>
  <c r="AP50" i="21"/>
  <c r="AN51" i="21"/>
  <c r="AP51" i="21" s="1"/>
  <c r="AN53" i="21"/>
  <c r="AP53" i="21" s="1"/>
  <c r="AB56" i="20"/>
  <c r="Z57" i="20"/>
  <c r="Z59" i="20"/>
  <c r="S58" i="17"/>
  <c r="S57" i="17"/>
  <c r="U56" i="17"/>
  <c r="V56" i="17" s="1"/>
  <c r="AC56" i="17"/>
  <c r="S59" i="17"/>
  <c r="AP52" i="33"/>
  <c r="AQ52" i="33" s="1"/>
  <c r="AN53" i="33"/>
  <c r="AP53" i="33" s="1"/>
  <c r="AN55" i="33"/>
  <c r="AP55" i="33" s="1"/>
  <c r="AQ58" i="26"/>
  <c r="AG59" i="26"/>
  <c r="AG60" i="26"/>
  <c r="AI58" i="26"/>
  <c r="AJ58" i="26" s="1"/>
  <c r="AG61" i="26"/>
  <c r="AN57" i="23"/>
  <c r="AP57" i="23" s="1"/>
  <c r="AP56" i="23"/>
  <c r="AI52" i="34"/>
  <c r="F36" i="1" s="1"/>
  <c r="AG55" i="34"/>
  <c r="AG53" i="34"/>
  <c r="AG54" i="34" s="1"/>
  <c r="AQ52" i="34"/>
  <c r="G37" i="1" s="1"/>
  <c r="Z58" i="25"/>
  <c r="AJ42" i="25"/>
  <c r="AB42" i="25"/>
  <c r="AC42" i="25" s="1"/>
  <c r="Z52" i="25"/>
  <c r="AN51" i="15"/>
  <c r="AP51" i="15" s="1"/>
  <c r="AP50" i="15"/>
  <c r="G12" i="1" s="1"/>
  <c r="AN53" i="15"/>
  <c r="AP53" i="15" s="1"/>
  <c r="I9" i="3" s="1"/>
  <c r="Z60" i="38"/>
  <c r="AJ58" i="38"/>
  <c r="Z61" i="38"/>
  <c r="Z59" i="38"/>
  <c r="AB58" i="38"/>
  <c r="AG61" i="32"/>
  <c r="AI58" i="32"/>
  <c r="AJ58" i="32" s="1"/>
  <c r="AG59" i="32"/>
  <c r="AG60" i="32"/>
  <c r="AQ58" i="32"/>
  <c r="U58" i="27"/>
  <c r="V58" i="27" s="1"/>
  <c r="S61" i="27"/>
  <c r="S59" i="27"/>
  <c r="S60" i="27" s="1"/>
  <c r="U58" i="29"/>
  <c r="V58" i="29" s="1"/>
  <c r="S61" i="29"/>
  <c r="AC58" i="29"/>
  <c r="S59" i="29"/>
  <c r="AN54" i="26"/>
  <c r="AP52" i="26"/>
  <c r="G24" i="1" s="1"/>
  <c r="AN53" i="26"/>
  <c r="AP53" i="26" s="1"/>
  <c r="AN55" i="26"/>
  <c r="AP55" i="26" s="1"/>
  <c r="AG58" i="12"/>
  <c r="AI56" i="12"/>
  <c r="AJ56" i="12" s="1"/>
  <c r="AG57" i="12"/>
  <c r="AG59" i="12"/>
  <c r="Z57" i="10"/>
  <c r="AB56" i="10"/>
  <c r="AC56" i="10" s="1"/>
  <c r="Z58" i="10"/>
  <c r="AJ56" i="10"/>
  <c r="Z59" i="10"/>
  <c r="AI56" i="11"/>
  <c r="AG58" i="11"/>
  <c r="AG57" i="11"/>
  <c r="AG59" i="11"/>
  <c r="AN59" i="30"/>
  <c r="AP59" i="30" s="1"/>
  <c r="AP58" i="30"/>
  <c r="AQ58" i="30" s="1"/>
  <c r="AN61" i="30"/>
  <c r="AP61" i="30" s="1"/>
  <c r="AN60" i="30"/>
  <c r="U50" i="23"/>
  <c r="V50" i="23" s="1"/>
  <c r="S52" i="23"/>
  <c r="S51" i="23"/>
  <c r="S53" i="23"/>
  <c r="AB52" i="41"/>
  <c r="E54" i="1" s="1"/>
  <c r="Z54" i="41"/>
  <c r="Z53" i="41"/>
  <c r="AC56" i="24"/>
  <c r="U56" i="24"/>
  <c r="V56" i="24" s="1"/>
  <c r="S57" i="24"/>
  <c r="S59" i="24"/>
  <c r="AP52" i="37"/>
  <c r="G42" i="1" s="1"/>
  <c r="AN53" i="37"/>
  <c r="AP53" i="37" s="1"/>
  <c r="AN54" i="37"/>
  <c r="H55" i="27"/>
  <c r="O55" i="27" s="1"/>
  <c r="H53" i="27"/>
  <c r="H54" i="27" s="1"/>
  <c r="AN57" i="12"/>
  <c r="AP56" i="12"/>
  <c r="AQ56" i="12" s="1"/>
  <c r="AN58" i="12"/>
  <c r="AN59" i="12"/>
  <c r="AP59" i="12" s="1"/>
  <c r="L52" i="12"/>
  <c r="V50" i="12"/>
  <c r="N50" i="12"/>
  <c r="O50" i="12" s="1"/>
  <c r="L51" i="12"/>
  <c r="L53" i="12"/>
  <c r="N52" i="25"/>
  <c r="O52" i="25" s="1"/>
  <c r="L55" i="25"/>
  <c r="L53" i="25"/>
  <c r="L54" i="25"/>
  <c r="H54" i="31"/>
  <c r="H55" i="31"/>
  <c r="O55" i="31" s="1"/>
  <c r="O52" i="31"/>
  <c r="C31" i="1" s="1"/>
  <c r="H53" i="31"/>
  <c r="H55" i="30"/>
  <c r="O55" i="30" s="1"/>
  <c r="O52" i="30"/>
  <c r="H54" i="30"/>
  <c r="H53" i="30"/>
  <c r="AJ58" i="28"/>
  <c r="AB58" i="28"/>
  <c r="AC58" i="28" s="1"/>
  <c r="Z61" i="28"/>
  <c r="Z59" i="28"/>
  <c r="V58" i="35"/>
  <c r="L61" i="35"/>
  <c r="L59" i="35"/>
  <c r="N58" i="35"/>
  <c r="O58" i="35" s="1"/>
  <c r="L60" i="35"/>
  <c r="N52" i="29"/>
  <c r="L55" i="29"/>
  <c r="L53" i="29"/>
  <c r="L54" i="29" s="1"/>
  <c r="AJ52" i="27"/>
  <c r="Z53" i="27"/>
  <c r="Z55" i="27"/>
  <c r="Z54" i="27"/>
  <c r="AB52" i="27"/>
  <c r="AC52" i="27" s="1"/>
  <c r="AJ56" i="11"/>
  <c r="Z57" i="11"/>
  <c r="Z58" i="11" s="1"/>
  <c r="AB56" i="11"/>
  <c r="AC56" i="11" s="1"/>
  <c r="Z59" i="11"/>
  <c r="V56" i="21"/>
  <c r="N56" i="21"/>
  <c r="O56" i="21" s="1"/>
  <c r="L57" i="21"/>
  <c r="L58" i="21" s="1"/>
  <c r="L59" i="21"/>
  <c r="S54" i="29"/>
  <c r="U52" i="29"/>
  <c r="V52" i="29" s="1"/>
  <c r="S55" i="29"/>
  <c r="S53" i="29"/>
  <c r="AJ58" i="31"/>
  <c r="Z61" i="31"/>
  <c r="Z59" i="31"/>
  <c r="AB58" i="31"/>
  <c r="AC58" i="31" s="1"/>
  <c r="H51" i="10"/>
  <c r="H52" i="10" s="1"/>
  <c r="O50" i="10"/>
  <c r="H53" i="10"/>
  <c r="AG57" i="13"/>
  <c r="AG58" i="13" s="1"/>
  <c r="AI56" i="13"/>
  <c r="AJ56" i="13" s="1"/>
  <c r="AQ56" i="13"/>
  <c r="AG59" i="13"/>
  <c r="AP52" i="28"/>
  <c r="AQ52" i="28" s="1"/>
  <c r="AN53" i="28"/>
  <c r="AP53" i="28" s="1"/>
  <c r="AN55" i="28"/>
  <c r="AP55" i="28" s="1"/>
  <c r="AI52" i="36"/>
  <c r="AJ52" i="36" s="1"/>
  <c r="AG53" i="36"/>
  <c r="AQ52" i="36"/>
  <c r="AG55" i="36"/>
  <c r="Z51" i="20"/>
  <c r="Z52" i="20" s="1"/>
  <c r="AB50" i="20"/>
  <c r="E18" i="1" s="1"/>
  <c r="AJ50" i="20"/>
  <c r="F19" i="1" s="1"/>
  <c r="F74" i="1" s="1"/>
  <c r="Z53" i="20"/>
  <c r="U42" i="25"/>
  <c r="V42" i="25" s="1"/>
  <c r="S58" i="25"/>
  <c r="S52" i="25"/>
  <c r="S61" i="26"/>
  <c r="S59" i="26"/>
  <c r="U58" i="26"/>
  <c r="V58" i="26" s="1"/>
  <c r="L51" i="15"/>
  <c r="L53" i="15"/>
  <c r="L52" i="15"/>
  <c r="N50" i="15"/>
  <c r="C12" i="1" s="1"/>
  <c r="V50" i="15"/>
  <c r="D13" i="1" s="1"/>
  <c r="AQ58" i="34"/>
  <c r="AG59" i="34"/>
  <c r="AG61" i="34"/>
  <c r="AI58" i="34"/>
  <c r="AJ58" i="34" s="1"/>
  <c r="S53" i="31"/>
  <c r="S54" i="31" s="1"/>
  <c r="U52" i="31"/>
  <c r="D30" i="1" s="1"/>
  <c r="S55" i="31"/>
  <c r="Z53" i="26"/>
  <c r="AB52" i="26"/>
  <c r="E24" i="1" s="1"/>
  <c r="AJ52" i="26"/>
  <c r="F25" i="1" s="1"/>
  <c r="Z54" i="26"/>
  <c r="Z55" i="26"/>
  <c r="O50" i="11"/>
  <c r="H51" i="11"/>
  <c r="H53" i="11"/>
  <c r="AG51" i="23"/>
  <c r="AI50" i="23"/>
  <c r="AJ50" i="23" s="1"/>
  <c r="AG53" i="23"/>
  <c r="O52" i="29"/>
  <c r="H55" i="29"/>
  <c r="O55" i="29" s="1"/>
  <c r="H53" i="29"/>
  <c r="H54" i="29"/>
  <c r="U58" i="34"/>
  <c r="V58" i="34" s="1"/>
  <c r="S61" i="34"/>
  <c r="AC58" i="34"/>
  <c r="S59" i="34"/>
  <c r="S60" i="34"/>
  <c r="U58" i="39"/>
  <c r="V58" i="39" s="1"/>
  <c r="S61" i="39"/>
  <c r="S59" i="39"/>
  <c r="S60" i="39"/>
  <c r="AC58" i="39"/>
  <c r="N50" i="11"/>
  <c r="V50" i="11"/>
  <c r="L51" i="11"/>
  <c r="L53" i="11"/>
  <c r="U56" i="23"/>
  <c r="V56" i="23" s="1"/>
  <c r="S58" i="23"/>
  <c r="S57" i="23"/>
  <c r="AC56" i="23"/>
  <c r="S59" i="23"/>
  <c r="AJ58" i="41"/>
  <c r="Z60" i="41"/>
  <c r="AB58" i="41"/>
  <c r="AC58" i="41" s="1"/>
  <c r="Z59" i="41"/>
  <c r="U58" i="30"/>
  <c r="V58" i="30" s="1"/>
  <c r="S61" i="30"/>
  <c r="AC58" i="30"/>
  <c r="S59" i="30"/>
  <c r="H59" i="27"/>
  <c r="H60" i="27"/>
  <c r="H61" i="27"/>
  <c r="O61" i="27" s="1"/>
  <c r="AN52" i="12"/>
  <c r="AN53" i="12"/>
  <c r="AP53" i="12" s="1"/>
  <c r="AP50" i="12"/>
  <c r="AQ50" i="12" s="1"/>
  <c r="AN51" i="12"/>
  <c r="AP51" i="12" s="1"/>
  <c r="V56" i="12"/>
  <c r="L57" i="12"/>
  <c r="N56" i="12"/>
  <c r="O56" i="12" s="1"/>
  <c r="L58" i="12"/>
  <c r="L59" i="12"/>
  <c r="AN57" i="11"/>
  <c r="AP57" i="11" s="1"/>
  <c r="AP56" i="11"/>
  <c r="AQ56" i="11" s="1"/>
  <c r="AN59" i="11"/>
  <c r="AP59" i="11" s="1"/>
  <c r="H59" i="30"/>
  <c r="O58" i="30"/>
  <c r="H61" i="30"/>
  <c r="O61" i="30" s="1"/>
  <c r="H60" i="30"/>
  <c r="AI52" i="30"/>
  <c r="AJ52" i="30" s="1"/>
  <c r="AG55" i="30"/>
  <c r="AQ52" i="30"/>
  <c r="AG53" i="30"/>
  <c r="AG54" i="30"/>
  <c r="AN55" i="27"/>
  <c r="AP55" i="27" s="1"/>
  <c r="AN53" i="27"/>
  <c r="AP53" i="27" s="1"/>
  <c r="AP52" i="27"/>
  <c r="AQ52" i="27" s="1"/>
  <c r="Z60" i="27"/>
  <c r="AB58" i="27"/>
  <c r="AC58" i="27" s="1"/>
  <c r="Z61" i="27"/>
  <c r="Z59" i="27"/>
  <c r="AQ56" i="23"/>
  <c r="AG57" i="23"/>
  <c r="AG58" i="23"/>
  <c r="AI56" i="23"/>
  <c r="AJ56" i="23" s="1"/>
  <c r="H52" i="15"/>
  <c r="O50" i="15"/>
  <c r="C13" i="1" s="1"/>
  <c r="H51" i="15"/>
  <c r="H53" i="15"/>
  <c r="Z53" i="11"/>
  <c r="Z51" i="11"/>
  <c r="Z52" i="11" s="1"/>
  <c r="AJ50" i="11"/>
  <c r="AB50" i="11"/>
  <c r="AC50" i="11" s="1"/>
  <c r="L53" i="21"/>
  <c r="L51" i="21"/>
  <c r="N50" i="21"/>
  <c r="V50" i="21"/>
  <c r="L52" i="21"/>
  <c r="O58" i="38"/>
  <c r="H61" i="38"/>
  <c r="O61" i="38" s="1"/>
  <c r="H59" i="38"/>
  <c r="H54" i="32"/>
  <c r="O52" i="32"/>
  <c r="H55" i="32"/>
  <c r="O55" i="32" s="1"/>
  <c r="H53" i="32"/>
  <c r="S51" i="22"/>
  <c r="U50" i="22"/>
  <c r="V50" i="22" s="1"/>
  <c r="AC50" i="22"/>
  <c r="S52" i="22"/>
  <c r="S53" i="22"/>
  <c r="AQ58" i="27"/>
  <c r="AG61" i="27"/>
  <c r="AG60" i="27"/>
  <c r="AI58" i="27"/>
  <c r="AJ58" i="27" s="1"/>
  <c r="AG59" i="27"/>
  <c r="AQ52" i="41"/>
  <c r="G55" i="1" s="1"/>
  <c r="AG53" i="41"/>
  <c r="AI52" i="41"/>
  <c r="F54" i="1" s="1"/>
  <c r="AP58" i="28"/>
  <c r="AQ58" i="28" s="1"/>
  <c r="AN61" i="28"/>
  <c r="AP61" i="28" s="1"/>
  <c r="AN59" i="28"/>
  <c r="AP59" i="28" s="1"/>
  <c r="AN60" i="28"/>
  <c r="L55" i="27"/>
  <c r="L53" i="27"/>
  <c r="L54" i="27" s="1"/>
  <c r="N52" i="27"/>
  <c r="O52" i="27" s="1"/>
  <c r="AP52" i="25"/>
  <c r="AQ52" i="25" s="1"/>
  <c r="AN53" i="25"/>
  <c r="AP53" i="25" s="1"/>
  <c r="AN55" i="25"/>
  <c r="AP55" i="25" s="1"/>
  <c r="AN54" i="25"/>
  <c r="H52" i="20"/>
  <c r="O50" i="20"/>
  <c r="C19" i="1" s="1"/>
  <c r="C74" i="1" s="1"/>
  <c r="H53" i="20"/>
  <c r="H51" i="20"/>
  <c r="AQ52" i="29"/>
  <c r="AG53" i="29"/>
  <c r="AI52" i="29"/>
  <c r="AG54" i="29"/>
  <c r="AG55" i="29"/>
  <c r="H55" i="34"/>
  <c r="O55" i="34" s="1"/>
  <c r="H53" i="34"/>
  <c r="H54" i="34"/>
  <c r="O52" i="34"/>
  <c r="C37" i="1" s="1"/>
  <c r="AN61" i="33"/>
  <c r="AP61" i="33" s="1"/>
  <c r="AP58" i="33"/>
  <c r="AQ58" i="33" s="1"/>
  <c r="AN59" i="33"/>
  <c r="AP59" i="33" s="1"/>
  <c r="V50" i="17"/>
  <c r="L51" i="17"/>
  <c r="N50" i="17"/>
  <c r="O50" i="17" s="1"/>
  <c r="L53" i="17"/>
  <c r="L52" i="17"/>
  <c r="AJ52" i="29"/>
  <c r="Z53" i="29"/>
  <c r="Z55" i="29"/>
  <c r="AB52" i="29"/>
  <c r="AC52" i="29" s="1"/>
  <c r="L58" i="15"/>
  <c r="V56" i="15"/>
  <c r="L57" i="15"/>
  <c r="N56" i="15"/>
  <c r="O56" i="15" s="1"/>
  <c r="L59" i="15"/>
  <c r="AG51" i="18"/>
  <c r="AI50" i="18"/>
  <c r="AJ50" i="18" s="1"/>
  <c r="AG53" i="18"/>
  <c r="AG52" i="18"/>
  <c r="AG58" i="20"/>
  <c r="AG57" i="20"/>
  <c r="AI56" i="20"/>
  <c r="AJ56" i="20" s="1"/>
  <c r="AQ56" i="20"/>
  <c r="AG59" i="20"/>
  <c r="Z59" i="26"/>
  <c r="AB58" i="26"/>
  <c r="AC58" i="26" s="1"/>
  <c r="Z61" i="26"/>
  <c r="H58" i="11"/>
  <c r="O56" i="11"/>
  <c r="H57" i="11"/>
  <c r="H59" i="11"/>
  <c r="AI58" i="17" l="1"/>
  <c r="AG60" i="17"/>
  <c r="AG62" i="40"/>
  <c r="AN62" i="27"/>
  <c r="AP60" i="27"/>
  <c r="AC58" i="16"/>
  <c r="S60" i="16"/>
  <c r="U58" i="16"/>
  <c r="V58" i="16" s="1"/>
  <c r="U60" i="37"/>
  <c r="S62" i="37"/>
  <c r="H54" i="17"/>
  <c r="Z60" i="16"/>
  <c r="AB58" i="16"/>
  <c r="AN62" i="39"/>
  <c r="AP60" i="39"/>
  <c r="AQ60" i="39" s="1"/>
  <c r="H60" i="16"/>
  <c r="O58" i="16"/>
  <c r="AG56" i="37"/>
  <c r="H56" i="27"/>
  <c r="U52" i="15"/>
  <c r="S54" i="15"/>
  <c r="Z54" i="9"/>
  <c r="Z56" i="38"/>
  <c r="AB54" i="38"/>
  <c r="H60" i="12"/>
  <c r="S62" i="33"/>
  <c r="U60" i="33"/>
  <c r="H54" i="18"/>
  <c r="AG62" i="30"/>
  <c r="AI60" i="30"/>
  <c r="AJ60" i="30" s="1"/>
  <c r="U58" i="15"/>
  <c r="S60" i="15"/>
  <c r="AG60" i="13"/>
  <c r="AI54" i="34"/>
  <c r="AG56" i="34"/>
  <c r="L62" i="30"/>
  <c r="N60" i="30"/>
  <c r="H54" i="23"/>
  <c r="AB60" i="39"/>
  <c r="Z62" i="39"/>
  <c r="AG60" i="18"/>
  <c r="L56" i="37"/>
  <c r="N54" i="37"/>
  <c r="L56" i="27"/>
  <c r="N54" i="27"/>
  <c r="O54" i="27" s="1"/>
  <c r="AJ52" i="20"/>
  <c r="Z54" i="20"/>
  <c r="AB52" i="20"/>
  <c r="AG56" i="25"/>
  <c r="AB52" i="24"/>
  <c r="Z54" i="24"/>
  <c r="AG54" i="20"/>
  <c r="AI52" i="20"/>
  <c r="AB58" i="15"/>
  <c r="AC58" i="15" s="1"/>
  <c r="Z60" i="15"/>
  <c r="AG62" i="28"/>
  <c r="L60" i="17"/>
  <c r="N58" i="17"/>
  <c r="O58" i="17" s="1"/>
  <c r="V54" i="29"/>
  <c r="L56" i="29"/>
  <c r="N54" i="29"/>
  <c r="H62" i="40"/>
  <c r="H60" i="17"/>
  <c r="Z54" i="15"/>
  <c r="AB52" i="15"/>
  <c r="AC52" i="15" s="1"/>
  <c r="H54" i="10"/>
  <c r="S62" i="27"/>
  <c r="U60" i="27"/>
  <c r="Z56" i="28"/>
  <c r="H60" i="14"/>
  <c r="S54" i="11"/>
  <c r="AC52" i="11"/>
  <c r="V60" i="33"/>
  <c r="L62" i="33"/>
  <c r="N60" i="33"/>
  <c r="S56" i="40"/>
  <c r="U54" i="40"/>
  <c r="S56" i="38"/>
  <c r="AC54" i="38"/>
  <c r="U54" i="38"/>
  <c r="L60" i="18"/>
  <c r="S62" i="35"/>
  <c r="U60" i="35"/>
  <c r="S56" i="26"/>
  <c r="L60" i="16"/>
  <c r="N58" i="16"/>
  <c r="N60" i="28"/>
  <c r="L62" i="28"/>
  <c r="AG60" i="14"/>
  <c r="AI58" i="14"/>
  <c r="Z62" i="30"/>
  <c r="AG56" i="28"/>
  <c r="AI54" i="28"/>
  <c r="AJ54" i="28" s="1"/>
  <c r="AB52" i="11"/>
  <c r="Z54" i="11"/>
  <c r="L60" i="10"/>
  <c r="N58" i="10"/>
  <c r="Z54" i="19"/>
  <c r="AP52" i="22"/>
  <c r="AN54" i="22"/>
  <c r="AP60" i="32"/>
  <c r="AN62" i="32"/>
  <c r="H54" i="19"/>
  <c r="AJ58" i="12"/>
  <c r="Z60" i="12"/>
  <c r="AC52" i="10"/>
  <c r="S54" i="10"/>
  <c r="S56" i="31"/>
  <c r="U54" i="31"/>
  <c r="Z60" i="11"/>
  <c r="AB58" i="11"/>
  <c r="AB52" i="16"/>
  <c r="Z54" i="16"/>
  <c r="U58" i="21"/>
  <c r="S60" i="21"/>
  <c r="L62" i="29"/>
  <c r="N60" i="29"/>
  <c r="N58" i="21"/>
  <c r="V58" i="21"/>
  <c r="L60" i="21"/>
  <c r="U54" i="37"/>
  <c r="V54" i="37" s="1"/>
  <c r="S56" i="37"/>
  <c r="L56" i="31"/>
  <c r="V54" i="31"/>
  <c r="N54" i="31"/>
  <c r="AG62" i="38"/>
  <c r="AI60" i="38"/>
  <c r="H62" i="31"/>
  <c r="L62" i="27"/>
  <c r="N60" i="27"/>
  <c r="O60" i="27" s="1"/>
  <c r="V60" i="27"/>
  <c r="L60" i="22"/>
  <c r="N52" i="12"/>
  <c r="V52" i="12"/>
  <c r="L54" i="12"/>
  <c r="U52" i="14"/>
  <c r="S54" i="14"/>
  <c r="AI59" i="15"/>
  <c r="AI59" i="14"/>
  <c r="N59" i="41"/>
  <c r="N59" i="21"/>
  <c r="U57" i="24"/>
  <c r="Z60" i="10"/>
  <c r="AB58" i="10"/>
  <c r="U59" i="29"/>
  <c r="V59" i="29" s="1"/>
  <c r="AI59" i="32"/>
  <c r="AB52" i="25"/>
  <c r="Z53" i="25"/>
  <c r="Z55" i="25"/>
  <c r="AQ61" i="26"/>
  <c r="AI61" i="26"/>
  <c r="U57" i="17"/>
  <c r="O59" i="10"/>
  <c r="Z62" i="35"/>
  <c r="AB60" i="35"/>
  <c r="AC60" i="35" s="1"/>
  <c r="U54" i="27"/>
  <c r="V54" i="27" s="1"/>
  <c r="S56" i="27"/>
  <c r="AB53" i="10"/>
  <c r="N60" i="31"/>
  <c r="O60" i="31" s="1"/>
  <c r="L62" i="31"/>
  <c r="S60" i="19"/>
  <c r="U58" i="19"/>
  <c r="V55" i="39"/>
  <c r="N55" i="39"/>
  <c r="AQ61" i="39"/>
  <c r="AI61" i="39"/>
  <c r="AI53" i="17"/>
  <c r="AN54" i="23"/>
  <c r="AB53" i="16"/>
  <c r="AC53" i="16" s="1"/>
  <c r="AB59" i="37"/>
  <c r="AJ53" i="35"/>
  <c r="AB53" i="35"/>
  <c r="AP51" i="18"/>
  <c r="AI51" i="22"/>
  <c r="AJ51" i="22" s="1"/>
  <c r="N60" i="25"/>
  <c r="L62" i="25"/>
  <c r="AB55" i="40"/>
  <c r="AJ55" i="40"/>
  <c r="AQ59" i="9"/>
  <c r="AI59" i="9"/>
  <c r="N51" i="19"/>
  <c r="AB59" i="13"/>
  <c r="AI53" i="32"/>
  <c r="AB59" i="19"/>
  <c r="AJ61" i="39"/>
  <c r="AB61" i="39"/>
  <c r="U59" i="9"/>
  <c r="N53" i="16"/>
  <c r="AI51" i="21"/>
  <c r="AQ51" i="21"/>
  <c r="H60" i="13"/>
  <c r="AI51" i="9"/>
  <c r="V50" i="20"/>
  <c r="D19" i="1" s="1"/>
  <c r="D74" i="1" s="1"/>
  <c r="U57" i="11"/>
  <c r="AB53" i="13"/>
  <c r="N59" i="11"/>
  <c r="AN52" i="13"/>
  <c r="AC59" i="32"/>
  <c r="U59" i="32"/>
  <c r="V59" i="32" s="1"/>
  <c r="AC57" i="13"/>
  <c r="U57" i="13"/>
  <c r="N53" i="30"/>
  <c r="AQ57" i="21"/>
  <c r="AI57" i="21"/>
  <c r="AQ59" i="24"/>
  <c r="AI59" i="24"/>
  <c r="U59" i="38"/>
  <c r="AB59" i="9"/>
  <c r="AC59" i="9" s="1"/>
  <c r="AJ59" i="9"/>
  <c r="AJ55" i="34"/>
  <c r="AB55" i="34"/>
  <c r="N53" i="24"/>
  <c r="N61" i="34"/>
  <c r="V61" i="34"/>
  <c r="AN54" i="35"/>
  <c r="H62" i="28"/>
  <c r="O60" i="28"/>
  <c r="AP55" i="40"/>
  <c r="S56" i="32"/>
  <c r="AP53" i="17"/>
  <c r="AQ53" i="17" s="1"/>
  <c r="AP59" i="10"/>
  <c r="AN60" i="40"/>
  <c r="AB55" i="36"/>
  <c r="AJ55" i="36"/>
  <c r="AN60" i="19"/>
  <c r="V54" i="41"/>
  <c r="L56" i="41"/>
  <c r="AP55" i="29"/>
  <c r="AB51" i="21"/>
  <c r="AJ51" i="21"/>
  <c r="N59" i="37"/>
  <c r="AB59" i="21"/>
  <c r="V52" i="26"/>
  <c r="D25" i="1" s="1"/>
  <c r="N51" i="18"/>
  <c r="AB51" i="14"/>
  <c r="AC51" i="14" s="1"/>
  <c r="V59" i="9"/>
  <c r="N59" i="9"/>
  <c r="AI51" i="15"/>
  <c r="AQ51" i="15"/>
  <c r="Z56" i="26"/>
  <c r="AB54" i="26"/>
  <c r="AC54" i="26" s="1"/>
  <c r="U53" i="30"/>
  <c r="V53" i="30" s="1"/>
  <c r="AB53" i="40"/>
  <c r="AG54" i="9"/>
  <c r="AI52" i="9"/>
  <c r="AJ52" i="9" s="1"/>
  <c r="S54" i="12"/>
  <c r="U52" i="12"/>
  <c r="AJ53" i="17"/>
  <c r="AB53" i="17"/>
  <c r="AI51" i="20"/>
  <c r="H56" i="34"/>
  <c r="H56" i="31"/>
  <c r="O54" i="31"/>
  <c r="AN62" i="30"/>
  <c r="AP60" i="30"/>
  <c r="AQ60" i="30" s="1"/>
  <c r="S60" i="29"/>
  <c r="S60" i="17"/>
  <c r="U58" i="17"/>
  <c r="V58" i="17" s="1"/>
  <c r="AJ59" i="35"/>
  <c r="AB59" i="35"/>
  <c r="AB61" i="33"/>
  <c r="AJ61" i="33"/>
  <c r="S54" i="30"/>
  <c r="AB52" i="10"/>
  <c r="Z54" i="10"/>
  <c r="U57" i="19"/>
  <c r="N59" i="23"/>
  <c r="AQ51" i="17"/>
  <c r="AI51" i="17"/>
  <c r="AB59" i="22"/>
  <c r="Z54" i="35"/>
  <c r="AN62" i="34"/>
  <c r="N61" i="38"/>
  <c r="V61" i="38"/>
  <c r="AQ53" i="12"/>
  <c r="AI53" i="12"/>
  <c r="AG54" i="22"/>
  <c r="AI52" i="22"/>
  <c r="AQ52" i="22"/>
  <c r="U57" i="15"/>
  <c r="AB51" i="22"/>
  <c r="N60" i="32"/>
  <c r="L62" i="32"/>
  <c r="AI57" i="9"/>
  <c r="N59" i="20"/>
  <c r="O59" i="20" s="1"/>
  <c r="N59" i="39"/>
  <c r="U51" i="14"/>
  <c r="AI55" i="32"/>
  <c r="AQ55" i="32"/>
  <c r="AP58" i="22"/>
  <c r="AN60" i="22"/>
  <c r="O59" i="23"/>
  <c r="N53" i="10"/>
  <c r="Z60" i="24"/>
  <c r="U53" i="35"/>
  <c r="AC53" i="35"/>
  <c r="U53" i="9"/>
  <c r="AN55" i="37"/>
  <c r="AP55" i="37" s="1"/>
  <c r="AL61" i="37"/>
  <c r="AN61" i="37" s="1"/>
  <c r="AP61" i="37" s="1"/>
  <c r="AQ53" i="35"/>
  <c r="AI53" i="35"/>
  <c r="AI58" i="24"/>
  <c r="AJ58" i="24" s="1"/>
  <c r="AG60" i="24"/>
  <c r="AQ57" i="14"/>
  <c r="AI57" i="14"/>
  <c r="Z60" i="9"/>
  <c r="AB58" i="9"/>
  <c r="AB53" i="34"/>
  <c r="N61" i="41"/>
  <c r="V53" i="32"/>
  <c r="N53" i="32"/>
  <c r="AJ61" i="30"/>
  <c r="AB61" i="30"/>
  <c r="H60" i="9"/>
  <c r="U53" i="12"/>
  <c r="AI61" i="31"/>
  <c r="AQ61" i="31"/>
  <c r="L54" i="9"/>
  <c r="AQ53" i="40"/>
  <c r="AI53" i="40"/>
  <c r="AJ53" i="40" s="1"/>
  <c r="AP53" i="40"/>
  <c r="AC55" i="32"/>
  <c r="U55" i="32"/>
  <c r="AN60" i="10"/>
  <c r="AP58" i="10"/>
  <c r="AI53" i="37"/>
  <c r="AQ53" i="37"/>
  <c r="H60" i="15"/>
  <c r="U59" i="10"/>
  <c r="V59" i="10" s="1"/>
  <c r="AP53" i="10"/>
  <c r="AI53" i="28"/>
  <c r="AQ53" i="28"/>
  <c r="L62" i="37"/>
  <c r="N60" i="37"/>
  <c r="V60" i="37"/>
  <c r="AB57" i="21"/>
  <c r="AJ57" i="21"/>
  <c r="N59" i="27"/>
  <c r="O59" i="27" s="1"/>
  <c r="V59" i="27"/>
  <c r="V53" i="26"/>
  <c r="N53" i="26"/>
  <c r="N53" i="22"/>
  <c r="AI59" i="30"/>
  <c r="AQ59" i="30"/>
  <c r="AJ55" i="30"/>
  <c r="AB55" i="30"/>
  <c r="Z54" i="14"/>
  <c r="AB52" i="14"/>
  <c r="AC52" i="14" s="1"/>
  <c r="V57" i="9"/>
  <c r="N57" i="9"/>
  <c r="O57" i="9" s="1"/>
  <c r="AQ50" i="15"/>
  <c r="G13" i="1" s="1"/>
  <c r="AP53" i="22"/>
  <c r="AB52" i="21"/>
  <c r="Z54" i="21"/>
  <c r="H60" i="11"/>
  <c r="H54" i="15"/>
  <c r="O52" i="15"/>
  <c r="AI53" i="23"/>
  <c r="AC51" i="22"/>
  <c r="U51" i="22"/>
  <c r="U61" i="39"/>
  <c r="AC61" i="39"/>
  <c r="L56" i="25"/>
  <c r="AG62" i="26"/>
  <c r="AI60" i="26"/>
  <c r="AQ53" i="27"/>
  <c r="AI53" i="27"/>
  <c r="O58" i="10"/>
  <c r="H60" i="10"/>
  <c r="U53" i="24"/>
  <c r="V53" i="24" s="1"/>
  <c r="AB51" i="10"/>
  <c r="AC54" i="34"/>
  <c r="S56" i="34"/>
  <c r="L60" i="23"/>
  <c r="N58" i="23"/>
  <c r="AG62" i="39"/>
  <c r="AI60" i="39"/>
  <c r="AJ60" i="39" s="1"/>
  <c r="AG52" i="17"/>
  <c r="AP51" i="23"/>
  <c r="AB57" i="22"/>
  <c r="AN58" i="21"/>
  <c r="AJ61" i="40"/>
  <c r="AB61" i="40"/>
  <c r="AJ55" i="35"/>
  <c r="AB55" i="35"/>
  <c r="AP61" i="34"/>
  <c r="Z52" i="22"/>
  <c r="N57" i="10"/>
  <c r="AG58" i="9"/>
  <c r="N57" i="20"/>
  <c r="AE61" i="41"/>
  <c r="Z61" i="41"/>
  <c r="U53" i="11"/>
  <c r="AB57" i="13"/>
  <c r="H62" i="29"/>
  <c r="O60" i="29"/>
  <c r="AB58" i="19"/>
  <c r="AC58" i="19" s="1"/>
  <c r="Z60" i="19"/>
  <c r="S60" i="9"/>
  <c r="U58" i="9"/>
  <c r="AC58" i="9"/>
  <c r="O58" i="23"/>
  <c r="H60" i="23"/>
  <c r="N51" i="10"/>
  <c r="AB57" i="24"/>
  <c r="AC57" i="24" s="1"/>
  <c r="S56" i="41"/>
  <c r="U54" i="41"/>
  <c r="N51" i="20"/>
  <c r="AC58" i="11"/>
  <c r="U58" i="11"/>
  <c r="S60" i="11"/>
  <c r="S54" i="35"/>
  <c r="Z54" i="13"/>
  <c r="AB52" i="13"/>
  <c r="AQ57" i="15"/>
  <c r="AI57" i="15"/>
  <c r="AI59" i="36"/>
  <c r="H60" i="21"/>
  <c r="O58" i="21"/>
  <c r="U60" i="32"/>
  <c r="V60" i="32" s="1"/>
  <c r="S62" i="32"/>
  <c r="AP51" i="22"/>
  <c r="AQ51" i="22" s="1"/>
  <c r="N54" i="30"/>
  <c r="L56" i="30"/>
  <c r="AQ61" i="37"/>
  <c r="AI61" i="37"/>
  <c r="AC61" i="37"/>
  <c r="U61" i="37"/>
  <c r="V61" i="37" s="1"/>
  <c r="U60" i="38"/>
  <c r="S62" i="38"/>
  <c r="H58" i="24"/>
  <c r="AP59" i="25"/>
  <c r="AJ52" i="34"/>
  <c r="F37" i="1" s="1"/>
  <c r="N59" i="34"/>
  <c r="O59" i="34" s="1"/>
  <c r="AQ53" i="24"/>
  <c r="AI53" i="24"/>
  <c r="U51" i="12"/>
  <c r="AC51" i="12"/>
  <c r="V61" i="29"/>
  <c r="N61" i="29"/>
  <c r="N51" i="9"/>
  <c r="AN54" i="40"/>
  <c r="AP51" i="17"/>
  <c r="AQ52" i="37"/>
  <c r="G43" i="1" s="1"/>
  <c r="AC58" i="10"/>
  <c r="S60" i="10"/>
  <c r="U58" i="10"/>
  <c r="V58" i="10" s="1"/>
  <c r="AB59" i="29"/>
  <c r="AC59" i="29" s="1"/>
  <c r="H58" i="18"/>
  <c r="N58" i="18" s="1"/>
  <c r="O51" i="9"/>
  <c r="U59" i="22"/>
  <c r="AC59" i="22"/>
  <c r="L62" i="40"/>
  <c r="N60" i="40"/>
  <c r="O60" i="40" s="1"/>
  <c r="S54" i="18"/>
  <c r="U52" i="18"/>
  <c r="Z56" i="30"/>
  <c r="AB54" i="30"/>
  <c r="AC55" i="28"/>
  <c r="U55" i="28"/>
  <c r="AI53" i="20"/>
  <c r="AJ53" i="20" s="1"/>
  <c r="AI59" i="34"/>
  <c r="AJ59" i="34" s="1"/>
  <c r="AI51" i="11"/>
  <c r="V60" i="38"/>
  <c r="L62" i="38"/>
  <c r="AB57" i="16"/>
  <c r="V61" i="39"/>
  <c r="N61" i="39"/>
  <c r="H62" i="26"/>
  <c r="AB58" i="17"/>
  <c r="AC58" i="17" s="1"/>
  <c r="AJ58" i="17"/>
  <c r="Z60" i="17"/>
  <c r="AN54" i="20"/>
  <c r="AP54" i="20" s="1"/>
  <c r="I19" i="3" s="1"/>
  <c r="AP52" i="20"/>
  <c r="AQ52" i="20" s="1"/>
  <c r="O51" i="10"/>
  <c r="H62" i="27"/>
  <c r="AB53" i="27"/>
  <c r="AJ53" i="27"/>
  <c r="AI53" i="41"/>
  <c r="AN58" i="11"/>
  <c r="AB57" i="10"/>
  <c r="AC57" i="10" s="1"/>
  <c r="O53" i="32"/>
  <c r="N53" i="21"/>
  <c r="AI57" i="23"/>
  <c r="AQ57" i="23"/>
  <c r="AI53" i="30"/>
  <c r="AQ53" i="30"/>
  <c r="N59" i="12"/>
  <c r="U57" i="23"/>
  <c r="V57" i="23" s="1"/>
  <c r="U55" i="31"/>
  <c r="AC55" i="31"/>
  <c r="L54" i="15"/>
  <c r="N52" i="15"/>
  <c r="V52" i="15"/>
  <c r="AB53" i="20"/>
  <c r="AB59" i="31"/>
  <c r="N53" i="25"/>
  <c r="AP57" i="12"/>
  <c r="S58" i="24"/>
  <c r="AB58" i="24" s="1"/>
  <c r="AI59" i="12"/>
  <c r="AJ59" i="12" s="1"/>
  <c r="AQ59" i="12"/>
  <c r="U61" i="29"/>
  <c r="AC61" i="29"/>
  <c r="Z61" i="25"/>
  <c r="AB58" i="25"/>
  <c r="Z59" i="25"/>
  <c r="AI59" i="26"/>
  <c r="AQ59" i="26"/>
  <c r="AB57" i="20"/>
  <c r="AC57" i="20" s="1"/>
  <c r="AI55" i="27"/>
  <c r="AQ55" i="27"/>
  <c r="O57" i="10"/>
  <c r="AI55" i="31"/>
  <c r="AQ55" i="31"/>
  <c r="U55" i="41"/>
  <c r="AN58" i="18"/>
  <c r="U51" i="24"/>
  <c r="AJ55" i="28"/>
  <c r="AB55" i="28"/>
  <c r="AQ59" i="33"/>
  <c r="AI59" i="33"/>
  <c r="AP59" i="15"/>
  <c r="AQ59" i="15" s="1"/>
  <c r="AG56" i="26"/>
  <c r="AI54" i="26"/>
  <c r="AJ54" i="26" s="1"/>
  <c r="Z58" i="22"/>
  <c r="AB59" i="40"/>
  <c r="AB55" i="41"/>
  <c r="AC55" i="41" s="1"/>
  <c r="AC61" i="35"/>
  <c r="U61" i="35"/>
  <c r="AQ51" i="12"/>
  <c r="AI51" i="12"/>
  <c r="AP59" i="36"/>
  <c r="AQ59" i="36" s="1"/>
  <c r="AP57" i="9"/>
  <c r="AQ57" i="9" s="1"/>
  <c r="V59" i="16"/>
  <c r="N59" i="16"/>
  <c r="AI59" i="35"/>
  <c r="AQ59" i="35"/>
  <c r="U61" i="41"/>
  <c r="V61" i="41" s="1"/>
  <c r="Z58" i="13"/>
  <c r="AG54" i="32"/>
  <c r="U57" i="9"/>
  <c r="U53" i="41"/>
  <c r="H62" i="39"/>
  <c r="L52" i="20"/>
  <c r="AC55" i="37"/>
  <c r="U55" i="37"/>
  <c r="V55" i="37" s="1"/>
  <c r="O59" i="19"/>
  <c r="AN54" i="38"/>
  <c r="AN54" i="14"/>
  <c r="AG58" i="15"/>
  <c r="AG60" i="36"/>
  <c r="N57" i="11"/>
  <c r="V57" i="11"/>
  <c r="O59" i="21"/>
  <c r="AB55" i="39"/>
  <c r="AJ55" i="39"/>
  <c r="O53" i="25"/>
  <c r="N55" i="30"/>
  <c r="V55" i="30"/>
  <c r="AQ55" i="37"/>
  <c r="AI55" i="37"/>
  <c r="AJ55" i="37" s="1"/>
  <c r="AI57" i="24"/>
  <c r="AJ57" i="24" s="1"/>
  <c r="AQ57" i="24"/>
  <c r="AB60" i="36"/>
  <c r="Z62" i="36"/>
  <c r="AP59" i="17"/>
  <c r="AQ59" i="17" s="1"/>
  <c r="AJ61" i="37"/>
  <c r="AB61" i="37"/>
  <c r="AI52" i="24"/>
  <c r="AJ52" i="24" s="1"/>
  <c r="AG54" i="24"/>
  <c r="V55" i="32"/>
  <c r="N55" i="32"/>
  <c r="AB59" i="23"/>
  <c r="AC59" i="28"/>
  <c r="U59" i="28"/>
  <c r="V59" i="28" s="1"/>
  <c r="AG54" i="40"/>
  <c r="U53" i="32"/>
  <c r="L62" i="26"/>
  <c r="N60" i="26"/>
  <c r="O60" i="26" s="1"/>
  <c r="AP57" i="10"/>
  <c r="AG62" i="37"/>
  <c r="AI59" i="18"/>
  <c r="AQ59" i="18"/>
  <c r="U57" i="10"/>
  <c r="V57" i="10" s="1"/>
  <c r="Z60" i="29"/>
  <c r="O53" i="16"/>
  <c r="AP51" i="10"/>
  <c r="H52" i="9"/>
  <c r="N52" i="9" s="1"/>
  <c r="S60" i="22"/>
  <c r="U58" i="22"/>
  <c r="V58" i="22" s="1"/>
  <c r="AI55" i="28"/>
  <c r="AQ55" i="28"/>
  <c r="Z58" i="21"/>
  <c r="U53" i="18"/>
  <c r="AC53" i="18"/>
  <c r="L54" i="26"/>
  <c r="U54" i="26" s="1"/>
  <c r="N59" i="14"/>
  <c r="L54" i="22"/>
  <c r="V52" i="22"/>
  <c r="AB53" i="18"/>
  <c r="AB53" i="30"/>
  <c r="AC53" i="30" s="1"/>
  <c r="AJ53" i="30"/>
  <c r="AI59" i="22"/>
  <c r="AJ59" i="22" s="1"/>
  <c r="AQ59" i="22"/>
  <c r="U53" i="28"/>
  <c r="AB53" i="29"/>
  <c r="AC53" i="29" s="1"/>
  <c r="S54" i="22"/>
  <c r="U52" i="22"/>
  <c r="AN54" i="12"/>
  <c r="AQ53" i="36"/>
  <c r="AI53" i="36"/>
  <c r="AJ53" i="36" s="1"/>
  <c r="U54" i="29"/>
  <c r="S56" i="29"/>
  <c r="V61" i="35"/>
  <c r="N61" i="35"/>
  <c r="S54" i="23"/>
  <c r="AC55" i="34"/>
  <c r="U55" i="34"/>
  <c r="AJ51" i="16"/>
  <c r="AB51" i="16"/>
  <c r="U55" i="39"/>
  <c r="AC55" i="39"/>
  <c r="AB53" i="22"/>
  <c r="N59" i="10"/>
  <c r="N54" i="38"/>
  <c r="L56" i="38"/>
  <c r="V54" i="38"/>
  <c r="L60" i="19"/>
  <c r="N58" i="19"/>
  <c r="O58" i="19" s="1"/>
  <c r="V58" i="19"/>
  <c r="U57" i="21"/>
  <c r="AC57" i="21"/>
  <c r="AQ55" i="40"/>
  <c r="AI55" i="40"/>
  <c r="AP54" i="32"/>
  <c r="AN56" i="32"/>
  <c r="AB53" i="36"/>
  <c r="D93" i="1"/>
  <c r="D69" i="1"/>
  <c r="AB59" i="28"/>
  <c r="AG56" i="30"/>
  <c r="AI54" i="30"/>
  <c r="AJ54" i="30" s="1"/>
  <c r="AJ61" i="28"/>
  <c r="AB61" i="28"/>
  <c r="AB59" i="26"/>
  <c r="AJ59" i="26"/>
  <c r="AQ55" i="29"/>
  <c r="AI55" i="29"/>
  <c r="AG54" i="41"/>
  <c r="U59" i="30"/>
  <c r="AC60" i="34"/>
  <c r="U60" i="34"/>
  <c r="S62" i="34"/>
  <c r="AC52" i="31"/>
  <c r="E31" i="1" s="1"/>
  <c r="AN54" i="28"/>
  <c r="AJ61" i="31"/>
  <c r="AB61" i="31"/>
  <c r="N53" i="29"/>
  <c r="V53" i="29"/>
  <c r="N55" i="25"/>
  <c r="V55" i="25"/>
  <c r="AJ52" i="41"/>
  <c r="F55" i="1" s="1"/>
  <c r="AQ57" i="12"/>
  <c r="AI57" i="12"/>
  <c r="AB59" i="38"/>
  <c r="AC59" i="38" s="1"/>
  <c r="Z58" i="20"/>
  <c r="AG54" i="27"/>
  <c r="AI53" i="31"/>
  <c r="AJ53" i="31" s="1"/>
  <c r="AI61" i="33"/>
  <c r="AQ61" i="33"/>
  <c r="AB59" i="32"/>
  <c r="AJ59" i="32"/>
  <c r="AI59" i="39"/>
  <c r="AJ59" i="39" s="1"/>
  <c r="AQ52" i="26"/>
  <c r="G25" i="1" s="1"/>
  <c r="AL55" i="41"/>
  <c r="AN55" i="41" s="1"/>
  <c r="AP55" i="41" s="1"/>
  <c r="AG55" i="41"/>
  <c r="AP59" i="34"/>
  <c r="AQ59" i="34" s="1"/>
  <c r="U59" i="31"/>
  <c r="AC59" i="31"/>
  <c r="AN60" i="36"/>
  <c r="O51" i="23"/>
  <c r="AI61" i="35"/>
  <c r="AQ61" i="35"/>
  <c r="U59" i="16"/>
  <c r="U59" i="41"/>
  <c r="V59" i="41" s="1"/>
  <c r="N59" i="32"/>
  <c r="AI58" i="25"/>
  <c r="AJ58" i="25" s="1"/>
  <c r="O59" i="29"/>
  <c r="O57" i="20"/>
  <c r="AP59" i="13"/>
  <c r="AQ59" i="13" s="1"/>
  <c r="AB57" i="19"/>
  <c r="AC57" i="19" s="1"/>
  <c r="AB59" i="34"/>
  <c r="N59" i="36"/>
  <c r="AC59" i="40"/>
  <c r="U59" i="40"/>
  <c r="V59" i="40" s="1"/>
  <c r="AC61" i="36"/>
  <c r="U61" i="36"/>
  <c r="AC52" i="41"/>
  <c r="E55" i="1" s="1"/>
  <c r="N53" i="20"/>
  <c r="AC52" i="37"/>
  <c r="E43" i="1" s="1"/>
  <c r="V55" i="31"/>
  <c r="N55" i="31"/>
  <c r="L58" i="11"/>
  <c r="AJ52" i="39"/>
  <c r="F49" i="1" s="1"/>
  <c r="U51" i="9"/>
  <c r="V51" i="9" s="1"/>
  <c r="AC55" i="40"/>
  <c r="U55" i="40"/>
  <c r="AC55" i="38"/>
  <c r="U55" i="38"/>
  <c r="AP61" i="25"/>
  <c r="AP61" i="39"/>
  <c r="AB57" i="9"/>
  <c r="AC57" i="9" s="1"/>
  <c r="AJ57" i="9"/>
  <c r="AJ61" i="36"/>
  <c r="AB61" i="36"/>
  <c r="H54" i="36"/>
  <c r="AP57" i="17"/>
  <c r="AQ57" i="17" s="1"/>
  <c r="L54" i="32"/>
  <c r="S60" i="28"/>
  <c r="AN60" i="29"/>
  <c r="AQ59" i="29"/>
  <c r="AI59" i="29"/>
  <c r="AJ59" i="29" s="1"/>
  <c r="N59" i="26"/>
  <c r="O59" i="26" s="1"/>
  <c r="AI59" i="37"/>
  <c r="AJ59" i="37" s="1"/>
  <c r="AQ59" i="37"/>
  <c r="AQ61" i="28"/>
  <c r="AI61" i="28"/>
  <c r="AB61" i="29"/>
  <c r="AJ61" i="29"/>
  <c r="AC59" i="18"/>
  <c r="U59" i="18"/>
  <c r="AN52" i="10"/>
  <c r="AQ51" i="16"/>
  <c r="AI51" i="16"/>
  <c r="N59" i="17"/>
  <c r="O59" i="17" s="1"/>
  <c r="U51" i="18"/>
  <c r="V51" i="18" s="1"/>
  <c r="AC51" i="18"/>
  <c r="N59" i="13"/>
  <c r="AB51" i="18"/>
  <c r="O60" i="37"/>
  <c r="H62" i="37"/>
  <c r="L58" i="9"/>
  <c r="V59" i="22"/>
  <c r="N59" i="22"/>
  <c r="C69" i="1"/>
  <c r="C93" i="1"/>
  <c r="S53" i="25"/>
  <c r="AC52" i="25"/>
  <c r="U52" i="25"/>
  <c r="V52" i="25" s="1"/>
  <c r="S55" i="25"/>
  <c r="Z56" i="27"/>
  <c r="AB54" i="27"/>
  <c r="AC54" i="27" s="1"/>
  <c r="U59" i="24"/>
  <c r="AP54" i="26"/>
  <c r="AQ54" i="26" s="1"/>
  <c r="AN56" i="26"/>
  <c r="AP56" i="26" s="1"/>
  <c r="AJ59" i="33"/>
  <c r="AB59" i="33"/>
  <c r="AI53" i="22"/>
  <c r="AJ53" i="22" s="1"/>
  <c r="AQ53" i="22"/>
  <c r="O60" i="25"/>
  <c r="H62" i="25"/>
  <c r="AB51" i="24"/>
  <c r="AC51" i="24" s="1"/>
  <c r="AB59" i="24"/>
  <c r="AC59" i="24" s="1"/>
  <c r="AJ59" i="24"/>
  <c r="H54" i="12"/>
  <c r="O52" i="12"/>
  <c r="Z56" i="34"/>
  <c r="AB54" i="34"/>
  <c r="AJ54" i="34"/>
  <c r="N57" i="18"/>
  <c r="O57" i="18" s="1"/>
  <c r="N51" i="23"/>
  <c r="Z54" i="29"/>
  <c r="U59" i="39"/>
  <c r="V59" i="39" s="1"/>
  <c r="AC59" i="39"/>
  <c r="V57" i="21"/>
  <c r="N57" i="21"/>
  <c r="O57" i="21" s="1"/>
  <c r="AN58" i="24"/>
  <c r="N52" i="17"/>
  <c r="O52" i="17" s="1"/>
  <c r="L54" i="17"/>
  <c r="V51" i="21"/>
  <c r="N51" i="21"/>
  <c r="AB53" i="26"/>
  <c r="AB59" i="20"/>
  <c r="AJ59" i="20"/>
  <c r="AQ51" i="18"/>
  <c r="AI51" i="18"/>
  <c r="AJ51" i="18" s="1"/>
  <c r="N53" i="17"/>
  <c r="N59" i="15"/>
  <c r="O59" i="15" s="1"/>
  <c r="AG56" i="29"/>
  <c r="AI54" i="29"/>
  <c r="L60" i="12"/>
  <c r="N58" i="12"/>
  <c r="O58" i="12" s="1"/>
  <c r="AC58" i="23"/>
  <c r="S60" i="23"/>
  <c r="U58" i="23"/>
  <c r="V58" i="23" s="1"/>
  <c r="AQ51" i="23"/>
  <c r="AI51" i="23"/>
  <c r="N53" i="15"/>
  <c r="E9" i="3" s="1"/>
  <c r="Z60" i="26"/>
  <c r="N51" i="17"/>
  <c r="AI59" i="27"/>
  <c r="AQ59" i="27"/>
  <c r="AJ59" i="27"/>
  <c r="AB59" i="27"/>
  <c r="AI55" i="30"/>
  <c r="AQ55" i="30"/>
  <c r="AC59" i="34"/>
  <c r="U59" i="34"/>
  <c r="V59" i="34" s="1"/>
  <c r="AG52" i="23"/>
  <c r="AP52" i="23" s="1"/>
  <c r="N51" i="15"/>
  <c r="AI59" i="13"/>
  <c r="AJ59" i="13" s="1"/>
  <c r="Z60" i="31"/>
  <c r="AB59" i="11"/>
  <c r="AJ59" i="11"/>
  <c r="Z60" i="28"/>
  <c r="AB53" i="41"/>
  <c r="AC53" i="41" s="1"/>
  <c r="AJ53" i="41"/>
  <c r="AQ59" i="11"/>
  <c r="AI59" i="11"/>
  <c r="AJ61" i="38"/>
  <c r="AB61" i="38"/>
  <c r="AG54" i="31"/>
  <c r="AQ53" i="10"/>
  <c r="AI53" i="10"/>
  <c r="AJ53" i="10" s="1"/>
  <c r="AG60" i="33"/>
  <c r="AJ61" i="32"/>
  <c r="AB61" i="32"/>
  <c r="N57" i="23"/>
  <c r="O57" i="23" s="1"/>
  <c r="AB55" i="38"/>
  <c r="AJ55" i="38"/>
  <c r="AI53" i="26"/>
  <c r="AJ53" i="26" s="1"/>
  <c r="AQ53" i="26"/>
  <c r="Z60" i="40"/>
  <c r="AI59" i="10"/>
  <c r="AQ59" i="10"/>
  <c r="AG52" i="12"/>
  <c r="AN60" i="9"/>
  <c r="AP58" i="9"/>
  <c r="AN60" i="41"/>
  <c r="V61" i="32"/>
  <c r="N61" i="32"/>
  <c r="AP53" i="34"/>
  <c r="L58" i="20"/>
  <c r="AQ59" i="25"/>
  <c r="AI59" i="25"/>
  <c r="U51" i="11"/>
  <c r="V51" i="11" s="1"/>
  <c r="O59" i="22"/>
  <c r="H58" i="20"/>
  <c r="AP57" i="13"/>
  <c r="U53" i="15"/>
  <c r="F9" i="3" s="1"/>
  <c r="AB61" i="34"/>
  <c r="AJ61" i="34"/>
  <c r="O59" i="36"/>
  <c r="AN60" i="35"/>
  <c r="L52" i="10"/>
  <c r="AB53" i="33"/>
  <c r="AC53" i="33" s="1"/>
  <c r="U55" i="35"/>
  <c r="AC55" i="35"/>
  <c r="V55" i="40"/>
  <c r="N55" i="40"/>
  <c r="AI61" i="36"/>
  <c r="AQ61" i="36"/>
  <c r="S52" i="9"/>
  <c r="AB52" i="9" s="1"/>
  <c r="H54" i="25"/>
  <c r="N54" i="25" s="1"/>
  <c r="N55" i="28"/>
  <c r="V55" i="28"/>
  <c r="AQ61" i="38"/>
  <c r="AI61" i="38"/>
  <c r="AN60" i="25"/>
  <c r="AC53" i="13"/>
  <c r="U53" i="13"/>
  <c r="AB59" i="36"/>
  <c r="AJ59" i="36"/>
  <c r="AJ59" i="15"/>
  <c r="AB59" i="15"/>
  <c r="AC59" i="15" s="1"/>
  <c r="AN58" i="17"/>
  <c r="AI51" i="24"/>
  <c r="AJ51" i="24" s="1"/>
  <c r="AQ51" i="24"/>
  <c r="AJ57" i="23"/>
  <c r="AB57" i="23"/>
  <c r="AC57" i="23" s="1"/>
  <c r="AI53" i="38"/>
  <c r="AJ53" i="38" s="1"/>
  <c r="AQ53" i="38"/>
  <c r="AC61" i="28"/>
  <c r="U61" i="28"/>
  <c r="AQ61" i="29"/>
  <c r="AI61" i="29"/>
  <c r="N59" i="29"/>
  <c r="H56" i="35"/>
  <c r="O51" i="18"/>
  <c r="AQ59" i="16"/>
  <c r="AI59" i="16"/>
  <c r="AJ59" i="16" s="1"/>
  <c r="O54" i="37"/>
  <c r="H56" i="37"/>
  <c r="N55" i="37"/>
  <c r="O55" i="37" s="1"/>
  <c r="AG52" i="16"/>
  <c r="AP59" i="26"/>
  <c r="N59" i="40"/>
  <c r="V51" i="22"/>
  <c r="N51" i="22"/>
  <c r="O51" i="22" s="1"/>
  <c r="Z52" i="18"/>
  <c r="O53" i="22"/>
  <c r="U59" i="14"/>
  <c r="V59" i="14" s="1"/>
  <c r="AC59" i="14"/>
  <c r="S54" i="28"/>
  <c r="AB54" i="28" s="1"/>
  <c r="AG54" i="18"/>
  <c r="AB60" i="41"/>
  <c r="AJ60" i="41"/>
  <c r="V61" i="31"/>
  <c r="N61" i="31"/>
  <c r="U57" i="20"/>
  <c r="V57" i="20" s="1"/>
  <c r="U59" i="15"/>
  <c r="V59" i="15" s="1"/>
  <c r="N55" i="35"/>
  <c r="V55" i="35"/>
  <c r="AB59" i="39"/>
  <c r="U53" i="36"/>
  <c r="AC53" i="36"/>
  <c r="S60" i="25"/>
  <c r="S59" i="25"/>
  <c r="U58" i="25"/>
  <c r="V58" i="25" s="1"/>
  <c r="S61" i="25"/>
  <c r="AC58" i="25"/>
  <c r="AI53" i="18"/>
  <c r="AJ53" i="18" s="1"/>
  <c r="U59" i="23"/>
  <c r="V59" i="23" s="1"/>
  <c r="AC59" i="23"/>
  <c r="AN60" i="12"/>
  <c r="AP58" i="12"/>
  <c r="AI58" i="23"/>
  <c r="AG60" i="23"/>
  <c r="AQ61" i="32"/>
  <c r="AI61" i="32"/>
  <c r="AI59" i="20"/>
  <c r="V57" i="15"/>
  <c r="N57" i="15"/>
  <c r="O57" i="15" s="1"/>
  <c r="AI53" i="29"/>
  <c r="AJ53" i="29" s="1"/>
  <c r="AQ53" i="29"/>
  <c r="H56" i="32"/>
  <c r="N57" i="12"/>
  <c r="O57" i="12" s="1"/>
  <c r="S60" i="30"/>
  <c r="V53" i="11"/>
  <c r="N53" i="11"/>
  <c r="O53" i="11" s="1"/>
  <c r="N55" i="29"/>
  <c r="V55" i="29"/>
  <c r="O53" i="30"/>
  <c r="AB54" i="41"/>
  <c r="AC54" i="41" s="1"/>
  <c r="Z56" i="41"/>
  <c r="AI57" i="11"/>
  <c r="AJ57" i="11" s="1"/>
  <c r="AQ57" i="11"/>
  <c r="U59" i="27"/>
  <c r="AC59" i="27"/>
  <c r="AI53" i="34"/>
  <c r="AJ53" i="34" s="1"/>
  <c r="AQ53" i="34"/>
  <c r="AN54" i="33"/>
  <c r="O61" i="41"/>
  <c r="O59" i="40"/>
  <c r="S54" i="24"/>
  <c r="U52" i="24"/>
  <c r="AC52" i="24"/>
  <c r="U53" i="19"/>
  <c r="V53" i="19" s="1"/>
  <c r="AB53" i="28"/>
  <c r="AC53" i="28" s="1"/>
  <c r="AJ53" i="28"/>
  <c r="AB60" i="32"/>
  <c r="AC60" i="32" s="1"/>
  <c r="Z62" i="32"/>
  <c r="AP53" i="11"/>
  <c r="AP58" i="15"/>
  <c r="AN60" i="15"/>
  <c r="AI55" i="26"/>
  <c r="AQ55" i="26"/>
  <c r="U51" i="17"/>
  <c r="V51" i="17" s="1"/>
  <c r="N61" i="30"/>
  <c r="V61" i="30"/>
  <c r="AQ55" i="25"/>
  <c r="AI55" i="25"/>
  <c r="AC61" i="31"/>
  <c r="U61" i="31"/>
  <c r="AI59" i="17"/>
  <c r="AJ59" i="17" s="1"/>
  <c r="AC55" i="26"/>
  <c r="U55" i="26"/>
  <c r="N57" i="16"/>
  <c r="O57" i="16" s="1"/>
  <c r="AJ52" i="37"/>
  <c r="F43" i="1" s="1"/>
  <c r="AI60" i="35"/>
  <c r="AJ60" i="35" s="1"/>
  <c r="AG62" i="35"/>
  <c r="AC57" i="16"/>
  <c r="U57" i="16"/>
  <c r="V57" i="16" s="1"/>
  <c r="AC60" i="41"/>
  <c r="S62" i="41"/>
  <c r="AP54" i="34"/>
  <c r="AQ54" i="34" s="1"/>
  <c r="AN56" i="34"/>
  <c r="AP56" i="34" s="1"/>
  <c r="I34" i="3" s="1"/>
  <c r="AN60" i="38"/>
  <c r="V60" i="36"/>
  <c r="L62" i="36"/>
  <c r="N60" i="36"/>
  <c r="U53" i="16"/>
  <c r="V53" i="16" s="1"/>
  <c r="AC59" i="36"/>
  <c r="U59" i="36"/>
  <c r="V59" i="36" s="1"/>
  <c r="V59" i="33"/>
  <c r="N59" i="33"/>
  <c r="O59" i="33" s="1"/>
  <c r="O59" i="39"/>
  <c r="AJ55" i="33"/>
  <c r="AB55" i="33"/>
  <c r="O53" i="24"/>
  <c r="H62" i="33"/>
  <c r="O60" i="33"/>
  <c r="H60" i="19"/>
  <c r="N53" i="40"/>
  <c r="O53" i="40" s="1"/>
  <c r="V53" i="40"/>
  <c r="N53" i="13"/>
  <c r="O53" i="13" s="1"/>
  <c r="V53" i="13"/>
  <c r="AP55" i="36"/>
  <c r="AB53" i="39"/>
  <c r="AC53" i="39" s="1"/>
  <c r="AB53" i="15"/>
  <c r="G9" i="3" s="1"/>
  <c r="AP59" i="32"/>
  <c r="AQ59" i="32" s="1"/>
  <c r="AC61" i="33"/>
  <c r="U61" i="33"/>
  <c r="V53" i="28"/>
  <c r="N53" i="28"/>
  <c r="O53" i="28" s="1"/>
  <c r="AI59" i="38"/>
  <c r="AJ59" i="38" s="1"/>
  <c r="AQ59" i="38"/>
  <c r="AB59" i="18"/>
  <c r="AJ59" i="18"/>
  <c r="O51" i="19"/>
  <c r="AI54" i="38"/>
  <c r="AJ54" i="38" s="1"/>
  <c r="AG56" i="38"/>
  <c r="AP59" i="31"/>
  <c r="U53" i="10"/>
  <c r="V53" i="10" s="1"/>
  <c r="AC53" i="10"/>
  <c r="AI53" i="14"/>
  <c r="AJ53" i="14" s="1"/>
  <c r="AQ53" i="14"/>
  <c r="O53" i="35"/>
  <c r="V59" i="24"/>
  <c r="N59" i="24"/>
  <c r="O59" i="24" s="1"/>
  <c r="N61" i="26"/>
  <c r="V61" i="26"/>
  <c r="AB59" i="14"/>
  <c r="AJ59" i="14"/>
  <c r="AI57" i="18"/>
  <c r="AQ57" i="18"/>
  <c r="AQ61" i="40"/>
  <c r="AI61" i="40"/>
  <c r="AI59" i="28"/>
  <c r="AJ59" i="28" s="1"/>
  <c r="AQ59" i="28"/>
  <c r="H52" i="16"/>
  <c r="N52" i="16" s="1"/>
  <c r="U57" i="18"/>
  <c r="V57" i="18" s="1"/>
  <c r="V51" i="14"/>
  <c r="N51" i="14"/>
  <c r="AC57" i="22"/>
  <c r="U57" i="22"/>
  <c r="AN60" i="26"/>
  <c r="N61" i="40"/>
  <c r="V61" i="40"/>
  <c r="AP55" i="31"/>
  <c r="V57" i="13"/>
  <c r="N57" i="13"/>
  <c r="N57" i="14"/>
  <c r="O57" i="14" s="1"/>
  <c r="V57" i="14"/>
  <c r="AP61" i="27"/>
  <c r="O59" i="37"/>
  <c r="AI57" i="22"/>
  <c r="AJ57" i="22" s="1"/>
  <c r="AQ57" i="22"/>
  <c r="AB55" i="32"/>
  <c r="AJ55" i="32"/>
  <c r="AI57" i="19"/>
  <c r="AJ57" i="19" s="1"/>
  <c r="AQ57" i="19"/>
  <c r="N53" i="9"/>
  <c r="O53" i="9" s="1"/>
  <c r="V53" i="9"/>
  <c r="AG54" i="15"/>
  <c r="AI52" i="15"/>
  <c r="AJ52" i="15" s="1"/>
  <c r="AP54" i="25"/>
  <c r="AQ54" i="25" s="1"/>
  <c r="AN56" i="25"/>
  <c r="AP56" i="25" s="1"/>
  <c r="N53" i="27"/>
  <c r="O53" i="27" s="1"/>
  <c r="V53" i="27"/>
  <c r="O59" i="38"/>
  <c r="AB51" i="11"/>
  <c r="AC51" i="11" s="1"/>
  <c r="AJ51" i="11"/>
  <c r="AB61" i="27"/>
  <c r="AJ61" i="27"/>
  <c r="H62" i="30"/>
  <c r="O60" i="30"/>
  <c r="U61" i="30"/>
  <c r="AC61" i="30"/>
  <c r="N51" i="11"/>
  <c r="O51" i="11" s="1"/>
  <c r="U61" i="34"/>
  <c r="AC61" i="34"/>
  <c r="U53" i="31"/>
  <c r="V53" i="31" s="1"/>
  <c r="AB51" i="20"/>
  <c r="AJ51" i="20"/>
  <c r="U53" i="29"/>
  <c r="O54" i="30"/>
  <c r="H56" i="30"/>
  <c r="V53" i="12"/>
  <c r="N53" i="12"/>
  <c r="O53" i="12" s="1"/>
  <c r="AG60" i="11"/>
  <c r="AI58" i="11"/>
  <c r="AJ58" i="11" s="1"/>
  <c r="AG60" i="12"/>
  <c r="AI58" i="12"/>
  <c r="AQ58" i="12"/>
  <c r="AB60" i="38"/>
  <c r="AC60" i="38" s="1"/>
  <c r="Z62" i="38"/>
  <c r="AJ60" i="38"/>
  <c r="AI55" i="34"/>
  <c r="AQ55" i="34"/>
  <c r="AI53" i="13"/>
  <c r="AJ53" i="13" s="1"/>
  <c r="O54" i="38"/>
  <c r="H56" i="38"/>
  <c r="H62" i="41"/>
  <c r="AQ51" i="10"/>
  <c r="AI51" i="10"/>
  <c r="AJ51" i="10" s="1"/>
  <c r="U51" i="19"/>
  <c r="V51" i="19" s="1"/>
  <c r="AP53" i="30"/>
  <c r="AP51" i="11"/>
  <c r="AQ51" i="11" s="1"/>
  <c r="AI53" i="19"/>
  <c r="AJ53" i="19" s="1"/>
  <c r="AQ53" i="19"/>
  <c r="S54" i="17"/>
  <c r="U52" i="17"/>
  <c r="V52" i="17" s="1"/>
  <c r="AC59" i="35"/>
  <c r="U59" i="35"/>
  <c r="AI52" i="25"/>
  <c r="AJ52" i="25" s="1"/>
  <c r="U53" i="26"/>
  <c r="AC53" i="26"/>
  <c r="AC50" i="20"/>
  <c r="E19" i="1" s="1"/>
  <c r="E74" i="1" s="1"/>
  <c r="AB53" i="37"/>
  <c r="AC53" i="37" s="1"/>
  <c r="AJ53" i="37"/>
  <c r="N59" i="28"/>
  <c r="O59" i="28" s="1"/>
  <c r="AP55" i="34"/>
  <c r="AI61" i="25"/>
  <c r="AQ61" i="25"/>
  <c r="N53" i="38"/>
  <c r="O53" i="38" s="1"/>
  <c r="O53" i="26"/>
  <c r="AG56" i="39"/>
  <c r="AQ54" i="39"/>
  <c r="AI54" i="39"/>
  <c r="AJ54" i="39" s="1"/>
  <c r="AP58" i="13"/>
  <c r="AQ58" i="13" s="1"/>
  <c r="AN60" i="13"/>
  <c r="AP60" i="13" s="1"/>
  <c r="E69" i="1"/>
  <c r="E93" i="1"/>
  <c r="AB60" i="34"/>
  <c r="Z62" i="34"/>
  <c r="O60" i="36"/>
  <c r="H62" i="36"/>
  <c r="V61" i="36"/>
  <c r="N61" i="36"/>
  <c r="AC61" i="40"/>
  <c r="U61" i="40"/>
  <c r="V61" i="33"/>
  <c r="N61" i="33"/>
  <c r="V59" i="19"/>
  <c r="N59" i="19"/>
  <c r="U53" i="37"/>
  <c r="AJ53" i="23"/>
  <c r="AB53" i="23"/>
  <c r="AC53" i="23" s="1"/>
  <c r="N53" i="31"/>
  <c r="AP57" i="20"/>
  <c r="AQ57" i="20" s="1"/>
  <c r="AP53" i="36"/>
  <c r="AB51" i="19"/>
  <c r="AC51" i="19" s="1"/>
  <c r="Z56" i="39"/>
  <c r="F69" i="1"/>
  <c r="F93" i="1"/>
  <c r="AP61" i="32"/>
  <c r="U53" i="40"/>
  <c r="AC53" i="40"/>
  <c r="AC59" i="33"/>
  <c r="U59" i="33"/>
  <c r="U53" i="38"/>
  <c r="V53" i="38" s="1"/>
  <c r="AP59" i="39"/>
  <c r="AQ59" i="39" s="1"/>
  <c r="AB59" i="12"/>
  <c r="AC59" i="12" s="1"/>
  <c r="N53" i="33"/>
  <c r="O53" i="33" s="1"/>
  <c r="Z60" i="23"/>
  <c r="AB58" i="23"/>
  <c r="AJ58" i="23"/>
  <c r="AI55" i="38"/>
  <c r="AQ55" i="38"/>
  <c r="AJ51" i="12"/>
  <c r="AB51" i="12"/>
  <c r="AB53" i="9"/>
  <c r="AC53" i="9" s="1"/>
  <c r="V57" i="24"/>
  <c r="N57" i="24"/>
  <c r="O57" i="24" s="1"/>
  <c r="AQ57" i="16"/>
  <c r="AI57" i="16"/>
  <c r="AJ57" i="16" s="1"/>
  <c r="AJ58" i="14"/>
  <c r="Z60" i="14"/>
  <c r="AB58" i="14"/>
  <c r="N53" i="37"/>
  <c r="O53" i="37" s="1"/>
  <c r="V53" i="37"/>
  <c r="N52" i="14"/>
  <c r="V52" i="14"/>
  <c r="L54" i="14"/>
  <c r="AI53" i="16"/>
  <c r="AJ53" i="16" s="1"/>
  <c r="AQ53" i="16"/>
  <c r="U53" i="33"/>
  <c r="V53" i="33" s="1"/>
  <c r="N57" i="17"/>
  <c r="O57" i="17" s="1"/>
  <c r="V57" i="17"/>
  <c r="AB59" i="17"/>
  <c r="AP61" i="26"/>
  <c r="U59" i="12"/>
  <c r="V59" i="12" s="1"/>
  <c r="AN56" i="31"/>
  <c r="AP54" i="31"/>
  <c r="AN54" i="19"/>
  <c r="N58" i="13"/>
  <c r="O58" i="13" s="1"/>
  <c r="L60" i="13"/>
  <c r="L60" i="14"/>
  <c r="N58" i="14"/>
  <c r="O58" i="14" s="1"/>
  <c r="AC51" i="21"/>
  <c r="U51" i="21"/>
  <c r="U58" i="14"/>
  <c r="V58" i="14" s="1"/>
  <c r="AC58" i="14"/>
  <c r="S60" i="14"/>
  <c r="AG60" i="22"/>
  <c r="AI58" i="22"/>
  <c r="AQ58" i="22"/>
  <c r="AJ52" i="32"/>
  <c r="N57" i="22"/>
  <c r="O57" i="22" s="1"/>
  <c r="V57" i="22"/>
  <c r="L54" i="21"/>
  <c r="N52" i="21"/>
  <c r="AG56" i="35"/>
  <c r="AI54" i="35"/>
  <c r="AJ59" i="30"/>
  <c r="AB59" i="30"/>
  <c r="AC59" i="30" s="1"/>
  <c r="AP52" i="17"/>
  <c r="AN54" i="17"/>
  <c r="O51" i="20"/>
  <c r="V55" i="27"/>
  <c r="N55" i="27"/>
  <c r="AQ61" i="27"/>
  <c r="AI61" i="27"/>
  <c r="H60" i="38"/>
  <c r="N60" i="38" s="1"/>
  <c r="AB53" i="11"/>
  <c r="AC53" i="11" s="1"/>
  <c r="AJ53" i="11"/>
  <c r="L52" i="11"/>
  <c r="H52" i="11"/>
  <c r="AC59" i="26"/>
  <c r="U59" i="26"/>
  <c r="V59" i="26" s="1"/>
  <c r="AG54" i="36"/>
  <c r="AB57" i="11"/>
  <c r="AC57" i="11" s="1"/>
  <c r="L62" i="35"/>
  <c r="N60" i="35"/>
  <c r="V60" i="35"/>
  <c r="V51" i="12"/>
  <c r="N51" i="12"/>
  <c r="AN56" i="37"/>
  <c r="AP56" i="37" s="1"/>
  <c r="AP54" i="37"/>
  <c r="AQ54" i="37" s="1"/>
  <c r="U53" i="23"/>
  <c r="U61" i="27"/>
  <c r="AC61" i="27"/>
  <c r="AB55" i="31"/>
  <c r="AJ55" i="31"/>
  <c r="AC53" i="27"/>
  <c r="U53" i="27"/>
  <c r="AN60" i="37"/>
  <c r="AQ53" i="11"/>
  <c r="AI53" i="11"/>
  <c r="AN54" i="30"/>
  <c r="N54" i="39"/>
  <c r="L56" i="39"/>
  <c r="AN52" i="11"/>
  <c r="AI51" i="19"/>
  <c r="AJ51" i="19" s="1"/>
  <c r="S58" i="20"/>
  <c r="AC53" i="17"/>
  <c r="U53" i="17"/>
  <c r="V53" i="17" s="1"/>
  <c r="AN54" i="24"/>
  <c r="AP54" i="24" s="1"/>
  <c r="AP52" i="24"/>
  <c r="AQ52" i="24" s="1"/>
  <c r="N59" i="30"/>
  <c r="V59" i="30"/>
  <c r="O54" i="40"/>
  <c r="H56" i="40"/>
  <c r="AQ57" i="10"/>
  <c r="AI57" i="10"/>
  <c r="AJ57" i="10" s="1"/>
  <c r="U60" i="31"/>
  <c r="V60" i="31" s="1"/>
  <c r="S62" i="31"/>
  <c r="AC52" i="26"/>
  <c r="E25" i="1" s="1"/>
  <c r="U53" i="20"/>
  <c r="V53" i="20" s="1"/>
  <c r="AC53" i="20"/>
  <c r="AB59" i="16"/>
  <c r="AC59" i="16" s="1"/>
  <c r="Z54" i="37"/>
  <c r="H52" i="13"/>
  <c r="N53" i="35"/>
  <c r="V53" i="35"/>
  <c r="N53" i="19"/>
  <c r="O53" i="19" s="1"/>
  <c r="AG62" i="25"/>
  <c r="H54" i="26"/>
  <c r="H58" i="22"/>
  <c r="N58" i="22" s="1"/>
  <c r="O52" i="21"/>
  <c r="H54" i="21"/>
  <c r="AP61" i="35"/>
  <c r="U60" i="40"/>
  <c r="V60" i="40" s="1"/>
  <c r="S62" i="40"/>
  <c r="U60" i="36"/>
  <c r="S62" i="36"/>
  <c r="AC60" i="36"/>
  <c r="V57" i="19"/>
  <c r="N57" i="19"/>
  <c r="O57" i="19" s="1"/>
  <c r="AQ55" i="33"/>
  <c r="AI55" i="33"/>
  <c r="H52" i="24"/>
  <c r="O51" i="14"/>
  <c r="V52" i="31"/>
  <c r="D31" i="1" s="1"/>
  <c r="L56" i="40"/>
  <c r="N54" i="40"/>
  <c r="V54" i="40"/>
  <c r="N51" i="13"/>
  <c r="O51" i="13" s="1"/>
  <c r="V51" i="13"/>
  <c r="AN54" i="36"/>
  <c r="AB53" i="19"/>
  <c r="AC53" i="19" s="1"/>
  <c r="AC59" i="13"/>
  <c r="U59" i="13"/>
  <c r="V59" i="13" s="1"/>
  <c r="AN52" i="16"/>
  <c r="AQ59" i="21"/>
  <c r="AI59" i="21"/>
  <c r="AJ59" i="21" s="1"/>
  <c r="AB57" i="18"/>
  <c r="AC57" i="18" s="1"/>
  <c r="AJ57" i="18"/>
  <c r="U51" i="13"/>
  <c r="AC51" i="13"/>
  <c r="V51" i="24"/>
  <c r="N51" i="24"/>
  <c r="O51" i="24" s="1"/>
  <c r="AN58" i="16"/>
  <c r="S54" i="36"/>
  <c r="N55" i="33"/>
  <c r="V55" i="33"/>
  <c r="AP61" i="31"/>
  <c r="AJ53" i="12"/>
  <c r="AB53" i="12"/>
  <c r="AC53" i="12" s="1"/>
  <c r="AG60" i="29"/>
  <c r="AI51" i="14"/>
  <c r="AJ51" i="14" s="1"/>
  <c r="AQ51" i="14"/>
  <c r="V55" i="36"/>
  <c r="N55" i="36"/>
  <c r="AP53" i="32"/>
  <c r="AQ53" i="32" s="1"/>
  <c r="AG58" i="16"/>
  <c r="AP53" i="39"/>
  <c r="V52" i="37"/>
  <c r="D43" i="1" s="1"/>
  <c r="V52" i="34"/>
  <c r="D37" i="1" s="1"/>
  <c r="S58" i="18"/>
  <c r="N53" i="14"/>
  <c r="O53" i="14" s="1"/>
  <c r="V53" i="14"/>
  <c r="V55" i="41"/>
  <c r="N55" i="41"/>
  <c r="O55" i="41" s="1"/>
  <c r="S54" i="33"/>
  <c r="AJ57" i="17"/>
  <c r="AB57" i="17"/>
  <c r="AC57" i="17" s="1"/>
  <c r="AP53" i="31"/>
  <c r="AQ53" i="31" s="1"/>
  <c r="AP53" i="19"/>
  <c r="AP53" i="20"/>
  <c r="AQ53" i="20" s="1"/>
  <c r="H52" i="22"/>
  <c r="U53" i="21"/>
  <c r="V53" i="21" s="1"/>
  <c r="AC53" i="21"/>
  <c r="AJ53" i="32"/>
  <c r="AB53" i="32"/>
  <c r="AC53" i="32" s="1"/>
  <c r="H54" i="20"/>
  <c r="AG62" i="32"/>
  <c r="AI60" i="32"/>
  <c r="AJ60" i="32" s="1"/>
  <c r="AQ60" i="32"/>
  <c r="L62" i="34"/>
  <c r="V60" i="34"/>
  <c r="V55" i="34"/>
  <c r="N55" i="34"/>
  <c r="AC57" i="12"/>
  <c r="U57" i="12"/>
  <c r="V57" i="12" s="1"/>
  <c r="N55" i="26"/>
  <c r="V55" i="26"/>
  <c r="AJ55" i="27"/>
  <c r="AB55" i="27"/>
  <c r="AJ61" i="26"/>
  <c r="AB61" i="26"/>
  <c r="AG62" i="27"/>
  <c r="AI60" i="27"/>
  <c r="AQ60" i="27"/>
  <c r="N58" i="15"/>
  <c r="O58" i="15" s="1"/>
  <c r="L60" i="15"/>
  <c r="V58" i="15"/>
  <c r="O59" i="11"/>
  <c r="AI57" i="20"/>
  <c r="AJ57" i="20" s="1"/>
  <c r="AN60" i="33"/>
  <c r="O53" i="20"/>
  <c r="AN62" i="28"/>
  <c r="AP62" i="28" s="1"/>
  <c r="AP60" i="28"/>
  <c r="AQ60" i="28" s="1"/>
  <c r="AB60" i="27"/>
  <c r="AC60" i="27" s="1"/>
  <c r="AJ60" i="27"/>
  <c r="Z62" i="27"/>
  <c r="AJ59" i="41"/>
  <c r="AB59" i="41"/>
  <c r="AC59" i="41" s="1"/>
  <c r="O54" i="29"/>
  <c r="H56" i="29"/>
  <c r="AG60" i="34"/>
  <c r="AC61" i="26"/>
  <c r="U61" i="26"/>
  <c r="AQ55" i="36"/>
  <c r="AI55" i="36"/>
  <c r="AQ57" i="13"/>
  <c r="AI57" i="13"/>
  <c r="AJ57" i="13" s="1"/>
  <c r="U55" i="29"/>
  <c r="AC55" i="29"/>
  <c r="AN52" i="15"/>
  <c r="AN58" i="23"/>
  <c r="U59" i="17"/>
  <c r="V59" i="17" s="1"/>
  <c r="AC59" i="17"/>
  <c r="AI51" i="13"/>
  <c r="AQ51" i="13"/>
  <c r="AB54" i="31"/>
  <c r="AC54" i="31" s="1"/>
  <c r="Z56" i="31"/>
  <c r="O59" i="41"/>
  <c r="AG52" i="10"/>
  <c r="AC55" i="30"/>
  <c r="U55" i="30"/>
  <c r="AG52" i="11"/>
  <c r="S52" i="19"/>
  <c r="AP55" i="30"/>
  <c r="AB53" i="38"/>
  <c r="AC53" i="38" s="1"/>
  <c r="Z60" i="37"/>
  <c r="H54" i="41"/>
  <c r="AP53" i="18"/>
  <c r="AQ53" i="18" s="1"/>
  <c r="AI58" i="10"/>
  <c r="AJ58" i="10" s="1"/>
  <c r="AQ58" i="10"/>
  <c r="AG60" i="10"/>
  <c r="U53" i="39"/>
  <c r="V53" i="39" s="1"/>
  <c r="AI53" i="25"/>
  <c r="AQ53" i="25"/>
  <c r="V61" i="25"/>
  <c r="N61" i="25"/>
  <c r="AI57" i="17"/>
  <c r="AQ59" i="19"/>
  <c r="AI59" i="19"/>
  <c r="AJ59" i="19" s="1"/>
  <c r="AC52" i="20"/>
  <c r="U52" i="20"/>
  <c r="S54" i="20"/>
  <c r="O51" i="17"/>
  <c r="AB53" i="24"/>
  <c r="AC53" i="24" s="1"/>
  <c r="AJ53" i="24"/>
  <c r="N61" i="28"/>
  <c r="V61" i="28"/>
  <c r="AI53" i="39"/>
  <c r="AJ53" i="39" s="1"/>
  <c r="AQ53" i="39"/>
  <c r="O53" i="21"/>
  <c r="U51" i="15"/>
  <c r="V51" i="15" s="1"/>
  <c r="AC51" i="15"/>
  <c r="AP51" i="9"/>
  <c r="AQ51" i="9" s="1"/>
  <c r="AP53" i="41"/>
  <c r="AQ53" i="41" s="1"/>
  <c r="L54" i="16"/>
  <c r="AI53" i="21"/>
  <c r="AQ53" i="21"/>
  <c r="O59" i="13"/>
  <c r="AC52" i="16"/>
  <c r="U52" i="16"/>
  <c r="V52" i="16" s="1"/>
  <c r="S54" i="16"/>
  <c r="O59" i="12"/>
  <c r="AB54" i="33"/>
  <c r="AJ54" i="33"/>
  <c r="Z56" i="33"/>
  <c r="AG56" i="33"/>
  <c r="AI54" i="33"/>
  <c r="H54" i="14"/>
  <c r="O52" i="14"/>
  <c r="AJ51" i="23"/>
  <c r="AB51" i="23"/>
  <c r="AC51" i="23" s="1"/>
  <c r="H54" i="33"/>
  <c r="AP59" i="20"/>
  <c r="AQ59" i="20" s="1"/>
  <c r="V52" i="13"/>
  <c r="L54" i="13"/>
  <c r="AP53" i="13"/>
  <c r="AQ53" i="13" s="1"/>
  <c r="S58" i="13"/>
  <c r="AB51" i="15"/>
  <c r="AJ51" i="15"/>
  <c r="AG58" i="21"/>
  <c r="AQ55" i="35"/>
  <c r="AI55" i="35"/>
  <c r="O51" i="12"/>
  <c r="N54" i="28"/>
  <c r="O54" i="28" s="1"/>
  <c r="L56" i="28"/>
  <c r="AC59" i="37"/>
  <c r="U59" i="37"/>
  <c r="V59" i="37" s="1"/>
  <c r="U59" i="21"/>
  <c r="V59" i="21" s="1"/>
  <c r="AC59" i="21"/>
  <c r="S54" i="13"/>
  <c r="AC52" i="13"/>
  <c r="U52" i="13"/>
  <c r="V52" i="24"/>
  <c r="L54" i="24"/>
  <c r="N52" i="24"/>
  <c r="AJ57" i="15"/>
  <c r="AB57" i="15"/>
  <c r="AC57" i="15" s="1"/>
  <c r="AC55" i="36"/>
  <c r="U55" i="36"/>
  <c r="AJ57" i="12"/>
  <c r="AB57" i="12"/>
  <c r="L54" i="33"/>
  <c r="H54" i="39"/>
  <c r="AP59" i="14"/>
  <c r="AQ59" i="14" s="1"/>
  <c r="AP60" i="31"/>
  <c r="AN62" i="31"/>
  <c r="Z52" i="12"/>
  <c r="O59" i="31"/>
  <c r="U51" i="10"/>
  <c r="V51" i="10" s="1"/>
  <c r="AC51" i="10"/>
  <c r="L58" i="24"/>
  <c r="N53" i="36"/>
  <c r="O53" i="36" s="1"/>
  <c r="V53" i="36"/>
  <c r="AQ59" i="41"/>
  <c r="AI59" i="41"/>
  <c r="AJ51" i="17"/>
  <c r="AB51" i="17"/>
  <c r="AC51" i="17" s="1"/>
  <c r="V53" i="34"/>
  <c r="N53" i="34"/>
  <c r="O53" i="34" s="1"/>
  <c r="AP57" i="19"/>
  <c r="N53" i="41"/>
  <c r="O53" i="41" s="1"/>
  <c r="V53" i="41"/>
  <c r="AC55" i="33"/>
  <c r="U55" i="33"/>
  <c r="AB53" i="21"/>
  <c r="AJ53" i="21"/>
  <c r="N61" i="37"/>
  <c r="O61" i="37" s="1"/>
  <c r="S58" i="12"/>
  <c r="V61" i="27"/>
  <c r="N61" i="27"/>
  <c r="O60" i="32"/>
  <c r="H62" i="32"/>
  <c r="N53" i="18"/>
  <c r="O53" i="18" s="1"/>
  <c r="V53" i="18"/>
  <c r="AP59" i="27"/>
  <c r="AP51" i="20"/>
  <c r="AQ51" i="20" s="1"/>
  <c r="AP53" i="23"/>
  <c r="AQ53" i="23" s="1"/>
  <c r="U57" i="14"/>
  <c r="N53" i="23"/>
  <c r="O53" i="23" s="1"/>
  <c r="V53" i="23"/>
  <c r="Z54" i="32"/>
  <c r="H56" i="28"/>
  <c r="O60" i="35"/>
  <c r="H62" i="35"/>
  <c r="AI59" i="31"/>
  <c r="AJ59" i="31" s="1"/>
  <c r="AQ59" i="31"/>
  <c r="AI60" i="41"/>
  <c r="AC52" i="21"/>
  <c r="U52" i="21"/>
  <c r="V52" i="21" s="1"/>
  <c r="S54" i="21"/>
  <c r="AC60" i="39"/>
  <c r="S62" i="39"/>
  <c r="O57" i="11"/>
  <c r="AG60" i="20"/>
  <c r="AI58" i="20"/>
  <c r="AJ55" i="29"/>
  <c r="AB55" i="29"/>
  <c r="U53" i="22"/>
  <c r="V53" i="22" s="1"/>
  <c r="AC53" i="22"/>
  <c r="O51" i="15"/>
  <c r="AN54" i="27"/>
  <c r="O59" i="30"/>
  <c r="O53" i="29"/>
  <c r="AB55" i="26"/>
  <c r="AJ55" i="26"/>
  <c r="AQ61" i="34"/>
  <c r="AI61" i="34"/>
  <c r="S60" i="26"/>
  <c r="O53" i="10"/>
  <c r="N59" i="35"/>
  <c r="O59" i="35" s="1"/>
  <c r="V59" i="35"/>
  <c r="O53" i="31"/>
  <c r="U51" i="23"/>
  <c r="V51" i="23" s="1"/>
  <c r="AJ59" i="10"/>
  <c r="AB59" i="10"/>
  <c r="AC59" i="10" s="1"/>
  <c r="AN52" i="21"/>
  <c r="AG52" i="13"/>
  <c r="AB53" i="31"/>
  <c r="AC53" i="31" s="1"/>
  <c r="AB61" i="35"/>
  <c r="AJ61" i="35"/>
  <c r="U55" i="27"/>
  <c r="AC55" i="27"/>
  <c r="Z60" i="33"/>
  <c r="AC53" i="34"/>
  <c r="U53" i="34"/>
  <c r="V59" i="31"/>
  <c r="N59" i="31"/>
  <c r="U59" i="19"/>
  <c r="AC59" i="19"/>
  <c r="N53" i="39"/>
  <c r="O53" i="39" s="1"/>
  <c r="AG52" i="19"/>
  <c r="AP52" i="19" s="1"/>
  <c r="U59" i="20"/>
  <c r="V59" i="20" s="1"/>
  <c r="AC59" i="20"/>
  <c r="AN52" i="18"/>
  <c r="V59" i="38"/>
  <c r="N59" i="38"/>
  <c r="S54" i="39"/>
  <c r="AB54" i="39" s="1"/>
  <c r="N59" i="25"/>
  <c r="O59" i="25" s="1"/>
  <c r="AG58" i="19"/>
  <c r="AP58" i="19" s="1"/>
  <c r="AC51" i="20"/>
  <c r="U51" i="20"/>
  <c r="V51" i="20" s="1"/>
  <c r="O53" i="17"/>
  <c r="Z54" i="40"/>
  <c r="L54" i="35"/>
  <c r="L52" i="19"/>
  <c r="O59" i="14"/>
  <c r="L60" i="39"/>
  <c r="N55" i="38"/>
  <c r="V55" i="38"/>
  <c r="U53" i="14"/>
  <c r="AQ55" i="39"/>
  <c r="AI55" i="39"/>
  <c r="O51" i="21"/>
  <c r="AN52" i="9"/>
  <c r="N51" i="16"/>
  <c r="O51" i="16" s="1"/>
  <c r="V51" i="16"/>
  <c r="AG52" i="21"/>
  <c r="O57" i="13"/>
  <c r="AC51" i="16"/>
  <c r="U51" i="16"/>
  <c r="AI53" i="9"/>
  <c r="AJ53" i="9" s="1"/>
  <c r="AQ53" i="9"/>
  <c r="U59" i="11"/>
  <c r="V59" i="11" s="1"/>
  <c r="AC59" i="11"/>
  <c r="AI53" i="33"/>
  <c r="AJ53" i="33" s="1"/>
  <c r="AQ53" i="33"/>
  <c r="AB51" i="13"/>
  <c r="AJ51" i="13"/>
  <c r="Z52" i="23"/>
  <c r="AN58" i="20"/>
  <c r="H60" i="34"/>
  <c r="N60" i="34" s="1"/>
  <c r="U61" i="32"/>
  <c r="AC61" i="32"/>
  <c r="AC61" i="38"/>
  <c r="U61" i="38"/>
  <c r="Z58" i="18"/>
  <c r="O52" i="39"/>
  <c r="C49" i="1" s="1"/>
  <c r="AN58" i="14"/>
  <c r="O59" i="9"/>
  <c r="AG60" i="31"/>
  <c r="AG52" i="14"/>
  <c r="AB51" i="9"/>
  <c r="AC51" i="9" s="1"/>
  <c r="AJ51" i="9"/>
  <c r="O59" i="16"/>
  <c r="L54" i="36"/>
  <c r="AP55" i="32"/>
  <c r="L60" i="41"/>
  <c r="U60" i="41" s="1"/>
  <c r="AJ57" i="14"/>
  <c r="AB57" i="14"/>
  <c r="AC57" i="14" s="1"/>
  <c r="Z52" i="17"/>
  <c r="AI59" i="40"/>
  <c r="AJ59" i="40" s="1"/>
  <c r="AQ59" i="40"/>
  <c r="AP54" i="39"/>
  <c r="AN56" i="39"/>
  <c r="Z54" i="36"/>
  <c r="L54" i="34"/>
  <c r="U54" i="34" s="1"/>
  <c r="AP59" i="19"/>
  <c r="N59" i="18"/>
  <c r="O59" i="18" s="1"/>
  <c r="V59" i="18"/>
  <c r="AN54" i="29"/>
  <c r="AP51" i="19"/>
  <c r="AQ51" i="19" s="1"/>
  <c r="O59" i="32"/>
  <c r="L52" i="18"/>
  <c r="AQ61" i="30"/>
  <c r="AI61" i="30"/>
  <c r="AB53" i="14"/>
  <c r="AC53" i="14" s="1"/>
  <c r="AQ53" i="15"/>
  <c r="I10" i="3" s="1"/>
  <c r="AI53" i="15"/>
  <c r="H9" i="3" s="1"/>
  <c r="L52" i="23"/>
  <c r="AI59" i="23"/>
  <c r="AJ59" i="23" s="1"/>
  <c r="U58" i="12" l="1"/>
  <c r="V58" i="12" s="1"/>
  <c r="S60" i="12"/>
  <c r="Z54" i="17"/>
  <c r="AB52" i="17"/>
  <c r="AC52" i="17" s="1"/>
  <c r="AN60" i="14"/>
  <c r="AP60" i="14" s="1"/>
  <c r="AP58" i="14"/>
  <c r="AQ58" i="14" s="1"/>
  <c r="AN54" i="9"/>
  <c r="AP54" i="9" s="1"/>
  <c r="AP52" i="9"/>
  <c r="AQ52" i="9" s="1"/>
  <c r="L56" i="35"/>
  <c r="N54" i="35"/>
  <c r="O54" i="35" s="1"/>
  <c r="U54" i="21"/>
  <c r="Z56" i="32"/>
  <c r="AB54" i="32"/>
  <c r="AC54" i="32" s="1"/>
  <c r="Z54" i="12"/>
  <c r="AB52" i="12"/>
  <c r="AC52" i="12" s="1"/>
  <c r="AI60" i="10"/>
  <c r="O54" i="26"/>
  <c r="H56" i="26"/>
  <c r="L54" i="11"/>
  <c r="N52" i="11"/>
  <c r="AB60" i="23"/>
  <c r="AI60" i="11"/>
  <c r="U62" i="41"/>
  <c r="U60" i="30"/>
  <c r="V60" i="30" s="1"/>
  <c r="S62" i="30"/>
  <c r="AB60" i="28"/>
  <c r="Z62" i="28"/>
  <c r="AN60" i="24"/>
  <c r="AP60" i="24" s="1"/>
  <c r="AP58" i="24"/>
  <c r="AQ58" i="24" s="1"/>
  <c r="AB56" i="34"/>
  <c r="G34" i="3" s="1"/>
  <c r="V54" i="32"/>
  <c r="N54" i="32"/>
  <c r="O54" i="32" s="1"/>
  <c r="L56" i="32"/>
  <c r="AP54" i="38"/>
  <c r="AQ54" i="38" s="1"/>
  <c r="AN56" i="38"/>
  <c r="AP56" i="38" s="1"/>
  <c r="Z60" i="13"/>
  <c r="AB58" i="13"/>
  <c r="N54" i="15"/>
  <c r="O54" i="15" s="1"/>
  <c r="C90" i="1"/>
  <c r="C91" i="1" s="1"/>
  <c r="C92" i="1" s="1"/>
  <c r="V60" i="23"/>
  <c r="N60" i="23"/>
  <c r="G69" i="1"/>
  <c r="G93" i="1"/>
  <c r="U54" i="32"/>
  <c r="AB54" i="16"/>
  <c r="AC54" i="16" s="1"/>
  <c r="AB58" i="12"/>
  <c r="AC58" i="12" s="1"/>
  <c r="U62" i="27"/>
  <c r="N56" i="29"/>
  <c r="AI54" i="20"/>
  <c r="H19" i="3" s="1"/>
  <c r="AQ54" i="20"/>
  <c r="I20" i="3" s="1"/>
  <c r="X20" i="3"/>
  <c r="W20" i="3"/>
  <c r="AJ54" i="40"/>
  <c r="Z56" i="40"/>
  <c r="AB54" i="40"/>
  <c r="AC54" i="40" s="1"/>
  <c r="H56" i="33"/>
  <c r="U54" i="16"/>
  <c r="AG54" i="10"/>
  <c r="AI52" i="10"/>
  <c r="AJ52" i="10" s="1"/>
  <c r="AQ52" i="10"/>
  <c r="AJ62" i="27"/>
  <c r="AB62" i="27"/>
  <c r="AC62" i="27" s="1"/>
  <c r="N60" i="15"/>
  <c r="O60" i="15" s="1"/>
  <c r="AN56" i="36"/>
  <c r="AP54" i="36"/>
  <c r="U60" i="14"/>
  <c r="AI60" i="23"/>
  <c r="AJ60" i="23" s="1"/>
  <c r="U59" i="25"/>
  <c r="V59" i="25" s="1"/>
  <c r="Z54" i="18"/>
  <c r="AB52" i="18"/>
  <c r="AC52" i="18" s="1"/>
  <c r="AP60" i="25"/>
  <c r="AQ60" i="25" s="1"/>
  <c r="AN62" i="25"/>
  <c r="AP62" i="25" s="1"/>
  <c r="H60" i="20"/>
  <c r="U60" i="23"/>
  <c r="AC60" i="23"/>
  <c r="U53" i="25"/>
  <c r="V53" i="25" s="1"/>
  <c r="AN62" i="36"/>
  <c r="AP60" i="36"/>
  <c r="AQ60" i="36" s="1"/>
  <c r="AG56" i="41"/>
  <c r="AI54" i="41"/>
  <c r="AJ54" i="41" s="1"/>
  <c r="AI54" i="40"/>
  <c r="AG56" i="40"/>
  <c r="AQ60" i="24"/>
  <c r="AI60" i="24"/>
  <c r="AJ60" i="24" s="1"/>
  <c r="U56" i="32"/>
  <c r="F29" i="3" s="1"/>
  <c r="U60" i="19"/>
  <c r="U56" i="37"/>
  <c r="AB60" i="12"/>
  <c r="N60" i="10"/>
  <c r="AQ60" i="14"/>
  <c r="AI60" i="14"/>
  <c r="N62" i="33"/>
  <c r="V62" i="33"/>
  <c r="N56" i="27"/>
  <c r="E24" i="3" s="1"/>
  <c r="AB56" i="38"/>
  <c r="AN56" i="29"/>
  <c r="AP56" i="29" s="1"/>
  <c r="AP54" i="29"/>
  <c r="AQ54" i="29" s="1"/>
  <c r="AG54" i="12"/>
  <c r="AI52" i="12"/>
  <c r="AJ52" i="12" s="1"/>
  <c r="AI60" i="33"/>
  <c r="AG62" i="33"/>
  <c r="AQ60" i="33"/>
  <c r="H56" i="36"/>
  <c r="V60" i="19"/>
  <c r="N60" i="19"/>
  <c r="AB58" i="21"/>
  <c r="AC58" i="21" s="1"/>
  <c r="AJ58" i="21"/>
  <c r="Z60" i="21"/>
  <c r="U58" i="24"/>
  <c r="AC58" i="24"/>
  <c r="S60" i="24"/>
  <c r="AB61" i="41"/>
  <c r="AC61" i="41" s="1"/>
  <c r="B90" i="1"/>
  <c r="N62" i="31"/>
  <c r="AC62" i="35"/>
  <c r="U62" i="35"/>
  <c r="AB54" i="24"/>
  <c r="O60" i="16"/>
  <c r="U60" i="16"/>
  <c r="AI60" i="29"/>
  <c r="AQ60" i="29"/>
  <c r="AG62" i="29"/>
  <c r="AB56" i="31"/>
  <c r="U62" i="36"/>
  <c r="AP60" i="26"/>
  <c r="AQ60" i="26" s="1"/>
  <c r="AN62" i="26"/>
  <c r="AP62" i="26" s="1"/>
  <c r="AB60" i="31"/>
  <c r="AC60" i="31" s="1"/>
  <c r="Z62" i="31"/>
  <c r="AP52" i="12"/>
  <c r="AQ52" i="12" s="1"/>
  <c r="AB60" i="17"/>
  <c r="U60" i="10"/>
  <c r="V60" i="10" s="1"/>
  <c r="U60" i="9"/>
  <c r="AL61" i="41"/>
  <c r="AN61" i="41" s="1"/>
  <c r="AG61" i="41"/>
  <c r="AP58" i="21"/>
  <c r="AQ58" i="21" s="1"/>
  <c r="AN60" i="21"/>
  <c r="AP60" i="21" s="1"/>
  <c r="AQ62" i="26"/>
  <c r="AP52" i="13"/>
  <c r="AN54" i="13"/>
  <c r="N62" i="25"/>
  <c r="N62" i="27"/>
  <c r="V62" i="27"/>
  <c r="N60" i="21"/>
  <c r="O60" i="21" s="1"/>
  <c r="N62" i="28"/>
  <c r="N60" i="17"/>
  <c r="O60" i="17" s="1"/>
  <c r="N62" i="30"/>
  <c r="AI62" i="30"/>
  <c r="AQ62" i="30"/>
  <c r="AB58" i="18"/>
  <c r="Z60" i="18"/>
  <c r="V60" i="41"/>
  <c r="N60" i="41"/>
  <c r="O60" i="41" s="1"/>
  <c r="L62" i="41"/>
  <c r="N52" i="23"/>
  <c r="O52" i="23" s="1"/>
  <c r="L54" i="23"/>
  <c r="V52" i="23"/>
  <c r="U60" i="26"/>
  <c r="V60" i="26" s="1"/>
  <c r="S62" i="26"/>
  <c r="H56" i="39"/>
  <c r="O54" i="39"/>
  <c r="AG60" i="21"/>
  <c r="AI58" i="21"/>
  <c r="H56" i="41"/>
  <c r="O53" i="15"/>
  <c r="E10" i="3" s="1"/>
  <c r="S60" i="18"/>
  <c r="AC58" i="18"/>
  <c r="U58" i="18"/>
  <c r="V58" i="18" s="1"/>
  <c r="S60" i="20"/>
  <c r="U58" i="20"/>
  <c r="N54" i="14"/>
  <c r="O60" i="19"/>
  <c r="U54" i="24"/>
  <c r="V54" i="24" s="1"/>
  <c r="AC54" i="24"/>
  <c r="N56" i="38"/>
  <c r="U52" i="23"/>
  <c r="AI62" i="37"/>
  <c r="AB62" i="36"/>
  <c r="AC62" i="36" s="1"/>
  <c r="L54" i="20"/>
  <c r="N52" i="20"/>
  <c r="O52" i="20" s="1"/>
  <c r="V52" i="20"/>
  <c r="AB60" i="19"/>
  <c r="AC60" i="19" s="1"/>
  <c r="AJ60" i="11"/>
  <c r="AB60" i="11"/>
  <c r="AB54" i="11"/>
  <c r="AC54" i="11" s="1"/>
  <c r="U52" i="11"/>
  <c r="V52" i="11" s="1"/>
  <c r="N56" i="37"/>
  <c r="V56" i="37"/>
  <c r="AQ56" i="34"/>
  <c r="I35" i="3" s="1"/>
  <c r="AI56" i="34"/>
  <c r="H34" i="3" s="1"/>
  <c r="AP62" i="39"/>
  <c r="AQ52" i="19"/>
  <c r="AI52" i="19"/>
  <c r="AJ52" i="19" s="1"/>
  <c r="AG54" i="19"/>
  <c r="AN62" i="37"/>
  <c r="AP62" i="37" s="1"/>
  <c r="AQ62" i="37" s="1"/>
  <c r="AP60" i="37"/>
  <c r="AQ60" i="37" s="1"/>
  <c r="U62" i="31"/>
  <c r="V62" i="31" s="1"/>
  <c r="T9" i="3"/>
  <c r="T10" i="3" s="1"/>
  <c r="L56" i="36"/>
  <c r="N54" i="36"/>
  <c r="O54" i="36" s="1"/>
  <c r="AQ58" i="19"/>
  <c r="AG60" i="19"/>
  <c r="AI58" i="19"/>
  <c r="AJ58" i="19" s="1"/>
  <c r="L56" i="33"/>
  <c r="N54" i="33"/>
  <c r="O54" i="33" s="1"/>
  <c r="U54" i="13"/>
  <c r="O54" i="14"/>
  <c r="Z62" i="37"/>
  <c r="AB60" i="37"/>
  <c r="AC60" i="37" s="1"/>
  <c r="AI62" i="27"/>
  <c r="H54" i="22"/>
  <c r="N62" i="35"/>
  <c r="V62" i="35"/>
  <c r="AJ56" i="39"/>
  <c r="AB62" i="34"/>
  <c r="AP60" i="12"/>
  <c r="Z62" i="41"/>
  <c r="L54" i="10"/>
  <c r="N52" i="10"/>
  <c r="O52" i="10" s="1"/>
  <c r="Z62" i="40"/>
  <c r="AB60" i="40"/>
  <c r="AC60" i="40" s="1"/>
  <c r="AJ60" i="40"/>
  <c r="AI54" i="31"/>
  <c r="AJ54" i="31" s="1"/>
  <c r="AG56" i="31"/>
  <c r="AQ54" i="31"/>
  <c r="N60" i="12"/>
  <c r="Z56" i="29"/>
  <c r="AJ54" i="29"/>
  <c r="AB54" i="29"/>
  <c r="AC54" i="29" s="1"/>
  <c r="L60" i="11"/>
  <c r="N58" i="11"/>
  <c r="O58" i="11" s="1"/>
  <c r="V58" i="11"/>
  <c r="AQ55" i="41"/>
  <c r="AI55" i="41"/>
  <c r="AJ55" i="41" s="1"/>
  <c r="AQ54" i="27"/>
  <c r="AG56" i="27"/>
  <c r="AI54" i="27"/>
  <c r="AJ54" i="27" s="1"/>
  <c r="AI60" i="37"/>
  <c r="AJ60" i="37" s="1"/>
  <c r="AP58" i="18"/>
  <c r="AQ58" i="18" s="1"/>
  <c r="AN60" i="18"/>
  <c r="AP60" i="18" s="1"/>
  <c r="AB59" i="25"/>
  <c r="AC59" i="25" s="1"/>
  <c r="AJ59" i="25"/>
  <c r="AN60" i="11"/>
  <c r="AP60" i="11" s="1"/>
  <c r="AQ60" i="11" s="1"/>
  <c r="AP58" i="11"/>
  <c r="AQ58" i="11" s="1"/>
  <c r="N56" i="25"/>
  <c r="AB54" i="21"/>
  <c r="AC54" i="21" s="1"/>
  <c r="AB54" i="14"/>
  <c r="O62" i="28"/>
  <c r="AB60" i="10"/>
  <c r="AC60" i="10" s="1"/>
  <c r="AJ60" i="10"/>
  <c r="AC54" i="14"/>
  <c r="U54" i="14"/>
  <c r="V54" i="14" s="1"/>
  <c r="O62" i="31"/>
  <c r="AP62" i="32"/>
  <c r="U54" i="11"/>
  <c r="AB54" i="15"/>
  <c r="E90" i="1"/>
  <c r="AQ60" i="18"/>
  <c r="AI60" i="18"/>
  <c r="AP62" i="27"/>
  <c r="AQ62" i="27" s="1"/>
  <c r="AP54" i="19"/>
  <c r="U60" i="25"/>
  <c r="V60" i="25" s="1"/>
  <c r="S62" i="25"/>
  <c r="O60" i="38"/>
  <c r="H62" i="38"/>
  <c r="N62" i="38" s="1"/>
  <c r="AQ52" i="13"/>
  <c r="AG54" i="13"/>
  <c r="AI52" i="13"/>
  <c r="AJ52" i="13" s="1"/>
  <c r="N56" i="40"/>
  <c r="U62" i="40"/>
  <c r="V62" i="40" s="1"/>
  <c r="N54" i="21"/>
  <c r="O54" i="21" s="1"/>
  <c r="V54" i="21"/>
  <c r="AB62" i="38"/>
  <c r="AQ56" i="38"/>
  <c r="AI56" i="38"/>
  <c r="AJ56" i="38" s="1"/>
  <c r="AI62" i="35"/>
  <c r="AQ62" i="35"/>
  <c r="AI52" i="18"/>
  <c r="AJ52" i="18" s="1"/>
  <c r="AN60" i="17"/>
  <c r="AP60" i="17" s="1"/>
  <c r="AP58" i="17"/>
  <c r="AQ58" i="17" s="1"/>
  <c r="H56" i="25"/>
  <c r="O54" i="25"/>
  <c r="AN62" i="35"/>
  <c r="AP62" i="35" s="1"/>
  <c r="AP60" i="35"/>
  <c r="AQ60" i="35" s="1"/>
  <c r="L60" i="9"/>
  <c r="N58" i="9"/>
  <c r="O58" i="9" s="1"/>
  <c r="V58" i="9"/>
  <c r="AJ58" i="20"/>
  <c r="AB58" i="20"/>
  <c r="AC58" i="20" s="1"/>
  <c r="Z60" i="20"/>
  <c r="AP54" i="28"/>
  <c r="AQ54" i="28" s="1"/>
  <c r="AN56" i="28"/>
  <c r="AP56" i="28" s="1"/>
  <c r="U54" i="22"/>
  <c r="U60" i="22"/>
  <c r="V60" i="22" s="1"/>
  <c r="AJ58" i="22"/>
  <c r="Z60" i="22"/>
  <c r="AB58" i="22"/>
  <c r="AC58" i="22" s="1"/>
  <c r="AC56" i="41"/>
  <c r="U56" i="41"/>
  <c r="V56" i="41" s="1"/>
  <c r="AQ58" i="9"/>
  <c r="AG60" i="9"/>
  <c r="AI58" i="9"/>
  <c r="AJ58" i="9" s="1"/>
  <c r="AP60" i="22"/>
  <c r="AQ60" i="22" s="1"/>
  <c r="U60" i="17"/>
  <c r="V60" i="17" s="1"/>
  <c r="AC60" i="17"/>
  <c r="AB56" i="26"/>
  <c r="AJ56" i="26"/>
  <c r="AN56" i="35"/>
  <c r="AP56" i="35" s="1"/>
  <c r="AQ56" i="35" s="1"/>
  <c r="AP54" i="35"/>
  <c r="AQ54" i="35" s="1"/>
  <c r="O60" i="14"/>
  <c r="AI60" i="28"/>
  <c r="AJ60" i="28" s="1"/>
  <c r="AC54" i="15"/>
  <c r="U54" i="15"/>
  <c r="V54" i="15" s="1"/>
  <c r="D90" i="1"/>
  <c r="D91" i="1" s="1"/>
  <c r="D92" i="1" s="1"/>
  <c r="AI60" i="40"/>
  <c r="AQ62" i="25"/>
  <c r="AI56" i="39"/>
  <c r="N54" i="34"/>
  <c r="O54" i="34" s="1"/>
  <c r="L56" i="34"/>
  <c r="V54" i="34"/>
  <c r="AJ54" i="36"/>
  <c r="AB54" i="36"/>
  <c r="AC54" i="36" s="1"/>
  <c r="Z56" i="36"/>
  <c r="H62" i="34"/>
  <c r="O60" i="34"/>
  <c r="AN54" i="21"/>
  <c r="AP54" i="21" s="1"/>
  <c r="AP52" i="21"/>
  <c r="AQ60" i="20"/>
  <c r="U58" i="13"/>
  <c r="V58" i="13" s="1"/>
  <c r="S60" i="13"/>
  <c r="AC58" i="13"/>
  <c r="AI56" i="33"/>
  <c r="AQ56" i="33"/>
  <c r="V62" i="34"/>
  <c r="N62" i="34"/>
  <c r="AN54" i="11"/>
  <c r="AP52" i="11"/>
  <c r="AQ52" i="11" s="1"/>
  <c r="AJ53" i="15"/>
  <c r="H10" i="3" s="1"/>
  <c r="O62" i="33"/>
  <c r="V62" i="36"/>
  <c r="N62" i="36"/>
  <c r="O62" i="36" s="1"/>
  <c r="AP54" i="33"/>
  <c r="AQ54" i="33" s="1"/>
  <c r="AN56" i="33"/>
  <c r="AP56" i="33" s="1"/>
  <c r="AG54" i="16"/>
  <c r="AI52" i="16"/>
  <c r="AJ52" i="16" s="1"/>
  <c r="AQ52" i="16"/>
  <c r="U52" i="9"/>
  <c r="V52" i="9" s="1"/>
  <c r="S54" i="9"/>
  <c r="AB54" i="9" s="1"/>
  <c r="AC52" i="9"/>
  <c r="L60" i="20"/>
  <c r="N58" i="20"/>
  <c r="O58" i="20" s="1"/>
  <c r="V58" i="20"/>
  <c r="AB60" i="26"/>
  <c r="AC60" i="26" s="1"/>
  <c r="Z62" i="26"/>
  <c r="AJ60" i="26"/>
  <c r="O62" i="37"/>
  <c r="V54" i="22"/>
  <c r="N54" i="22"/>
  <c r="Z60" i="25"/>
  <c r="N62" i="40"/>
  <c r="N56" i="30"/>
  <c r="O56" i="30" s="1"/>
  <c r="AG54" i="17"/>
  <c r="AQ52" i="17"/>
  <c r="AI52" i="17"/>
  <c r="AJ52" i="17" s="1"/>
  <c r="V62" i="32"/>
  <c r="N62" i="32"/>
  <c r="U60" i="29"/>
  <c r="V60" i="29" s="1"/>
  <c r="S62" i="29"/>
  <c r="AN62" i="40"/>
  <c r="AP62" i="40" s="1"/>
  <c r="AQ62" i="40" s="1"/>
  <c r="AP60" i="40"/>
  <c r="AQ60" i="40" s="1"/>
  <c r="U56" i="27"/>
  <c r="F24" i="3" s="1"/>
  <c r="AB55" i="25"/>
  <c r="AJ55" i="25"/>
  <c r="N54" i="12"/>
  <c r="O54" i="12" s="1"/>
  <c r="AP54" i="22"/>
  <c r="AQ54" i="22" s="1"/>
  <c r="AI56" i="28"/>
  <c r="AQ56" i="28"/>
  <c r="N60" i="16"/>
  <c r="V60" i="16"/>
  <c r="AI62" i="28"/>
  <c r="AQ62" i="28"/>
  <c r="AQ56" i="25"/>
  <c r="AI58" i="18"/>
  <c r="AJ58" i="18" s="1"/>
  <c r="AQ60" i="13"/>
  <c r="AI60" i="13"/>
  <c r="AB60" i="16"/>
  <c r="AC60" i="16" s="1"/>
  <c r="AB56" i="41"/>
  <c r="AP58" i="20"/>
  <c r="AQ58" i="20" s="1"/>
  <c r="AN60" i="20"/>
  <c r="AP60" i="20" s="1"/>
  <c r="O62" i="35"/>
  <c r="L60" i="24"/>
  <c r="N58" i="24"/>
  <c r="O58" i="24" s="1"/>
  <c r="V58" i="24"/>
  <c r="AG62" i="34"/>
  <c r="AI60" i="34"/>
  <c r="AJ60" i="34" s="1"/>
  <c r="AQ60" i="34"/>
  <c r="S56" i="36"/>
  <c r="U54" i="36"/>
  <c r="V54" i="36" s="1"/>
  <c r="H54" i="13"/>
  <c r="N56" i="39"/>
  <c r="AQ54" i="36"/>
  <c r="AI54" i="36"/>
  <c r="AG56" i="36"/>
  <c r="O62" i="30"/>
  <c r="AI54" i="15"/>
  <c r="AJ54" i="15" s="1"/>
  <c r="F90" i="1"/>
  <c r="AB62" i="32"/>
  <c r="AI54" i="18"/>
  <c r="AQ54" i="18"/>
  <c r="AI52" i="23"/>
  <c r="AJ52" i="23" s="1"/>
  <c r="AG54" i="23"/>
  <c r="AP54" i="23" s="1"/>
  <c r="AQ52" i="23"/>
  <c r="AI56" i="29"/>
  <c r="AQ56" i="29"/>
  <c r="O62" i="25"/>
  <c r="AB56" i="27"/>
  <c r="G24" i="3" s="1"/>
  <c r="AN54" i="10"/>
  <c r="AP54" i="10" s="1"/>
  <c r="AP52" i="10"/>
  <c r="AC62" i="34"/>
  <c r="U62" i="34"/>
  <c r="N52" i="22"/>
  <c r="O52" i="22" s="1"/>
  <c r="O52" i="9"/>
  <c r="H54" i="9"/>
  <c r="AG62" i="36"/>
  <c r="AI60" i="36"/>
  <c r="AJ60" i="36" s="1"/>
  <c r="AQ56" i="26"/>
  <c r="AI56" i="26"/>
  <c r="V62" i="37"/>
  <c r="N62" i="37"/>
  <c r="AP60" i="10"/>
  <c r="AQ60" i="10" s="1"/>
  <c r="AB60" i="9"/>
  <c r="AC60" i="9" s="1"/>
  <c r="AB54" i="10"/>
  <c r="AC54" i="10" s="1"/>
  <c r="U54" i="12"/>
  <c r="V54" i="12" s="1"/>
  <c r="AJ53" i="25"/>
  <c r="AB53" i="25"/>
  <c r="AC53" i="25" s="1"/>
  <c r="AI62" i="38"/>
  <c r="AJ62" i="38" s="1"/>
  <c r="AQ62" i="38"/>
  <c r="N62" i="29"/>
  <c r="U56" i="31"/>
  <c r="AC56" i="31"/>
  <c r="U56" i="38"/>
  <c r="V56" i="38" s="1"/>
  <c r="AC56" i="38"/>
  <c r="AB60" i="15"/>
  <c r="AC60" i="15" s="1"/>
  <c r="AB62" i="39"/>
  <c r="AC62" i="39" s="1"/>
  <c r="AI58" i="13"/>
  <c r="AJ58" i="13" s="1"/>
  <c r="U62" i="33"/>
  <c r="O56" i="27"/>
  <c r="E25" i="3" s="1"/>
  <c r="AI62" i="40"/>
  <c r="U54" i="39"/>
  <c r="V54" i="39" s="1"/>
  <c r="S56" i="39"/>
  <c r="AB56" i="39" s="1"/>
  <c r="AC54" i="39"/>
  <c r="V54" i="16"/>
  <c r="AN62" i="33"/>
  <c r="AP62" i="33" s="1"/>
  <c r="AP60" i="33"/>
  <c r="AI58" i="16"/>
  <c r="AJ58" i="16" s="1"/>
  <c r="AG60" i="16"/>
  <c r="AP52" i="16"/>
  <c r="AN54" i="16"/>
  <c r="O56" i="40"/>
  <c r="AG54" i="14"/>
  <c r="AI52" i="14"/>
  <c r="AJ52" i="14" s="1"/>
  <c r="AQ52" i="14"/>
  <c r="Z54" i="23"/>
  <c r="AB52" i="23"/>
  <c r="AC52" i="23" s="1"/>
  <c r="AQ52" i="21"/>
  <c r="AG54" i="21"/>
  <c r="AI52" i="21"/>
  <c r="AJ52" i="21" s="1"/>
  <c r="L62" i="39"/>
  <c r="N60" i="39"/>
  <c r="O60" i="39" s="1"/>
  <c r="U60" i="39"/>
  <c r="V60" i="39" s="1"/>
  <c r="N54" i="13"/>
  <c r="V54" i="13"/>
  <c r="AJ56" i="33"/>
  <c r="AB56" i="33"/>
  <c r="U52" i="19"/>
  <c r="S54" i="19"/>
  <c r="O56" i="29"/>
  <c r="AN60" i="16"/>
  <c r="AP60" i="16" s="1"/>
  <c r="AP58" i="16"/>
  <c r="AQ58" i="16" s="1"/>
  <c r="O52" i="24"/>
  <c r="H54" i="24"/>
  <c r="AJ54" i="37"/>
  <c r="Z56" i="37"/>
  <c r="AB54" i="37"/>
  <c r="AC54" i="37" s="1"/>
  <c r="V60" i="14"/>
  <c r="N60" i="14"/>
  <c r="AN62" i="38"/>
  <c r="AP62" i="38" s="1"/>
  <c r="AP60" i="38"/>
  <c r="AQ60" i="38" s="1"/>
  <c r="S56" i="28"/>
  <c r="AC54" i="28"/>
  <c r="U54" i="28"/>
  <c r="V54" i="28" s="1"/>
  <c r="V53" i="15"/>
  <c r="F10" i="3" s="1"/>
  <c r="N54" i="17"/>
  <c r="O54" i="17" s="1"/>
  <c r="U55" i="25"/>
  <c r="AC55" i="25"/>
  <c r="AI56" i="30"/>
  <c r="AJ56" i="30" s="1"/>
  <c r="U56" i="29"/>
  <c r="V56" i="29" s="1"/>
  <c r="N62" i="26"/>
  <c r="O62" i="26" s="1"/>
  <c r="AQ54" i="24"/>
  <c r="AI54" i="24"/>
  <c r="AJ54" i="24" s="1"/>
  <c r="AQ58" i="15"/>
  <c r="AI58" i="15"/>
  <c r="AJ58" i="15" s="1"/>
  <c r="AG60" i="15"/>
  <c r="AP60" i="15" s="1"/>
  <c r="AJ61" i="25"/>
  <c r="AB61" i="25"/>
  <c r="AN56" i="40"/>
  <c r="AP56" i="40" s="1"/>
  <c r="AP54" i="40"/>
  <c r="AQ54" i="40" s="1"/>
  <c r="AB54" i="13"/>
  <c r="AC54" i="13" s="1"/>
  <c r="O62" i="29"/>
  <c r="AJ52" i="22"/>
  <c r="Z54" i="22"/>
  <c r="AI54" i="22" s="1"/>
  <c r="AB52" i="22"/>
  <c r="AC52" i="22" s="1"/>
  <c r="O60" i="10"/>
  <c r="AP60" i="34"/>
  <c r="AP62" i="30"/>
  <c r="U54" i="10"/>
  <c r="AJ54" i="20"/>
  <c r="H20" i="3" s="1"/>
  <c r="AB54" i="20"/>
  <c r="G19" i="3" s="1"/>
  <c r="O60" i="12"/>
  <c r="AP56" i="39"/>
  <c r="AQ56" i="39" s="1"/>
  <c r="U62" i="39"/>
  <c r="O62" i="32"/>
  <c r="AN60" i="23"/>
  <c r="AP60" i="23" s="1"/>
  <c r="AQ60" i="23" s="1"/>
  <c r="AP58" i="23"/>
  <c r="AQ58" i="23" s="1"/>
  <c r="N60" i="13"/>
  <c r="O60" i="13" s="1"/>
  <c r="AQ60" i="12"/>
  <c r="AI60" i="12"/>
  <c r="AJ60" i="12" s="1"/>
  <c r="O52" i="16"/>
  <c r="H54" i="16"/>
  <c r="N54" i="16" s="1"/>
  <c r="AC53" i="15"/>
  <c r="G10" i="3" s="1"/>
  <c r="S54" i="25"/>
  <c r="AN62" i="29"/>
  <c r="AP62" i="29" s="1"/>
  <c r="AP60" i="29"/>
  <c r="AP54" i="14"/>
  <c r="H60" i="24"/>
  <c r="AC62" i="32"/>
  <c r="U62" i="32"/>
  <c r="AC54" i="35"/>
  <c r="S56" i="35"/>
  <c r="U54" i="35"/>
  <c r="V54" i="35" s="1"/>
  <c r="AI62" i="39"/>
  <c r="AJ62" i="39" s="1"/>
  <c r="AQ62" i="39"/>
  <c r="AP54" i="41"/>
  <c r="AQ54" i="41" s="1"/>
  <c r="AQ54" i="9"/>
  <c r="AI54" i="9"/>
  <c r="AJ54" i="9" s="1"/>
  <c r="Z54" i="25"/>
  <c r="U60" i="21"/>
  <c r="V60" i="21" s="1"/>
  <c r="AB52" i="19"/>
  <c r="AC52" i="19" s="1"/>
  <c r="AJ62" i="30"/>
  <c r="AB62" i="30"/>
  <c r="AB56" i="28"/>
  <c r="AJ56" i="28"/>
  <c r="O62" i="40"/>
  <c r="AQ56" i="37"/>
  <c r="U62" i="37"/>
  <c r="AQ60" i="17"/>
  <c r="AI60" i="17"/>
  <c r="AJ60" i="17" s="1"/>
  <c r="AQ60" i="31"/>
  <c r="AI60" i="31"/>
  <c r="AJ60" i="31" s="1"/>
  <c r="AG62" i="31"/>
  <c r="N56" i="28"/>
  <c r="O56" i="28" s="1"/>
  <c r="AG54" i="11"/>
  <c r="AI52" i="11"/>
  <c r="AJ52" i="11" s="1"/>
  <c r="AI62" i="32"/>
  <c r="AJ62" i="32" s="1"/>
  <c r="AQ62" i="32"/>
  <c r="AB60" i="14"/>
  <c r="AC60" i="14" s="1"/>
  <c r="AJ60" i="14"/>
  <c r="V52" i="18"/>
  <c r="L54" i="18"/>
  <c r="N52" i="18"/>
  <c r="O52" i="18" s="1"/>
  <c r="L54" i="19"/>
  <c r="N52" i="19"/>
  <c r="O52" i="19" s="1"/>
  <c r="V52" i="19"/>
  <c r="AP52" i="18"/>
  <c r="AQ52" i="18" s="1"/>
  <c r="AN54" i="18"/>
  <c r="AP54" i="18" s="1"/>
  <c r="AJ60" i="33"/>
  <c r="AB60" i="33"/>
  <c r="AC60" i="33" s="1"/>
  <c r="Z62" i="33"/>
  <c r="AN56" i="27"/>
  <c r="AP56" i="27" s="1"/>
  <c r="I24" i="3" s="1"/>
  <c r="AP54" i="27"/>
  <c r="N52" i="13"/>
  <c r="O52" i="13" s="1"/>
  <c r="AC54" i="20"/>
  <c r="G20" i="3" s="1"/>
  <c r="U54" i="20"/>
  <c r="F19" i="3" s="1"/>
  <c r="AN54" i="15"/>
  <c r="AP52" i="15"/>
  <c r="AQ52" i="15" s="1"/>
  <c r="S56" i="33"/>
  <c r="AC54" i="33"/>
  <c r="U54" i="33"/>
  <c r="V54" i="33" s="1"/>
  <c r="H60" i="22"/>
  <c r="N60" i="22" s="1"/>
  <c r="O58" i="22"/>
  <c r="AP54" i="30"/>
  <c r="AQ54" i="30" s="1"/>
  <c r="AN56" i="30"/>
  <c r="AP56" i="30" s="1"/>
  <c r="AQ56" i="30" s="1"/>
  <c r="O52" i="11"/>
  <c r="H54" i="11"/>
  <c r="U54" i="17"/>
  <c r="V54" i="17" s="1"/>
  <c r="O56" i="38"/>
  <c r="AC61" i="25"/>
  <c r="U61" i="25"/>
  <c r="O56" i="37"/>
  <c r="AP60" i="41"/>
  <c r="AQ60" i="41" s="1"/>
  <c r="AN62" i="41"/>
  <c r="U60" i="28"/>
  <c r="V60" i="28" s="1"/>
  <c r="S62" i="28"/>
  <c r="AC60" i="28"/>
  <c r="N54" i="26"/>
  <c r="V54" i="26"/>
  <c r="L56" i="26"/>
  <c r="AB60" i="29"/>
  <c r="AC60" i="29" s="1"/>
  <c r="Z62" i="29"/>
  <c r="AJ60" i="29"/>
  <c r="AP52" i="14"/>
  <c r="AI54" i="32"/>
  <c r="AJ54" i="32" s="1"/>
  <c r="AG56" i="32"/>
  <c r="AP56" i="32" s="1"/>
  <c r="I29" i="3" s="1"/>
  <c r="AQ54" i="32"/>
  <c r="O62" i="27"/>
  <c r="H60" i="18"/>
  <c r="O58" i="18"/>
  <c r="AC62" i="38"/>
  <c r="U62" i="38"/>
  <c r="V62" i="38" s="1"/>
  <c r="U60" i="11"/>
  <c r="AC60" i="11"/>
  <c r="O60" i="23"/>
  <c r="AN56" i="41"/>
  <c r="AP56" i="41" s="1"/>
  <c r="AB54" i="35"/>
  <c r="Z56" i="35"/>
  <c r="AI56" i="35" s="1"/>
  <c r="AJ54" i="35"/>
  <c r="U54" i="30"/>
  <c r="V54" i="30" s="1"/>
  <c r="S56" i="30"/>
  <c r="AC54" i="30"/>
  <c r="O56" i="31"/>
  <c r="N54" i="41"/>
  <c r="O54" i="41" s="1"/>
  <c r="AJ62" i="35"/>
  <c r="AB62" i="35"/>
  <c r="N56" i="31"/>
  <c r="V56" i="31"/>
  <c r="U52" i="10"/>
  <c r="V52" i="10" s="1"/>
  <c r="AB54" i="19"/>
  <c r="AB60" i="30"/>
  <c r="AC60" i="30" s="1"/>
  <c r="U56" i="26"/>
  <c r="AC56" i="26"/>
  <c r="U56" i="40"/>
  <c r="V56" i="40" s="1"/>
  <c r="U60" i="15"/>
  <c r="V60" i="15" s="1"/>
  <c r="AI54" i="37"/>
  <c r="U60" i="24" l="1"/>
  <c r="N54" i="19"/>
  <c r="O54" i="19" s="1"/>
  <c r="S56" i="25"/>
  <c r="U54" i="25"/>
  <c r="V54" i="25" s="1"/>
  <c r="AB56" i="37"/>
  <c r="AC56" i="37" s="1"/>
  <c r="AJ56" i="37"/>
  <c r="AB54" i="23"/>
  <c r="AC54" i="23" s="1"/>
  <c r="AJ56" i="36"/>
  <c r="AB56" i="36"/>
  <c r="AI60" i="9"/>
  <c r="AJ60" i="9" s="1"/>
  <c r="O56" i="25"/>
  <c r="U9" i="3"/>
  <c r="U60" i="18"/>
  <c r="V60" i="18" s="1"/>
  <c r="AC60" i="18"/>
  <c r="AB62" i="31"/>
  <c r="AC62" i="31" s="1"/>
  <c r="AJ62" i="31"/>
  <c r="AQ62" i="33"/>
  <c r="AI62" i="33"/>
  <c r="AJ62" i="33" s="1"/>
  <c r="AP62" i="36"/>
  <c r="AQ62" i="36" s="1"/>
  <c r="AB54" i="18"/>
  <c r="AC54" i="18" s="1"/>
  <c r="AJ54" i="18"/>
  <c r="AB56" i="40"/>
  <c r="AC56" i="40" s="1"/>
  <c r="AB60" i="25"/>
  <c r="AC60" i="25" s="1"/>
  <c r="Z62" i="25"/>
  <c r="AJ60" i="25"/>
  <c r="AI60" i="25"/>
  <c r="V54" i="23"/>
  <c r="N54" i="23"/>
  <c r="O54" i="23" s="1"/>
  <c r="AI61" i="41"/>
  <c r="AJ61" i="41" s="1"/>
  <c r="AQ61" i="41"/>
  <c r="AG62" i="41"/>
  <c r="AJ56" i="34"/>
  <c r="H35" i="3" s="1"/>
  <c r="AI56" i="31"/>
  <c r="AJ56" i="31" s="1"/>
  <c r="U56" i="30"/>
  <c r="V56" i="30" s="1"/>
  <c r="AI54" i="16"/>
  <c r="AJ54" i="16" s="1"/>
  <c r="O56" i="41"/>
  <c r="AP61" i="41"/>
  <c r="AB60" i="24"/>
  <c r="AC60" i="24" s="1"/>
  <c r="AJ60" i="21"/>
  <c r="AB60" i="21"/>
  <c r="AC60" i="21" s="1"/>
  <c r="AP54" i="15"/>
  <c r="AQ54" i="15" s="1"/>
  <c r="G90" i="1"/>
  <c r="G91" i="1" s="1"/>
  <c r="G92" i="1" s="1"/>
  <c r="U56" i="36"/>
  <c r="AC56" i="36"/>
  <c r="AQ62" i="29"/>
  <c r="AI62" i="29"/>
  <c r="O60" i="18"/>
  <c r="O54" i="24"/>
  <c r="AQ54" i="14"/>
  <c r="AI54" i="14"/>
  <c r="AJ54" i="14" s="1"/>
  <c r="AC56" i="39"/>
  <c r="U56" i="39"/>
  <c r="V56" i="39" s="1"/>
  <c r="AB60" i="20"/>
  <c r="AB62" i="40"/>
  <c r="AC62" i="40" s="1"/>
  <c r="AJ62" i="40"/>
  <c r="N54" i="20"/>
  <c r="V54" i="20"/>
  <c r="F20" i="3" s="1"/>
  <c r="AI54" i="10"/>
  <c r="AJ54" i="10" s="1"/>
  <c r="AQ54" i="10"/>
  <c r="AB54" i="12"/>
  <c r="AC54" i="12" s="1"/>
  <c r="AI60" i="15"/>
  <c r="AJ60" i="15" s="1"/>
  <c r="AQ60" i="15"/>
  <c r="O62" i="34"/>
  <c r="AI62" i="31"/>
  <c r="AQ56" i="36"/>
  <c r="AI56" i="36"/>
  <c r="AQ54" i="23"/>
  <c r="AI54" i="23"/>
  <c r="AJ54" i="23" s="1"/>
  <c r="AB62" i="26"/>
  <c r="AC62" i="26" s="1"/>
  <c r="AJ62" i="26"/>
  <c r="U60" i="13"/>
  <c r="V60" i="13" s="1"/>
  <c r="AC60" i="13"/>
  <c r="V56" i="34"/>
  <c r="F35" i="3" s="1"/>
  <c r="N56" i="34"/>
  <c r="N60" i="11"/>
  <c r="O60" i="11" s="1"/>
  <c r="V60" i="11"/>
  <c r="N56" i="33"/>
  <c r="AI54" i="12"/>
  <c r="AJ54" i="12" s="1"/>
  <c r="AQ54" i="12"/>
  <c r="AB56" i="30"/>
  <c r="AC56" i="30" s="1"/>
  <c r="U56" i="35"/>
  <c r="V56" i="35" s="1"/>
  <c r="AJ56" i="35"/>
  <c r="AB56" i="35"/>
  <c r="AC56" i="35" s="1"/>
  <c r="AI56" i="32"/>
  <c r="H29" i="3" s="1"/>
  <c r="AQ56" i="32"/>
  <c r="I30" i="3" s="1"/>
  <c r="AP62" i="41"/>
  <c r="O60" i="22"/>
  <c r="AB62" i="33"/>
  <c r="AC62" i="33" s="1"/>
  <c r="U56" i="28"/>
  <c r="V56" i="28" s="1"/>
  <c r="AC56" i="28"/>
  <c r="AP54" i="16"/>
  <c r="AQ54" i="16" s="1"/>
  <c r="N60" i="24"/>
  <c r="V60" i="24"/>
  <c r="AI54" i="17"/>
  <c r="AB60" i="22"/>
  <c r="AC60" i="22" s="1"/>
  <c r="AI54" i="13"/>
  <c r="AJ54" i="13" s="1"/>
  <c r="AQ54" i="13"/>
  <c r="E91" i="1"/>
  <c r="E92" i="1" s="1"/>
  <c r="O54" i="22"/>
  <c r="AQ54" i="19"/>
  <c r="AI54" i="19"/>
  <c r="AJ54" i="19" s="1"/>
  <c r="V62" i="41"/>
  <c r="N62" i="41"/>
  <c r="O62" i="41" s="1"/>
  <c r="AP54" i="13"/>
  <c r="AP54" i="12"/>
  <c r="AQ56" i="40"/>
  <c r="AI56" i="40"/>
  <c r="AJ56" i="40" s="1"/>
  <c r="AP60" i="9"/>
  <c r="AQ60" i="9" s="1"/>
  <c r="N56" i="41"/>
  <c r="AJ62" i="28"/>
  <c r="AB62" i="28"/>
  <c r="AC62" i="28" s="1"/>
  <c r="V54" i="18"/>
  <c r="N54" i="18"/>
  <c r="O54" i="18" s="1"/>
  <c r="AI62" i="34"/>
  <c r="AJ62" i="34" s="1"/>
  <c r="N62" i="39"/>
  <c r="O62" i="39" s="1"/>
  <c r="V62" i="39"/>
  <c r="V54" i="10"/>
  <c r="N54" i="10"/>
  <c r="O54" i="10" s="1"/>
  <c r="AI60" i="19"/>
  <c r="AJ60" i="19" s="1"/>
  <c r="AQ60" i="19"/>
  <c r="AP56" i="31"/>
  <c r="AQ56" i="31" s="1"/>
  <c r="AI60" i="21"/>
  <c r="AQ60" i="21"/>
  <c r="N60" i="18"/>
  <c r="U56" i="34"/>
  <c r="F34" i="3" s="1"/>
  <c r="U19" i="3"/>
  <c r="T19" i="3"/>
  <c r="T20" i="3" s="1"/>
  <c r="U20" i="3" s="1"/>
  <c r="AI60" i="22"/>
  <c r="AJ60" i="22" s="1"/>
  <c r="AJ56" i="32"/>
  <c r="H30" i="3" s="1"/>
  <c r="AB56" i="32"/>
  <c r="AB54" i="25"/>
  <c r="AC54" i="25" s="1"/>
  <c r="Z56" i="25"/>
  <c r="AI54" i="25"/>
  <c r="AJ54" i="25" s="1"/>
  <c r="O54" i="13"/>
  <c r="AC56" i="27"/>
  <c r="G25" i="3" s="1"/>
  <c r="AI60" i="20"/>
  <c r="AJ60" i="20" s="1"/>
  <c r="O62" i="38"/>
  <c r="U54" i="23"/>
  <c r="AB56" i="29"/>
  <c r="AC56" i="29" s="1"/>
  <c r="AJ56" i="29"/>
  <c r="AP60" i="19"/>
  <c r="U54" i="18"/>
  <c r="AC56" i="34"/>
  <c r="G35" i="3" s="1"/>
  <c r="O60" i="20"/>
  <c r="O56" i="33"/>
  <c r="AJ60" i="13"/>
  <c r="AB60" i="13"/>
  <c r="AB54" i="17"/>
  <c r="AC54" i="17" s="1"/>
  <c r="AJ54" i="17"/>
  <c r="U62" i="28"/>
  <c r="V62" i="28" s="1"/>
  <c r="AJ54" i="22"/>
  <c r="AB54" i="22"/>
  <c r="AC54" i="22" s="1"/>
  <c r="O60" i="24"/>
  <c r="AJ62" i="29"/>
  <c r="AB62" i="29"/>
  <c r="AC62" i="29" s="1"/>
  <c r="U56" i="33"/>
  <c r="V56" i="33" s="1"/>
  <c r="AC56" i="33"/>
  <c r="U54" i="19"/>
  <c r="V54" i="19" s="1"/>
  <c r="AC54" i="19"/>
  <c r="AI54" i="21"/>
  <c r="AJ54" i="21" s="1"/>
  <c r="AQ54" i="21"/>
  <c r="AQ60" i="16"/>
  <c r="AI60" i="16"/>
  <c r="AJ60" i="16" s="1"/>
  <c r="N60" i="20"/>
  <c r="U10" i="3"/>
  <c r="N60" i="9"/>
  <c r="O60" i="9" s="1"/>
  <c r="V60" i="9"/>
  <c r="AB62" i="41"/>
  <c r="AC62" i="41" s="1"/>
  <c r="O56" i="39"/>
  <c r="AB60" i="18"/>
  <c r="AJ60" i="18"/>
  <c r="AP56" i="36"/>
  <c r="AC62" i="30"/>
  <c r="U62" i="30"/>
  <c r="V62" i="30" s="1"/>
  <c r="N54" i="11"/>
  <c r="O54" i="11" s="1"/>
  <c r="V54" i="11"/>
  <c r="AC60" i="12"/>
  <c r="U60" i="12"/>
  <c r="V60" i="12" s="1"/>
  <c r="N56" i="35"/>
  <c r="O56" i="35" s="1"/>
  <c r="O54" i="16"/>
  <c r="AI62" i="36"/>
  <c r="AJ62" i="36" s="1"/>
  <c r="AI56" i="37"/>
  <c r="U62" i="25"/>
  <c r="V62" i="25" s="1"/>
  <c r="T34" i="3"/>
  <c r="T35" i="3" s="1"/>
  <c r="N54" i="9"/>
  <c r="O54" i="9" s="1"/>
  <c r="U60" i="20"/>
  <c r="V60" i="20" s="1"/>
  <c r="AC60" i="20"/>
  <c r="U62" i="26"/>
  <c r="V62" i="26" s="1"/>
  <c r="N54" i="24"/>
  <c r="AI54" i="11"/>
  <c r="AJ54" i="11" s="1"/>
  <c r="V56" i="26"/>
  <c r="N56" i="26"/>
  <c r="O56" i="26" s="1"/>
  <c r="AP62" i="34"/>
  <c r="AQ62" i="34" s="1"/>
  <c r="AP54" i="17"/>
  <c r="AQ54" i="17" s="1"/>
  <c r="F91" i="1"/>
  <c r="F92" i="1" s="1"/>
  <c r="U62" i="29"/>
  <c r="V62" i="29" s="1"/>
  <c r="U54" i="9"/>
  <c r="V54" i="9" s="1"/>
  <c r="AC54" i="9"/>
  <c r="AP54" i="11"/>
  <c r="AQ54" i="11" s="1"/>
  <c r="AI56" i="27"/>
  <c r="AQ56" i="27"/>
  <c r="I25" i="3" s="1"/>
  <c r="AJ62" i="37"/>
  <c r="AB62" i="37"/>
  <c r="AC62" i="37" s="1"/>
  <c r="N56" i="36"/>
  <c r="O56" i="36" s="1"/>
  <c r="V56" i="36"/>
  <c r="AI62" i="26"/>
  <c r="V56" i="27"/>
  <c r="F25" i="3" s="1"/>
  <c r="AI56" i="41"/>
  <c r="AJ56" i="41" s="1"/>
  <c r="AQ56" i="41"/>
  <c r="AP62" i="31"/>
  <c r="AQ62" i="31" s="1"/>
  <c r="V56" i="32"/>
  <c r="F30" i="3" s="1"/>
  <c r="N56" i="32"/>
  <c r="U34" i="3" l="1"/>
  <c r="AB56" i="25"/>
  <c r="AI56" i="25"/>
  <c r="AJ56" i="25" s="1"/>
  <c r="G29" i="3"/>
  <c r="AC56" i="32"/>
  <c r="G30" i="3" s="1"/>
  <c r="E19" i="3"/>
  <c r="O54" i="20"/>
  <c r="E20" i="3" s="1"/>
  <c r="AB62" i="25"/>
  <c r="AC62" i="25" s="1"/>
  <c r="AI62" i="25"/>
  <c r="AJ62" i="25" s="1"/>
  <c r="E29" i="3"/>
  <c r="O56" i="32"/>
  <c r="E30" i="3" s="1"/>
  <c r="H24" i="3"/>
  <c r="AJ56" i="27"/>
  <c r="H25" i="3" s="1"/>
  <c r="AC56" i="25"/>
  <c r="U56" i="25"/>
  <c r="V56" i="25" s="1"/>
  <c r="T29" i="3"/>
  <c r="T30" i="3" s="1"/>
  <c r="U30" i="3" s="1"/>
  <c r="E34" i="3"/>
  <c r="O56" i="34"/>
  <c r="E35" i="3" s="1"/>
  <c r="U35" i="3"/>
  <c r="AQ62" i="41"/>
  <c r="AI62" i="41"/>
  <c r="AJ62" i="41" s="1"/>
  <c r="U29" i="3" l="1"/>
  <c r="T24" i="3"/>
  <c r="T25" i="3" s="1"/>
  <c r="U25" i="3" s="1"/>
  <c r="U2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200-00001A000000}">
      <text>
        <r>
          <rPr>
            <sz val="10"/>
            <color rgb="FF000000"/>
            <rFont val="Arial"/>
            <scheme val="minor"/>
          </rPr>
          <t>======
ID#AAABeFn1oMQ
    (2024-12-22 22:19:47)
Grp 1 '25 RR not included</t>
        </r>
      </text>
    </comment>
    <comment ref="W6" authorId="0" shapeId="0" xr:uid="{00000000-0006-0000-0200-000018000000}">
      <text>
        <r>
          <rPr>
            <sz val="10"/>
            <color rgb="FF000000"/>
            <rFont val="Arial"/>
            <scheme val="minor"/>
          </rPr>
          <t>======
ID#AAABeFn1oNo
    (2024-12-22 22:19:47)
LRAM RR rate is the same for '23-'25
Inflate 2025 with YoY '23 vs '22 (for now)</t>
        </r>
      </text>
    </comment>
    <comment ref="F9" authorId="0" shapeId="0" xr:uid="{00000000-0006-0000-0200-000002000000}">
      <text>
        <r>
          <rPr>
            <sz val="10"/>
            <color rgb="FF000000"/>
            <rFont val="Arial"/>
            <scheme val="minor"/>
          </rPr>
          <t>======
ID#AAABeFn1oM4
    (2024-12-22 22:19:47)
$ change per OEB model $1.84</t>
        </r>
      </text>
    </comment>
    <comment ref="W9" authorId="0" shapeId="0" xr:uid="{00000000-0006-0000-0200-000011000000}">
      <text>
        <r>
          <rPr>
            <sz val="10"/>
            <color rgb="FF000000"/>
            <rFont val="Arial"/>
            <scheme val="minor"/>
          </rPr>
          <t>======
ID#AAABeFn1oMU
    (2024-12-22 22:19:47)
does not include '25's Grp 1 RRs impact on total bill in 2025</t>
        </r>
      </text>
    </comment>
    <comment ref="F10" authorId="0" shapeId="0" xr:uid="{00000000-0006-0000-0200-00001B000000}">
      <text>
        <r>
          <rPr>
            <sz val="10"/>
            <color rgb="FF000000"/>
            <rFont val="Arial"/>
            <scheme val="minor"/>
          </rPr>
          <t>======
ID#AAABeFn1oN0
    (2024-12-22 22:19:47)
This does not match OEB model for 2021 vs 2022 total bill increase because of change in SMC and OER % Total bill % per OEB model 1.6%</t>
        </r>
      </text>
    </comment>
    <comment ref="W10" authorId="0" shapeId="0" xr:uid="{00000000-0006-0000-0200-000016000000}">
      <text>
        <r>
          <rPr>
            <sz val="10"/>
            <color rgb="FF000000"/>
            <rFont val="Arial"/>
            <scheme val="minor"/>
          </rPr>
          <t>======
ID#AAABeFn1oNg
    (2024-12-22 22:19:47)
% of above on 2024 total bill</t>
        </r>
      </text>
    </comment>
    <comment ref="X10" authorId="0" shapeId="0" xr:uid="{00000000-0006-0000-0200-00000E000000}">
      <text>
        <r>
          <rPr>
            <sz val="10"/>
            <color rgb="FF000000"/>
            <rFont val="Arial"/>
            <scheme val="minor"/>
          </rPr>
          <t>======
ID#AAABeFn1oM0
    (2024-12-22 22:19:47)
% of above on 2024 total bill</t>
        </r>
      </text>
    </comment>
    <comment ref="W11" authorId="0" shapeId="0" xr:uid="{00000000-0006-0000-0200-000012000000}">
      <text>
        <r>
          <rPr>
            <sz val="10"/>
            <color rgb="FF000000"/>
            <rFont val="Arial"/>
            <scheme val="minor"/>
          </rPr>
          <t>======
ID#AAABeFn1oN4
    (2024-12-22 22:19:47)
LRAM RR rate is the same for '23-'25
Inflate 2025 with YoY '23 vs '22 (for now)</t>
        </r>
      </text>
    </comment>
    <comment ref="W14" authorId="0" shapeId="0" xr:uid="{00000000-0006-0000-0200-000006000000}">
      <text>
        <r>
          <rPr>
            <sz val="10"/>
            <color rgb="FF000000"/>
            <rFont val="Arial"/>
            <scheme val="minor"/>
          </rPr>
          <t>======
ID#AAABeFn1oMw
    (2024-12-22 22:19:47)
does not include '25's Grp 1 RRs impact on total bill in 2025</t>
        </r>
      </text>
    </comment>
    <comment ref="W16" authorId="0" shapeId="0" xr:uid="{00000000-0006-0000-0200-00000B000000}">
      <text>
        <r>
          <rPr>
            <sz val="10"/>
            <color rgb="FF000000"/>
            <rFont val="Arial"/>
            <scheme val="minor"/>
          </rPr>
          <t>======
ID#AAABeFn1oNM
    (2024-12-22 22:19:47)
LRAM RR rate is the same for '23-'25
Inflate 2025 with YoY '23 vs '22 (for now)</t>
        </r>
      </text>
    </comment>
    <comment ref="F19" authorId="0" shapeId="0" xr:uid="{00000000-0006-0000-0200-00000D000000}">
      <text>
        <r>
          <rPr>
            <sz val="10"/>
            <color rgb="FF000000"/>
            <rFont val="Arial"/>
            <scheme val="minor"/>
          </rPr>
          <t>======
ID#AAABeFn1oNQ
    (2024-12-22 22:19:47)
Last year's model had $4.68 per OEB model due to previous rates used</t>
        </r>
      </text>
    </comment>
    <comment ref="W19" authorId="0" shapeId="0" xr:uid="{00000000-0006-0000-0200-00000A000000}">
      <text>
        <r>
          <rPr>
            <sz val="10"/>
            <color rgb="FF000000"/>
            <rFont val="Arial"/>
            <scheme val="minor"/>
          </rPr>
          <t>======
ID#AAABeFn1oMg
    (2024-12-22 22:19:47)
does not include '25's Grp 1 RRs impact on total bill in 2025</t>
        </r>
      </text>
    </comment>
    <comment ref="F20" authorId="0" shapeId="0" xr:uid="{00000000-0006-0000-0200-000004000000}">
      <text>
        <r>
          <rPr>
            <sz val="10"/>
            <color rgb="FF000000"/>
            <rFont val="Arial"/>
            <scheme val="minor"/>
          </rPr>
          <t>======
ID#AAABeFn1oNY
    (2024-12-22 22:19:47)
This does not match OEB model for 2021 vs 2022 total bill increase because of change in SMC and OER % Total bill % per OEB model 1.6%</t>
        </r>
      </text>
    </comment>
    <comment ref="W21" authorId="0" shapeId="0" xr:uid="{00000000-0006-0000-0200-000015000000}">
      <text>
        <r>
          <rPr>
            <sz val="10"/>
            <color rgb="FF000000"/>
            <rFont val="Arial"/>
            <scheme val="minor"/>
          </rPr>
          <t>======
ID#AAABeFn1oNA
    (2024-12-22 22:19:47)
LRAM RR rate is the same for '23-'25
Inflate 2025 with YoY '23 vs '22 (for now) for VDC only</t>
        </r>
      </text>
    </comment>
    <comment ref="W24" authorId="0" shapeId="0" xr:uid="{00000000-0006-0000-0200-000017000000}">
      <text>
        <r>
          <rPr>
            <sz val="10"/>
            <color rgb="FF000000"/>
            <rFont val="Arial"/>
            <scheme val="minor"/>
          </rPr>
          <t>======
ID#AAABeFn1oNk
    (2024-12-22 22:19:47)
does not include '25's Grp 1 RRs impact on total bill in 2025</t>
        </r>
      </text>
    </comment>
    <comment ref="W26" authorId="0" shapeId="0" xr:uid="{00000000-0006-0000-0200-000005000000}">
      <text>
        <r>
          <rPr>
            <sz val="10"/>
            <color rgb="FF000000"/>
            <rFont val="Arial"/>
            <scheme val="minor"/>
          </rPr>
          <t>======
ID#AAABeFn1oM8
    (2024-12-22 22:19:47)
LRAM RR rate is the same for '23-'25
Inflate 2025 with YoY '23 vs '22 (for now) for VDC only</t>
        </r>
      </text>
    </comment>
    <comment ref="W29" authorId="0" shapeId="0" xr:uid="{00000000-0006-0000-0200-000013000000}">
      <text>
        <r>
          <rPr>
            <sz val="10"/>
            <color rgb="FF000000"/>
            <rFont val="Arial"/>
            <scheme val="minor"/>
          </rPr>
          <t>======
ID#AAABeFn1oMY
    (2024-12-22 22:19:47)
does not include '25's Grp 1 RRs impact on total bill in 2025</t>
        </r>
      </text>
    </comment>
    <comment ref="W31" authorId="0" shapeId="0" xr:uid="{00000000-0006-0000-0200-000003000000}">
      <text>
        <r>
          <rPr>
            <sz val="10"/>
            <color rgb="FF000000"/>
            <rFont val="Arial"/>
            <scheme val="minor"/>
          </rPr>
          <t>======
ID#AAABeFn1oMs
    (2024-12-22 22:19:47)
LRAM RR rate is the same for '23-'25
Inflate 2025 with YoY '23 vs '22 (for now) for VDC only</t>
        </r>
      </text>
    </comment>
    <comment ref="W34" authorId="0" shapeId="0" xr:uid="{00000000-0006-0000-0200-000008000000}">
      <text>
        <r>
          <rPr>
            <sz val="10"/>
            <color rgb="FF000000"/>
            <rFont val="Arial"/>
            <scheme val="minor"/>
          </rPr>
          <t>======
ID#AAABeFn1oNE
    (2024-12-22 22:19:47)
does not include '25's Grp 1 RRs impact on total bill in 2025</t>
        </r>
      </text>
    </comment>
    <comment ref="W36" authorId="0" shapeId="0" xr:uid="{00000000-0006-0000-0200-000014000000}">
      <text>
        <r>
          <rPr>
            <sz val="10"/>
            <color rgb="FF000000"/>
            <rFont val="Arial"/>
            <scheme val="minor"/>
          </rPr>
          <t>======
ID#AAABeFn1oN8
    (2024-12-22 22:19:47)
LRAM RR rate is the same for '23-'25
Inflate 2025 with YoY '23 vs '22 (for now) for VDC only ---not including lower band adjustment</t>
        </r>
      </text>
    </comment>
    <comment ref="W39" authorId="0" shapeId="0" xr:uid="{00000000-0006-0000-0200-000009000000}">
      <text>
        <r>
          <rPr>
            <sz val="10"/>
            <color rgb="FF000000"/>
            <rFont val="Arial"/>
            <scheme val="minor"/>
          </rPr>
          <t>======
ID#AAABeFn1oNI
    (2024-12-22 22:19:47)
does not include '25's Grp 1 RRs impact on total bill in 2025</t>
        </r>
      </text>
    </comment>
    <comment ref="W41" authorId="0" shapeId="0" xr:uid="{00000000-0006-0000-0200-000007000000}">
      <text>
        <r>
          <rPr>
            <sz val="10"/>
            <color rgb="FF000000"/>
            <rFont val="Arial"/>
            <scheme val="minor"/>
          </rPr>
          <t>======
ID#AAABeFn1oNc
    (2024-12-22 22:19:47)
LRAM RR rate is the same for '23-'25
Inflate 2025 with YoY '23 vs '22 (for now) for VDC only</t>
        </r>
      </text>
    </comment>
    <comment ref="W44" authorId="0" shapeId="0" xr:uid="{00000000-0006-0000-0200-000010000000}">
      <text>
        <r>
          <rPr>
            <sz val="10"/>
            <color rgb="FF000000"/>
            <rFont val="Arial"/>
            <scheme val="minor"/>
          </rPr>
          <t>======
ID#AAABeFn1oNw
    (2024-12-22 22:19:47)
does not include '25's Grp 1 RRs impact on total bill in 2025</t>
        </r>
      </text>
    </comment>
    <comment ref="W46" authorId="0" shapeId="0" xr:uid="{00000000-0006-0000-0200-000019000000}">
      <text>
        <r>
          <rPr>
            <sz val="10"/>
            <color rgb="FF000000"/>
            <rFont val="Arial"/>
            <scheme val="minor"/>
          </rPr>
          <t>======
ID#AAABeFn1oNs
    (2024-12-22 22:19:47)
LRAM RR rate is the same for '23-'25
Inflate 2025 with YoY '23 vs '22 (for now) for VDC only</t>
        </r>
      </text>
    </comment>
    <comment ref="W49" authorId="0" shapeId="0" xr:uid="{00000000-0006-0000-0200-00000C000000}">
      <text>
        <r>
          <rPr>
            <sz val="10"/>
            <color rgb="FF000000"/>
            <rFont val="Arial"/>
            <scheme val="minor"/>
          </rPr>
          <t>======
ID#AAABeFn1oMk
    (2024-12-22 22:19:47)
does not include '25's Grp 1 RRs impact on total bill in 2025</t>
        </r>
      </text>
    </comment>
    <comment ref="W51" authorId="0" shapeId="0" xr:uid="{00000000-0006-0000-0200-000001000000}">
      <text>
        <r>
          <rPr>
            <sz val="10"/>
            <color rgb="FF000000"/>
            <rFont val="Arial"/>
            <scheme val="minor"/>
          </rPr>
          <t>======
ID#AAABeFn1oNU
    (2024-12-22 22:19:47)
LRAM RR rate is the same for '23-'25
Inflate 2025 with YoY '23 vs '22 (for now) for VDC only</t>
        </r>
      </text>
    </comment>
    <comment ref="W54" authorId="0" shapeId="0" xr:uid="{00000000-0006-0000-0200-00000F000000}">
      <text>
        <r>
          <rPr>
            <sz val="10"/>
            <color rgb="FF000000"/>
            <rFont val="Arial"/>
            <scheme val="minor"/>
          </rPr>
          <t>======
ID#AAABeFn1oMo
    (2024-12-22 22:19:47)
does not include '25's Grp 1 RRs impact on total bill in 2025</t>
        </r>
      </text>
    </comment>
  </commentList>
  <extLst>
    <ext xmlns:r="http://schemas.openxmlformats.org/officeDocument/2006/relationships" uri="GoogleSheetsCustomDataVersion2">
      <go:sheetsCustomData xmlns:go="http://customooxmlschemas.google.com/" r:id="rId1" roundtripDataSignature="AMtx7mgeEgOcwsKWUirO9KkpKSo517fwTA=="/>
    </ext>
  </extLst>
</comments>
</file>

<file path=xl/sharedStrings.xml><?xml version="1.0" encoding="utf-8"?>
<sst xmlns="http://schemas.openxmlformats.org/spreadsheetml/2006/main" count="7362" uniqueCount="429">
  <si>
    <t>Rates Summary 2026-2030</t>
  </si>
  <si>
    <t>2025A</t>
  </si>
  <si>
    <t>2026F</t>
  </si>
  <si>
    <t>2027F</t>
  </si>
  <si>
    <t>2028F</t>
  </si>
  <si>
    <t>2029F</t>
  </si>
  <si>
    <t>2030F</t>
  </si>
  <si>
    <t>Approved</t>
  </si>
  <si>
    <t>Estimate</t>
  </si>
  <si>
    <t>Residential (750 kWh)</t>
  </si>
  <si>
    <t>Distribution</t>
  </si>
  <si>
    <t>Change in Distribution</t>
  </si>
  <si>
    <t>% Change in Distribution</t>
  </si>
  <si>
    <t>Total Bill Change</t>
  </si>
  <si>
    <t>% Total Bill Change</t>
  </si>
  <si>
    <t>General Service &lt;50 kW (2000 kWh)</t>
  </si>
  <si>
    <t>General Service  50 kW - 1,499 kW (185 kW)</t>
  </si>
  <si>
    <t>General Service 1,500 kW - 4,999 kW (1,925 kW)</t>
  </si>
  <si>
    <t>Large Use (7,500 kW)</t>
  </si>
  <si>
    <t>Sentinel Lighting (0.4 kW)</t>
  </si>
  <si>
    <t>Street Lighting (50 kW)</t>
  </si>
  <si>
    <t>Unmetered Scattered Load (470 kWh)</t>
  </si>
  <si>
    <t>Rate Riders</t>
  </si>
  <si>
    <t>Distribution with Rate Riders</t>
  </si>
  <si>
    <t>Total Bill ( After Tax)</t>
  </si>
  <si>
    <t>% Total Bill Change before Taxes and OER</t>
  </si>
  <si>
    <t>Hydro Ottawa Limited</t>
  </si>
  <si>
    <t>PROPOSED - TARIFF OF RATES AND CHARGES</t>
  </si>
  <si>
    <t>Effective and Implementation Date January 1, 2026</t>
  </si>
  <si>
    <t>This schedule supersedes and replaces all previously</t>
  </si>
  <si>
    <t>approved schedules of Rates, Charges and Loss Factors</t>
  </si>
  <si>
    <t>EB-2024-0115</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</si>
  <si>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</si>
  <si>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</si>
  <si>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</si>
  <si>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</si>
  <si>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</si>
  <si>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</si>
  <si>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</si>
  <si>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</si>
  <si>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</si>
  <si>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</si>
  <si>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Lost Revenue Adjustment Mechanism (LRAM) Recovery - effective until December 31, 2027</t>
  </si>
  <si>
    <t>Rate Rider for Group 2 Accounts - effective until December 31, 2026</t>
  </si>
  <si>
    <t>Smart Metering Entity Charge</t>
  </si>
  <si>
    <t>Low Voltage Service Rate</t>
  </si>
  <si>
    <t>$/kWh</t>
  </si>
  <si>
    <t>Rate Rider for Disposition of Deferral/Variance Accounts</t>
  </si>
  <si>
    <t>Rate Rider for RSVA Global Adjustment</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</si>
  <si>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</si>
  <si>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</si>
  <si>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</si>
  <si>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</si>
  <si>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</si>
  <si>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</si>
  <si>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</si>
  <si>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</si>
  <si>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</si>
  <si>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</si>
  <si>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Distribution Volumetric Rate</t>
  </si>
  <si>
    <t>Rate Rider for Lost Revenue Adjustment Mechanism (LRAM) Recovery - effective until December 31, 2026</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</si>
  <si>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</si>
  <si>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</si>
  <si>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</si>
  <si>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</si>
  <si>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</si>
  <si>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$/kW</t>
  </si>
  <si>
    <t>Rate Rider for Disposition of Deferral/Variance Accounts (exlcuding Global Adj.) NON-WMP</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</si>
  <si>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</si>
  <si>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</si>
  <si>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</si>
  <si>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</si>
  <si>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</si>
  <si>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</si>
  <si>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</si>
  <si>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</si>
  <si>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</si>
  <si>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</si>
  <si>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</si>
  <si>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</si>
  <si>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</si>
  <si>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</si>
  <si>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</si>
  <si>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</si>
  <si>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</si>
  <si>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</si>
  <si>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</si>
  <si>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</si>
  <si>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</si>
  <si>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</si>
  <si>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Rate Rider for Disposition of Accounts 1595 - Effective until December 31, 2026</t>
  </si>
  <si>
    <t>MICROFIT AND OTHER GENERATION &lt;10kW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</si>
  <si>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</si>
  <si>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</si>
  <si>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FIT SERVICE AND OTHER GENERATION &gt;10kW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</si>
  <si>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</si>
  <si>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</si>
  <si>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</si>
  <si>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</si>
  <si>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</si>
  <si>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</si>
  <si>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</si>
  <si>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</si>
  <si>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</si>
  <si>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</si>
  <si>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</si>
  <si>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</si>
  <si>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</si>
  <si>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</si>
  <si>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</si>
  <si>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</si>
  <si>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</si>
  <si>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</si>
  <si>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</si>
  <si>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</si>
  <si>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</si>
  <si>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</si>
  <si>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</si>
  <si>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</si>
  <si>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</si>
  <si>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</si>
  <si>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</si>
  <si>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</si>
  <si>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</si>
  <si>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</si>
  <si>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</si>
  <si>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</si>
  <si>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</si>
  <si>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</si>
  <si>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</si>
  <si>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</si>
  <si>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</si>
  <si>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</si>
  <si>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</si>
  <si>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</si>
  <si>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</si>
  <si>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</si>
  <si>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</si>
  <si>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</si>
  <si>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</si>
  <si>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</si>
  <si>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</si>
  <si>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More than twice a year, per request (plus incremental delivery costs)</t>
  </si>
  <si>
    <t>Notice of switch letter charge, per letter (unless the distributor has opted out of applying the charge as</t>
  </si>
  <si>
    <t>per the 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</si>
  <si>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</si>
  <si>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</si>
  <si>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</si>
  <si>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</si>
  <si>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</si>
  <si>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</si>
  <si>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EB-2023-0032
ORIGINAL
DATE TBD, 2023</t>
  </si>
  <si>
    <t>2024 Rate riders if balances are disposed over X years:</t>
  </si>
  <si>
    <t>effect of no '24 RR on '25 total bill</t>
  </si>
  <si>
    <t>effect of '24 RR on '25 total bill</t>
  </si>
  <si>
    <t>NOT REVIEWED/USED for UPDATE</t>
  </si>
  <si>
    <t>2024'S RATE RIDERS OVER X year(s)---&gt;</t>
  </si>
  <si>
    <t>n/a</t>
  </si>
  <si>
    <t>Excludes 2025's Grp 1 RRs</t>
  </si>
  <si>
    <t>Rates Summary 2020-2025</t>
  </si>
  <si>
    <t>SELECTED 1 YR</t>
  </si>
  <si>
    <t>2024 RR</t>
  </si>
  <si>
    <t>2025 RR</t>
  </si>
  <si>
    <t>Rate Class</t>
  </si>
  <si>
    <t>2020 Approved</t>
  </si>
  <si>
    <t>2021 Proposed</t>
  </si>
  <si>
    <t>2022 Approved</t>
  </si>
  <si>
    <t>2023 Approved</t>
  </si>
  <si>
    <t>2024 Proposed with 1 Yr '24 RR</t>
  </si>
  <si>
    <t>2025 Proposed</t>
  </si>
  <si>
    <t>Y2 '23 DVA Grp 1, excl GA</t>
  </si>
  <si>
    <t>Yr 2 DVA Grp 1 - Non -WMP</t>
  </si>
  <si>
    <t>24 DVA Grp 1, excl GA</t>
  </si>
  <si>
    <t>24 CBR</t>
  </si>
  <si>
    <t>2024 Grp 1 - non WMP</t>
  </si>
  <si>
    <t>2024 Grp 1 GA Non-RPP</t>
  </si>
  <si>
    <t>2024 LRAM</t>
  </si>
  <si>
    <t>Total '24</t>
  </si>
  <si>
    <t>2024 proposed with 2Yr '24 RR</t>
  </si>
  <si>
    <t>2024 Change</t>
  </si>
  <si>
    <t>2025 LRAM</t>
  </si>
  <si>
    <t>2025 with no '24 RRs</t>
  </si>
  <si>
    <t>2025 with '24 RRs</t>
  </si>
  <si>
    <t>2025 impact with no '24 RRs</t>
  </si>
  <si>
    <t>2025 impact with '24 RRs</t>
  </si>
  <si>
    <t>2026 with no '24 RR impact</t>
  </si>
  <si>
    <t>2026 with '24 RR impact</t>
  </si>
  <si>
    <t>check</t>
  </si>
  <si>
    <t>Residential
 (750 kWh)</t>
  </si>
  <si>
    <t>Distribution Charge</t>
  </si>
  <si>
    <t>Change in Distribution Charge</t>
  </si>
  <si>
    <t>LRAM Rate riders dropping off</t>
  </si>
  <si>
    <t>% Distribution Increase</t>
  </si>
  <si>
    <t>Change in Total Bill</t>
  </si>
  <si>
    <t>All rate riders dropping off</t>
  </si>
  <si>
    <t>% Increase of Total Bill</t>
  </si>
  <si>
    <t>#REF!</t>
  </si>
  <si>
    <t>Residential
 (232 kWh)</t>
  </si>
  <si>
    <t>General Service &lt;50kW 
(2000 kWh)</t>
  </si>
  <si>
    <t>General Service 50-1,499 kWh 
(250 KW)</t>
  </si>
  <si>
    <t>rate</t>
  </si>
  <si>
    <t>$$</t>
  </si>
  <si>
    <t>General Service 1,500-4,999 kWh
(2500 KW)</t>
  </si>
  <si>
    <t>Large Use
 (7500KW)</t>
  </si>
  <si>
    <t>Sentinel Lighting
(94 kWh)</t>
  </si>
  <si>
    <t>Street Lighting
(5196 KW)</t>
  </si>
  <si>
    <t>Street Lighting
(50 KW)</t>
  </si>
  <si>
    <t>Unmetered Scattered Load
(470 kWh)</t>
  </si>
  <si>
    <t>Effective and Implementation Date January 1, 2027</t>
  </si>
  <si>
    <t>NET-METERING SERVICE CLASSIFICATION</t>
  </si>
  <si>
    <t>This classification applies to an eligible electricity generation facility as defined in O. Reg. 541/05 . Further servicing details are available in the distributor's Conditions of Service.</t>
  </si>
  <si>
    <t>Effective and Implementation Date January 1, 2028</t>
  </si>
  <si>
    <t>Effective and Implementation Date January 1, 2029</t>
  </si>
  <si>
    <t>Effective and Implementation Date January 1, 2030</t>
  </si>
  <si>
    <t>Proposed Rate</t>
  </si>
  <si>
    <t>2025F</t>
  </si>
  <si>
    <t>lookup</t>
  </si>
  <si>
    <t>Fixed</t>
  </si>
  <si>
    <t>Monthly Service Charge</t>
  </si>
  <si>
    <t>Residential</t>
  </si>
  <si>
    <t>General Service &lt; 50 kW</t>
  </si>
  <si>
    <t>General Service 50 to 1,499 KW</t>
  </si>
  <si>
    <t>General Service 1,500 to 4,999 KW</t>
  </si>
  <si>
    <t>Large User</t>
  </si>
  <si>
    <t>Street Light</t>
  </si>
  <si>
    <t>Sentinel Lights</t>
  </si>
  <si>
    <t>Unmetered Scattered Load</t>
  </si>
  <si>
    <t>Standby Power General Service 50 to 1,499 KW</t>
  </si>
  <si>
    <t>Standby Power General Service 1,500 to 4,999 KW</t>
  </si>
  <si>
    <t>Standby Power Large Use</t>
  </si>
  <si>
    <t>Variable</t>
  </si>
  <si>
    <t>Deferral/Variance Account Disposition Rate Rider</t>
  </si>
  <si>
    <t>Approved Rate Riders Year 2 for DVA Group 1 Accts excluding GA (2025)</t>
  </si>
  <si>
    <t>1550, 1551, 1584, 1586, 1595</t>
  </si>
  <si>
    <t>DVA Disposition Rate Rider Group 1 -2025</t>
  </si>
  <si>
    <t>Proposed Rate Riders for DVA Group 1 Accts excluding GA (2024)</t>
  </si>
  <si>
    <t>DVA Disposition Rate Rider Group 1 - 2024</t>
  </si>
  <si>
    <t>Deferral/Variance Account Disposition Rate Rider Group 2</t>
  </si>
  <si>
    <t xml:space="preserve">Rate Rider Calculation for Group 2 Accounts  </t>
  </si>
  <si>
    <t>per customer per month</t>
  </si>
  <si>
    <t>Approved Rate Riders Year 2 for Accounts 1595 [1568] (2026)</t>
  </si>
  <si>
    <t>LRAM Rate Rider</t>
  </si>
  <si>
    <t>Rate Rider for Disposition of Lost Revenue Adjustment Mechanism Variance Account (LRAMVA) (2027)</t>
  </si>
  <si>
    <t>Rate Rider Capacity Based Recovery Account Applicable for only for Class B</t>
  </si>
  <si>
    <t>CBR Class B Rate Riders</t>
  </si>
  <si>
    <t>NONE</t>
  </si>
  <si>
    <t>Rate Rider Calculation for PILs</t>
  </si>
  <si>
    <t>Rate Rider Calculation for Generic</t>
  </si>
  <si>
    <t>Rate Rider Calculation for RSVA - Power - GA  --  for NON-RPP Class B Customers (2023)</t>
  </si>
  <si>
    <t>GA Rate Riders</t>
  </si>
  <si>
    <t>Approved Rate Rider Year 2 for DVA Grp 1 (excluding Global Adj.) - NON-WMP (2023)</t>
  </si>
  <si>
    <t>1580 and 1588</t>
  </si>
  <si>
    <t>Total Deferral/Variance Account Rate RidersYr2</t>
  </si>
  <si>
    <t>Rate Rider Calculation for DVA Grp 1 Balances (excluding Global Adj.) - NON-WMP (2024)</t>
  </si>
  <si>
    <t>Total Deferral/Variance Account Rate Riders</t>
  </si>
  <si>
    <t>RTSR - Network</t>
  </si>
  <si>
    <t>RTSR - Line and Transformation Connection</t>
  </si>
  <si>
    <t>Wholesale Market Service Charge (WMSC)</t>
  </si>
  <si>
    <t>Rural and Remote Rate Protection (RRRP)</t>
  </si>
  <si>
    <t>HOL custom rate</t>
  </si>
  <si>
    <t>Standard Supply Service Charge</t>
  </si>
  <si>
    <t>RPP Rates</t>
  </si>
  <si>
    <t>TOU - Off Peak</t>
  </si>
  <si>
    <t>TOU - Mid Peak</t>
  </si>
  <si>
    <t>TOU - On Peak</t>
  </si>
  <si>
    <t>Energy - RPP - Tier 1</t>
  </si>
  <si>
    <t>Energy - RPP - Tier 2</t>
  </si>
  <si>
    <t>Average IESO Wholesale Market Price</t>
  </si>
  <si>
    <t>Low Voltage</t>
  </si>
  <si>
    <t>Low Voltage Service Charge</t>
  </si>
  <si>
    <t>SME</t>
  </si>
  <si>
    <t>Smart Meter Entity Charge</t>
  </si>
  <si>
    <t>Provincial Government Rebate</t>
  </si>
  <si>
    <t>Provincial Rebate</t>
  </si>
  <si>
    <t>Loss Factor (Bill Impacts)</t>
  </si>
  <si>
    <t>Loss Factor (Rate Order)</t>
  </si>
  <si>
    <t>Disconnect/reconnect at meter - regular hours (new account)</t>
  </si>
  <si>
    <t>Disconnect/reconnect at meter - after regular hours (new account)</t>
  </si>
  <si>
    <t>Per Attached Table</t>
  </si>
  <si>
    <t>Service Transaction Requests (STR)</t>
  </si>
  <si>
    <t>Electronic Business Transaction (EBT) system, applied to the requesting party</t>
  </si>
  <si>
    <t>Up to twice a year</t>
  </si>
  <si>
    <t>no charge</t>
  </si>
  <si>
    <t>Notice of switch letter charge, per letter (unless the distributor has opted out of applying the charge as per the</t>
  </si>
  <si>
    <t>Ontario Energy Board's Decision and Order EB-2015-0304, issued on February 14, 2019)</t>
  </si>
  <si>
    <t>Proposed</t>
  </si>
  <si>
    <t>MicroFIT</t>
  </si>
  <si>
    <t>FIT</t>
  </si>
  <si>
    <t>HCI, RESOP, Other Energy Resource</t>
  </si>
  <si>
    <t>Net-Metering</t>
  </si>
  <si>
    <t>Tiered KWH</t>
  </si>
  <si>
    <t>Appendix 2-W</t>
  </si>
  <si>
    <t>Use "1" for Summer and "2" for Winter</t>
  </si>
  <si>
    <t>Bill Impacts</t>
  </si>
  <si>
    <t>Customer Class:</t>
  </si>
  <si>
    <t>TOU / non-TOU:</t>
  </si>
  <si>
    <t>TOU</t>
  </si>
  <si>
    <t>Consumption</t>
  </si>
  <si>
    <t>kWh</t>
  </si>
  <si>
    <t>Charge Unit</t>
  </si>
  <si>
    <t>Rate</t>
  </si>
  <si>
    <t>Volume</t>
  </si>
  <si>
    <t>Charge</t>
  </si>
  <si>
    <t>$ Change</t>
  </si>
  <si>
    <t>% Change</t>
  </si>
  <si>
    <t>($)</t>
  </si>
  <si>
    <t>Monthly</t>
  </si>
  <si>
    <t>Smart Meter Rate Adder</t>
  </si>
  <si>
    <t>per kWh</t>
  </si>
  <si>
    <t>Smart Meter Disposition Rider</t>
  </si>
  <si>
    <t>Sub-Total A (excluding pass through)</t>
  </si>
  <si>
    <t>GA Disposition Rate Rider-NonRPP</t>
  </si>
  <si>
    <t>Line Losses on Cost of Power</t>
  </si>
  <si>
    <t>Sub-Total B - Distribution (includes Sub-Total A)</t>
  </si>
  <si>
    <t>Sub-Total C - Delivery (including Sub-Total B)</t>
  </si>
  <si>
    <t>Total Bill on TOU (before Taxes)</t>
  </si>
  <si>
    <t>HST</t>
  </si>
  <si>
    <r>
      <rPr>
        <b/>
        <sz val="10"/>
        <color theme="1"/>
        <rFont val="Arial"/>
      </rPr>
      <t xml:space="preserve">Total Bill </t>
    </r>
    <r>
      <rPr>
        <sz val="10"/>
        <color theme="1"/>
        <rFont val="Arial"/>
      </rPr>
      <t>(including HST)</t>
    </r>
  </si>
  <si>
    <t>Total Bill on TOU (incl Prov. Rebate)</t>
  </si>
  <si>
    <t>Total Bill on RPP (before Taxes)</t>
  </si>
  <si>
    <r>
      <rPr>
        <b/>
        <sz val="10"/>
        <color theme="1"/>
        <rFont val="Arial"/>
      </rPr>
      <t xml:space="preserve">Total Bill </t>
    </r>
    <r>
      <rPr>
        <sz val="10"/>
        <color theme="1"/>
        <rFont val="Arial"/>
      </rPr>
      <t>(including HST)</t>
    </r>
  </si>
  <si>
    <t>Total Bill on RPP (incl Prov. Rebate)</t>
  </si>
  <si>
    <t>Loss Factor (%)</t>
  </si>
  <si>
    <r>
      <rPr>
        <sz val="10"/>
        <color theme="1"/>
        <rFont val="Arial"/>
      </rPr>
      <t>1</t>
    </r>
    <r>
      <rPr>
        <sz val="10"/>
        <color theme="1"/>
        <rFont val="Arial"/>
      </rPr>
      <t xml:space="preserve"> Applicable to eligible customers only.  Refer to the </t>
    </r>
    <r>
      <rPr>
        <i/>
        <sz val="10"/>
        <color theme="1"/>
        <rFont val="Arial"/>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</si>
  <si>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</si>
  <si>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</si>
  <si>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</si>
  <si>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</si>
  <si>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</si>
  <si>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</si>
  <si>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</si>
  <si>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</si>
  <si>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</si>
  <si>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</si>
  <si>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</si>
  <si>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</si>
  <si>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</si>
  <si>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</si>
  <si>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</si>
  <si>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</si>
  <si>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</si>
  <si>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</si>
  <si>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</si>
  <si>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</si>
  <si>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t xml:space="preserve"> kWh</t>
  </si>
  <si>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</si>
  <si>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</si>
  <si>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</si>
  <si>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</si>
  <si>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</si>
  <si>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</si>
  <si>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</si>
  <si>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</si>
  <si>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</si>
  <si>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</si>
  <si>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</si>
  <si>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</si>
  <si>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</si>
  <si>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</si>
  <si>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</si>
  <si>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</si>
  <si>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</si>
  <si>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</si>
  <si>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</si>
  <si>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</si>
  <si>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</si>
  <si>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</si>
  <si>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</si>
  <si>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</si>
  <si>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</si>
  <si>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</si>
  <si>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</si>
  <si>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</si>
  <si>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</si>
  <si>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</si>
  <si>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t>non-TOU</t>
  </si>
  <si>
    <t>kW</t>
  </si>
  <si>
    <t>per kW</t>
  </si>
  <si>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</si>
  <si>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</si>
  <si>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</si>
  <si>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</si>
  <si>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</si>
  <si>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</si>
  <si>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</si>
  <si>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</si>
  <si>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</si>
  <si>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</si>
  <si>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</si>
  <si>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</si>
  <si>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</si>
  <si>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</si>
  <si>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</si>
  <si>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</si>
  <si>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</si>
  <si>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</si>
  <si>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</si>
  <si>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</si>
  <si>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</si>
  <si>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</si>
  <si>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</si>
  <si>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</si>
  <si>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</si>
  <si>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</si>
  <si>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</si>
  <si>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</si>
  <si>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</si>
  <si>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</si>
  <si>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</si>
  <si>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</si>
  <si>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</si>
  <si>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</si>
  <si>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</si>
  <si>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</si>
  <si>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</si>
  <si>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</si>
  <si>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</si>
  <si>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</si>
  <si>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</si>
  <si>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t>OEB's Bill impact #s</t>
  </si>
  <si>
    <t>City's #s</t>
  </si>
  <si>
    <r>
      <rPr>
        <b/>
        <sz val="10"/>
        <color theme="1"/>
        <rFont val="Arial"/>
      </rPr>
      <t xml:space="preserve">Total Bill </t>
    </r>
    <r>
      <rPr>
        <sz val="10"/>
        <color theme="1"/>
        <rFont val="Arial"/>
      </rPr>
      <t>(including HST)</t>
    </r>
  </si>
  <si>
    <r>
      <rPr>
        <b/>
        <strike/>
        <sz val="10"/>
        <color theme="1"/>
        <rFont val="Arial"/>
      </rPr>
      <t xml:space="preserve">Total Bill </t>
    </r>
    <r>
      <rPr>
        <strike/>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</si>
  <si>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</si>
  <si>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</si>
  <si>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</si>
  <si>
    <r>
      <rPr>
        <sz val="10"/>
        <color theme="1"/>
        <rFont val="Arial"/>
      </rPr>
      <t>1</t>
    </r>
    <r>
      <rPr>
        <sz val="10"/>
        <color theme="1"/>
        <rFont val="Arial"/>
      </rPr>
      <t xml:space="preserve"> Applicable to eligible customers only.  Refer to the </t>
    </r>
    <r>
      <rPr>
        <i/>
        <sz val="10"/>
        <color theme="1"/>
        <rFont val="Arial"/>
      </rPr>
      <t>Ontario Clean Energy Benefit Act, 2010.</t>
    </r>
  </si>
  <si>
    <r>
      <rPr>
        <b/>
        <sz val="10"/>
        <color theme="1"/>
        <rFont val="Arial"/>
      </rPr>
      <t xml:space="preserve">Total Bill </t>
    </r>
    <r>
      <rPr>
        <sz val="10"/>
        <color theme="1"/>
        <rFont val="Arial"/>
      </rPr>
      <t>(including HST)</t>
    </r>
  </si>
  <si>
    <r>
      <rPr>
        <b/>
        <sz val="10"/>
        <color theme="1"/>
        <rFont val="Arial"/>
      </rPr>
      <t xml:space="preserve">Total Bill </t>
    </r>
    <r>
      <rPr>
        <sz val="10"/>
        <color theme="1"/>
        <rFont val="Arial"/>
      </rPr>
      <t>(including HST)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</si>
</sst>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quot;$&quot;* #,##0.00_-;\-&quot;$&quot;* #,##0.00_-;_-&quot;$&quot;* &quot;-&quot;??_-;_-@"/>
    <numFmt numFmtId="166" formatCode="_-* #,##0.00_-;\-* #,##0.00_-;_-* &quot;-&quot;??_-;_-@"/>
    <numFmt numFmtId="167" formatCode="0.0000"/>
    <numFmt numFmtId="168" formatCode="0.00000"/>
    <numFmt numFmtId="169" formatCode="[$-409]mmmm\ d\,\ yyyy"/>
    <numFmt numFmtId="170" formatCode="0.0%"/>
    <numFmt numFmtId="171" formatCode="_-&quot;$&quot;* #,##0.0000_-;\-&quot;$&quot;* #,##0.0000_-;_-&quot;$&quot;* &quot;-&quot;??.000_-;_-@"/>
    <numFmt numFmtId="172" formatCode="_-&quot;$&quot;* #,##0.0000_-;\-&quot;$&quot;* #,##0.0000_-;_-&quot;$&quot;* &quot;-&quot;??.0000_-;_-@"/>
    <numFmt numFmtId="173" formatCode="_-&quot;$&quot;* #,##0.0000_-;\-&quot;$&quot;* #,##0.0000_-;_-&quot;$&quot;* &quot;-&quot;??_-;_-@"/>
    <numFmt numFmtId="174" formatCode="_-* #,##0.0_-;\-* #,##0.0_-;_-* &quot;-&quot;??_-;_-@"/>
    <numFmt numFmtId="175" formatCode="0.000000"/>
    <numFmt numFmtId="176" formatCode="&quot;$&quot;#,##0.00;[Red]\-&quot;$&quot;#,##0.00"/>
    <numFmt numFmtId="177" formatCode="#,##0.0000"/>
    <numFmt numFmtId="178" formatCode="&quot;$&quot;#,##0.00000_);[Red]\(&quot;$&quot;#,##0.00000\)"/>
    <numFmt numFmtId="179" formatCode="_-* #,##0_-;\-* #,##0_-;_-* &quot;-&quot;??_-;_-@"/>
    <numFmt numFmtId="180" formatCode="_-&quot;$&quot;* #,##0.0000_-;\-&quot;$&quot;* #,##0.0000_-;_-&quot;$&quot;* &quot;-&quot;??.00_-;_-@"/>
    <numFmt numFmtId="181" formatCode="_-&quot;$&quot;* #,##0.00000_-;\-&quot;$&quot;* #,##0.00000_-;_-&quot;$&quot;* &quot;-&quot;??_-;_-@"/>
    <numFmt numFmtId="182" formatCode="0.0000%"/>
    <numFmt numFmtId="183" formatCode="_-&quot;$&quot;* #,##0.000000_-;\-&quot;$&quot;* #,##0.000000_-;_-&quot;$&quot;* &quot;-&quot;??_-;_-@"/>
    <numFmt numFmtId="184" formatCode="_-* #,##0.0_-;\-* #,##0.0_-;_-* &quot;-&quot;??.0_-;_-@"/>
    <numFmt numFmtId="185" formatCode="_-&quot;$&quot;* #,##0.000_-;\-&quot;$&quot;* #,##0.000_-;_-&quot;$&quot;* &quot;-&quot;??_-;_-@"/>
    <numFmt numFmtId="186" formatCode="_(* #,##0.0_);_(* \(#,##0.0\);_(* &quot;-&quot;_);_(@_)"/>
  </numFmts>
  <fonts count="89">
    <font>
      <sz val="10"/>
      <color rgb="FF000000"/>
      <name val="Arial"/>
      <scheme val="minor"/>
    </font>
    <font>
      <b/>
      <sz val="11"/>
      <color rgb="FF1F1F1F"/>
      <name val="Arial"/>
    </font>
    <font>
      <b/>
      <sz val="11"/>
      <color rgb="FF005B9B"/>
      <name val="Arial"/>
    </font>
    <font>
      <sz val="10"/>
      <color rgb="FF000000"/>
      <name val="Arial"/>
    </font>
    <font>
      <sz val="9"/>
      <color rgb="FF444746"/>
      <name val="Arial"/>
    </font>
    <font>
      <sz val="10"/>
      <color theme="1"/>
      <name val="Arial"/>
    </font>
    <font>
      <sz val="12"/>
      <color theme="1"/>
      <name val="Arial"/>
    </font>
    <font>
      <b/>
      <sz val="9"/>
      <color rgb="FFFFFFFF"/>
      <name val="Arial"/>
    </font>
    <font>
      <sz val="10"/>
      <name val="Arial"/>
    </font>
    <font>
      <sz val="8"/>
      <color rgb="FFD9D9D9"/>
      <name val="Arial"/>
    </font>
    <font>
      <sz val="8"/>
      <color theme="1"/>
      <name val="Arial"/>
    </font>
    <font>
      <b/>
      <sz val="8"/>
      <color rgb="FF005B9B"/>
      <name val="Arial"/>
    </font>
    <font>
      <b/>
      <sz val="8"/>
      <color rgb="FFD9D9D9"/>
      <name val="Arial"/>
    </font>
    <font>
      <b/>
      <sz val="9"/>
      <color rgb="FF000000"/>
      <name val="Arial"/>
    </font>
    <font>
      <sz val="9"/>
      <color rgb="FF000000"/>
      <name val="Arial"/>
    </font>
    <font>
      <sz val="9"/>
      <color rgb="FFFFFFFF"/>
      <name val="Arial"/>
    </font>
    <font>
      <b/>
      <sz val="11"/>
      <color rgb="FF000000"/>
      <name val="Arial"/>
    </font>
    <font>
      <b/>
      <sz val="10"/>
      <color rgb="FF000000"/>
      <name val="Arial"/>
    </font>
    <font>
      <sz val="9"/>
      <color theme="0"/>
      <name val="Arial"/>
    </font>
    <font>
      <sz val="9"/>
      <color theme="1"/>
      <name val="Arial"/>
    </font>
    <font>
      <b/>
      <sz val="9"/>
      <color theme="1"/>
      <name val="Arial"/>
    </font>
    <font>
      <b/>
      <sz val="18"/>
      <color theme="1"/>
      <name val="Arial"/>
    </font>
    <font>
      <sz val="11"/>
      <color theme="1"/>
      <name val="Calibri"/>
    </font>
    <font>
      <b/>
      <sz val="14"/>
      <color theme="1"/>
      <name val="Arial"/>
    </font>
    <font>
      <b/>
      <sz val="12"/>
      <color theme="1"/>
      <name val="Arial"/>
    </font>
    <font>
      <b/>
      <sz val="10"/>
      <color theme="1"/>
      <name val="Arial"/>
    </font>
    <font>
      <b/>
      <sz val="8"/>
      <color theme="1"/>
      <name val="Arial"/>
    </font>
    <font>
      <sz val="14"/>
      <color theme="1"/>
      <name val="Calibri"/>
    </font>
    <font>
      <i/>
      <sz val="9"/>
      <color theme="1"/>
      <name val="Arial"/>
    </font>
    <font>
      <sz val="6"/>
      <color theme="1"/>
      <name val="Calibri"/>
    </font>
    <font>
      <b/>
      <sz val="11"/>
      <color theme="1"/>
      <name val="Calibri"/>
    </font>
    <font>
      <i/>
      <sz val="11"/>
      <color rgb="FF1155CC"/>
      <name val="Calibri"/>
    </font>
    <font>
      <sz val="10"/>
      <color rgb="FF666666"/>
      <name val="Arial"/>
    </font>
    <font>
      <sz val="9"/>
      <color theme="1"/>
      <name val="Helvetica Neue"/>
    </font>
    <font>
      <sz val="9"/>
      <color theme="1"/>
      <name val="Calibri"/>
    </font>
    <font>
      <b/>
      <sz val="11"/>
      <color rgb="FFFFFFFF"/>
      <name val="Helvetica Neue"/>
    </font>
    <font>
      <b/>
      <sz val="11"/>
      <color rgb="FF980000"/>
      <name val="Helvetica Neue"/>
    </font>
    <font>
      <sz val="11"/>
      <color rgb="FFFFFFFF"/>
      <name val="Calibri"/>
    </font>
    <font>
      <sz val="12"/>
      <color rgb="FF666666"/>
      <name val="Calibri"/>
    </font>
    <font>
      <sz val="7"/>
      <color theme="1"/>
      <name val="Calibri"/>
    </font>
    <font>
      <sz val="6"/>
      <color theme="1"/>
      <name val="Arial"/>
    </font>
    <font>
      <b/>
      <sz val="11"/>
      <color rgb="FF1155CC"/>
      <name val="Calibri"/>
    </font>
    <font>
      <sz val="10"/>
      <color rgb="FF1155CC"/>
      <name val="Arial"/>
    </font>
    <font>
      <b/>
      <sz val="13"/>
      <color theme="1"/>
      <name val="Calibri"/>
    </font>
    <font>
      <b/>
      <sz val="6"/>
      <color theme="1"/>
      <name val="Calibri"/>
    </font>
    <font>
      <b/>
      <sz val="10"/>
      <color theme="1"/>
      <name val="Helvetica Neue"/>
    </font>
    <font>
      <sz val="9"/>
      <color rgb="FF666666"/>
      <name val="Calibri"/>
    </font>
    <font>
      <b/>
      <sz val="11"/>
      <color theme="1"/>
      <name val="Helvetica Neue"/>
    </font>
    <font>
      <b/>
      <sz val="7"/>
      <color theme="1"/>
      <name val="Helvetica Neue"/>
    </font>
    <font>
      <b/>
      <sz val="6"/>
      <color theme="1"/>
      <name val="Helvetica Neue"/>
    </font>
    <font>
      <b/>
      <sz val="11"/>
      <color rgb="FF666666"/>
      <name val="Helvetica Neue"/>
    </font>
    <font>
      <sz val="11"/>
      <color theme="1"/>
      <name val="Helvetica Neue"/>
    </font>
    <font>
      <sz val="7"/>
      <color theme="1"/>
      <name val="Helvetica Neue"/>
    </font>
    <font>
      <sz val="6"/>
      <color theme="1"/>
      <name val="Helvetica Neue"/>
    </font>
    <font>
      <sz val="11"/>
      <color rgb="FF666666"/>
      <name val="Helvetica Neue"/>
    </font>
    <font>
      <sz val="11"/>
      <color theme="0"/>
      <name val="Helvetica Neue"/>
    </font>
    <font>
      <i/>
      <sz val="11"/>
      <color rgb="FFA4C2F4"/>
      <name val="Calibri"/>
    </font>
    <font>
      <sz val="11"/>
      <color rgb="FFB7B7B7"/>
      <name val="Helvetica Neue"/>
    </font>
    <font>
      <sz val="7"/>
      <color theme="1"/>
      <name val="Arial"/>
    </font>
    <font>
      <sz val="11"/>
      <color theme="1"/>
      <name val="Arial"/>
    </font>
    <font>
      <b/>
      <sz val="13"/>
      <color rgb="FF980000"/>
      <name val="Arial"/>
    </font>
    <font>
      <i/>
      <sz val="10"/>
      <color rgb="FFD9D9D9"/>
      <name val="Arial"/>
    </font>
    <font>
      <b/>
      <sz val="10"/>
      <color rgb="FF999999"/>
      <name val="Arial"/>
    </font>
    <font>
      <b/>
      <i/>
      <sz val="10"/>
      <color theme="1"/>
      <name val="Arial"/>
    </font>
    <font>
      <b/>
      <u/>
      <sz val="10"/>
      <color theme="1"/>
      <name val="Arial"/>
    </font>
    <font>
      <b/>
      <sz val="12"/>
      <color rgb="FF000000"/>
      <name val="Arial"/>
    </font>
    <font>
      <b/>
      <i/>
      <sz val="10"/>
      <color rgb="FF0000FF"/>
      <name val="Arial"/>
    </font>
    <font>
      <sz val="12"/>
      <color rgb="FF000000"/>
      <name val="Arial"/>
    </font>
    <font>
      <u/>
      <sz val="10"/>
      <color theme="1"/>
      <name val="Arial"/>
    </font>
    <font>
      <i/>
      <sz val="10"/>
      <color theme="1"/>
      <name val="Arial"/>
    </font>
    <font>
      <sz val="10"/>
      <color rgb="FF1F1F1F"/>
      <name val="Arial"/>
    </font>
    <font>
      <b/>
      <sz val="10"/>
      <color rgb="FFFFFFFF"/>
      <name val="Arial"/>
    </font>
    <font>
      <b/>
      <sz val="11"/>
      <color theme="1"/>
      <name val="Arial"/>
    </font>
    <font>
      <sz val="10"/>
      <color rgb="FFD9D9D9"/>
      <name val="Arial"/>
    </font>
    <font>
      <i/>
      <sz val="5"/>
      <color theme="1"/>
      <name val="Arial"/>
    </font>
    <font>
      <sz val="10"/>
      <color rgb="FFFF0000"/>
      <name val="Arial"/>
    </font>
    <font>
      <vertAlign val="superscript"/>
      <sz val="10"/>
      <color theme="1"/>
      <name val="Arial"/>
    </font>
    <font>
      <strike/>
      <sz val="10"/>
      <color theme="1"/>
      <name val="Arial"/>
    </font>
    <font>
      <b/>
      <strike/>
      <sz val="10"/>
      <color theme="1"/>
      <name val="Arial"/>
    </font>
    <font>
      <b/>
      <i/>
      <strike/>
      <sz val="10"/>
      <color theme="1"/>
      <name val="Arial"/>
    </font>
    <font>
      <strike/>
      <sz val="10"/>
      <color rgb="FFFF0000"/>
      <name val="Arial"/>
    </font>
    <font>
      <i/>
      <strike/>
      <sz val="9"/>
      <color theme="1"/>
      <name val="Arial"/>
    </font>
    <font>
      <strike/>
      <sz val="10"/>
      <color rgb="FF000000"/>
      <name val="Arial"/>
    </font>
    <font>
      <sz val="5"/>
      <color theme="1"/>
      <name val="Arial"/>
    </font>
    <font>
      <b/>
      <sz val="5"/>
      <color theme="1"/>
      <name val="Arial"/>
    </font>
    <font>
      <strike/>
      <sz val="5"/>
      <color theme="1"/>
      <name val="Arial"/>
    </font>
    <font>
      <sz val="5"/>
      <color rgb="FF000000"/>
      <name val="Arial"/>
    </font>
    <font>
      <b/>
      <sz val="7"/>
      <color theme="1"/>
      <name val="Arial"/>
    </font>
    <font>
      <i/>
      <sz val="7"/>
      <color theme="1"/>
      <name val="Arial"/>
    </font>
  </fonts>
  <fills count="20">
    <fill>
      <patternFill patternType="none"/>
    </fill>
    <fill>
      <patternFill patternType="gray125"/>
    </fill>
    <fill>
      <patternFill patternType="solid">
        <fgColor rgb="FFFFFFFF"/>
        <bgColor rgb="FFFFFFFF"/>
      </patternFill>
    </fill>
    <fill>
      <patternFill patternType="solid">
        <fgColor rgb="FF005B9B"/>
        <bgColor rgb="FF005B9B"/>
      </patternFill>
    </fill>
    <fill>
      <patternFill patternType="solid">
        <fgColor theme="0"/>
        <bgColor theme="0"/>
      </patternFill>
    </fill>
    <fill>
      <patternFill patternType="solid">
        <fgColor rgb="FFFFFF00"/>
        <bgColor rgb="FFFFFF00"/>
      </patternFill>
    </fill>
    <fill>
      <patternFill patternType="solid">
        <fgColor rgb="FFF2F3DA"/>
        <bgColor rgb="FFF2F3DA"/>
      </patternFill>
    </fill>
    <fill>
      <patternFill patternType="solid">
        <fgColor rgb="FFF9CB9C"/>
        <bgColor rgb="FFF9CB9C"/>
      </patternFill>
    </fill>
    <fill>
      <patternFill patternType="solid">
        <fgColor rgb="FFDAEEF3"/>
        <bgColor rgb="FFDAEEF3"/>
      </patternFill>
    </fill>
    <fill>
      <patternFill patternType="solid">
        <fgColor rgb="FFF4CCCC"/>
        <bgColor rgb="FFF4CCCC"/>
      </patternFill>
    </fill>
    <fill>
      <patternFill patternType="solid">
        <fgColor rgb="FFB8CCE4"/>
        <bgColor rgb="FFB8CCE4"/>
      </patternFill>
    </fill>
    <fill>
      <patternFill patternType="solid">
        <fgColor rgb="FFC2D69B"/>
        <bgColor rgb="FFC2D69B"/>
      </patternFill>
    </fill>
    <fill>
      <patternFill patternType="solid">
        <fgColor rgb="FFD9D2E9"/>
        <bgColor rgb="FFD9D2E9"/>
      </patternFill>
    </fill>
    <fill>
      <patternFill patternType="solid">
        <fgColor rgb="FFFFF2CC"/>
        <bgColor rgb="FFFFF2CC"/>
      </patternFill>
    </fill>
    <fill>
      <patternFill patternType="solid">
        <fgColor rgb="FFFFFF99"/>
        <bgColor rgb="FFFFFF99"/>
      </patternFill>
    </fill>
    <fill>
      <patternFill patternType="solid">
        <fgColor rgb="FFEAF1DD"/>
        <bgColor rgb="FFEAF1DD"/>
      </patternFill>
    </fill>
    <fill>
      <patternFill patternType="solid">
        <fgColor rgb="FFDBE5F1"/>
        <bgColor rgb="FFDBE5F1"/>
      </patternFill>
    </fill>
    <fill>
      <patternFill patternType="solid">
        <fgColor rgb="FFF2F2F2"/>
        <bgColor rgb="FFF2F2F2"/>
      </patternFill>
    </fill>
    <fill>
      <patternFill patternType="solid">
        <fgColor rgb="FF7F7F7F"/>
        <bgColor rgb="FF7F7F7F"/>
      </patternFill>
    </fill>
    <fill>
      <patternFill patternType="solid">
        <fgColor rgb="FFFDE9D9"/>
        <bgColor rgb="FFFDE9D9"/>
      </patternFill>
    </fill>
  </fills>
  <borders count="110">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ck">
        <color rgb="FF000000"/>
      </left>
      <right style="medium">
        <color rgb="FF000000"/>
      </right>
      <top style="thick">
        <color rgb="FF000000"/>
      </top>
      <bottom/>
      <diagonal/>
    </border>
    <border>
      <left style="medium">
        <color rgb="FF000000"/>
      </left>
      <right/>
      <top style="thick">
        <color rgb="FF000000"/>
      </top>
      <bottom style="thin">
        <color rgb="FF000000"/>
      </bottom>
      <diagonal/>
    </border>
    <border>
      <left style="medium">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right/>
      <top style="thick">
        <color rgb="FF000000"/>
      </top>
      <bottom/>
      <diagonal/>
    </border>
    <border>
      <left style="thin">
        <color rgb="FF000000"/>
      </left>
      <right/>
      <top style="thick">
        <color rgb="FF000000"/>
      </top>
      <bottom style="thin">
        <color rgb="FF000000"/>
      </bottom>
      <diagonal/>
    </border>
    <border>
      <left style="medium">
        <color rgb="FF000000"/>
      </left>
      <right style="medium">
        <color rgb="FF000000"/>
      </right>
      <top style="thick">
        <color rgb="FF000000"/>
      </top>
      <bottom style="thin">
        <color rgb="FF000000"/>
      </bottom>
      <diagonal/>
    </border>
    <border>
      <left style="medium">
        <color rgb="FF000000"/>
      </left>
      <right/>
      <top style="thick">
        <color rgb="FF000000"/>
      </top>
      <bottom/>
      <diagonal/>
    </border>
    <border>
      <left/>
      <right style="thick">
        <color rgb="FF000000"/>
      </right>
      <top style="thick">
        <color rgb="FF000000"/>
      </top>
      <bottom/>
      <diagonal/>
    </border>
    <border>
      <left style="thick">
        <color rgb="FF000000"/>
      </left>
      <right style="medium">
        <color rgb="FF000000"/>
      </right>
      <top/>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top style="thin">
        <color rgb="FF000000"/>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right/>
      <top/>
      <bottom style="thick">
        <color rgb="FF000000"/>
      </bottom>
      <diagonal/>
    </border>
    <border>
      <left style="thin">
        <color rgb="FF000000"/>
      </left>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style="medium">
        <color rgb="FF000000"/>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thin">
        <color rgb="FF000000"/>
      </left>
      <right/>
      <top style="thin">
        <color rgb="FF000000"/>
      </top>
      <bottom style="thick">
        <color rgb="FF000000"/>
      </bottom>
      <diagonal/>
    </border>
    <border>
      <left/>
      <right style="thin">
        <color rgb="FF000000"/>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medium">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ck">
        <color rgb="FF000000"/>
      </bottom>
      <diagonal/>
    </border>
    <border>
      <left/>
      <right style="thin">
        <color rgb="FF000000"/>
      </right>
      <top/>
      <bottom style="thick">
        <color rgb="FF000000"/>
      </bottom>
      <diagonal/>
    </border>
    <border>
      <left/>
      <right style="medium">
        <color rgb="FF000000"/>
      </right>
      <top/>
      <bottom style="thick">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s>
  <cellStyleXfs count="1">
    <xf numFmtId="0" fontId="0" fillId="0" borderId="0"/>
  </cellStyleXfs>
  <cellXfs count="644">
    <xf numFmtId="0" fontId="0" fillId="0" borderId="0" xfId="0" applyFont="1" applyAlignment="1"/>
    <xf numFmtId="0" fontId="1" fillId="2" borderId="1" xfId="0" applyFont="1" applyFill="1" applyBorder="1"/>
    <xf numFmtId="0" fontId="2" fillId="0" borderId="0" xfId="0" applyFont="1" applyAlignment="1">
      <alignment horizontal="center"/>
    </xf>
    <xf numFmtId="0" fontId="3" fillId="0" borderId="0" xfId="0" applyFont="1"/>
    <xf numFmtId="0" fontId="4" fillId="0" borderId="0" xfId="0" applyFont="1" applyAlignment="1">
      <alignment vertical="center" wrapText="1"/>
    </xf>
    <xf numFmtId="0" fontId="5" fillId="0" borderId="0" xfId="0" applyFont="1" applyAlignment="1">
      <alignment horizontal="center"/>
    </xf>
    <xf numFmtId="0" fontId="6" fillId="0" borderId="0" xfId="0" applyFont="1"/>
    <xf numFmtId="0" fontId="7" fillId="3" borderId="2" xfId="0" applyFont="1" applyFill="1" applyBorder="1" applyAlignment="1">
      <alignment horizontal="center" vertical="center" wrapText="1"/>
    </xf>
    <xf numFmtId="49" fontId="9" fillId="0" borderId="0" xfId="0" applyNumberFormat="1" applyFont="1" applyAlignment="1">
      <alignment horizontal="right"/>
    </xf>
    <xf numFmtId="0" fontId="10" fillId="0" borderId="0" xfId="0" applyFont="1"/>
    <xf numFmtId="0" fontId="11" fillId="0" borderId="0" xfId="0" applyFont="1" applyAlignment="1">
      <alignment horizontal="center"/>
    </xf>
    <xf numFmtId="49" fontId="12" fillId="0" borderId="0" xfId="0" applyNumberFormat="1" applyFont="1" applyAlignment="1">
      <alignment horizontal="center"/>
    </xf>
    <xf numFmtId="0" fontId="10" fillId="0" borderId="0" xfId="0" applyFont="1" applyAlignment="1">
      <alignment horizontal="center"/>
    </xf>
    <xf numFmtId="0" fontId="5" fillId="0" borderId="7" xfId="0" applyFont="1" applyBorder="1"/>
    <xf numFmtId="0" fontId="7" fillId="0" borderId="0" xfId="0" applyFont="1" applyAlignment="1">
      <alignment horizontal="center" vertical="center" wrapText="1"/>
    </xf>
    <xf numFmtId="0" fontId="7" fillId="3" borderId="9"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4" fillId="0" borderId="12" xfId="0" applyFont="1" applyBorder="1" applyAlignment="1">
      <alignment horizontal="left" wrapText="1"/>
    </xf>
    <xf numFmtId="164" fontId="14" fillId="0" borderId="13" xfId="0" applyNumberFormat="1" applyFont="1" applyBorder="1" applyAlignment="1">
      <alignment horizontal="right" wrapText="1"/>
    </xf>
    <xf numFmtId="164" fontId="14" fillId="0" borderId="0" xfId="0" applyNumberFormat="1" applyFont="1" applyAlignment="1">
      <alignment horizontal="right" wrapText="1"/>
    </xf>
    <xf numFmtId="8" fontId="3" fillId="0" borderId="0" xfId="0" applyNumberFormat="1" applyFont="1"/>
    <xf numFmtId="8" fontId="6" fillId="0" borderId="0" xfId="0" applyNumberFormat="1" applyFont="1"/>
    <xf numFmtId="164" fontId="3" fillId="0" borderId="0" xfId="0" applyNumberFormat="1" applyFont="1"/>
    <xf numFmtId="164" fontId="15" fillId="4" borderId="12" xfId="0" applyNumberFormat="1" applyFont="1" applyFill="1" applyBorder="1" applyAlignment="1">
      <alignment horizontal="right" wrapText="1"/>
    </xf>
    <xf numFmtId="164" fontId="14" fillId="0" borderId="12" xfId="0" applyNumberFormat="1" applyFont="1" applyBorder="1" applyAlignment="1">
      <alignment horizontal="right" wrapText="1"/>
    </xf>
    <xf numFmtId="0" fontId="13" fillId="0" borderId="12" xfId="0" applyFont="1" applyBorder="1" applyAlignment="1">
      <alignment horizontal="left" wrapText="1"/>
    </xf>
    <xf numFmtId="10" fontId="15" fillId="4" borderId="12" xfId="0" applyNumberFormat="1" applyFont="1" applyFill="1" applyBorder="1" applyAlignment="1">
      <alignment horizontal="right" wrapText="1"/>
    </xf>
    <xf numFmtId="10" fontId="16" fillId="0" borderId="12" xfId="0" applyNumberFormat="1" applyFont="1" applyBorder="1" applyAlignment="1">
      <alignment horizontal="right" wrapText="1"/>
    </xf>
    <xf numFmtId="10" fontId="17" fillId="0" borderId="12" xfId="0" applyNumberFormat="1" applyFont="1" applyBorder="1" applyAlignment="1">
      <alignment horizontal="right" wrapText="1"/>
    </xf>
    <xf numFmtId="10" fontId="17" fillId="0" borderId="0" xfId="0" applyNumberFormat="1" applyFont="1" applyAlignment="1">
      <alignment horizontal="right" wrapText="1"/>
    </xf>
    <xf numFmtId="10" fontId="3" fillId="0" borderId="0" xfId="0" applyNumberFormat="1" applyFont="1"/>
    <xf numFmtId="10" fontId="6" fillId="0" borderId="0" xfId="0" applyNumberFormat="1" applyFont="1"/>
    <xf numFmtId="10" fontId="14" fillId="0" borderId="0" xfId="0" applyNumberFormat="1" applyFont="1" applyAlignment="1">
      <alignment horizontal="right" wrapText="1"/>
    </xf>
    <xf numFmtId="10" fontId="14" fillId="0" borderId="12" xfId="0" applyNumberFormat="1" applyFont="1" applyBorder="1" applyAlignment="1">
      <alignment horizontal="right" wrapText="1"/>
    </xf>
    <xf numFmtId="0" fontId="13" fillId="0" borderId="10" xfId="0" applyFont="1" applyBorder="1" applyAlignment="1">
      <alignment horizontal="left" wrapText="1"/>
    </xf>
    <xf numFmtId="0" fontId="13" fillId="0" borderId="11" xfId="0" applyFont="1" applyBorder="1" applyAlignment="1">
      <alignment horizontal="left" wrapText="1"/>
    </xf>
    <xf numFmtId="164" fontId="18" fillId="0" borderId="12" xfId="0" applyNumberFormat="1" applyFont="1" applyBorder="1" applyAlignment="1">
      <alignment horizontal="right" wrapText="1"/>
    </xf>
    <xf numFmtId="10" fontId="18" fillId="0" borderId="12" xfId="0" applyNumberFormat="1" applyFont="1" applyBorder="1" applyAlignment="1">
      <alignment horizontal="right" wrapText="1"/>
    </xf>
    <xf numFmtId="0" fontId="13" fillId="0" borderId="10" xfId="0" applyFont="1" applyBorder="1" applyAlignment="1">
      <alignment horizontal="left"/>
    </xf>
    <xf numFmtId="0" fontId="13" fillId="0" borderId="11" xfId="0" applyFont="1" applyBorder="1" applyAlignment="1">
      <alignment horizontal="left"/>
    </xf>
    <xf numFmtId="164" fontId="19" fillId="0" borderId="15" xfId="0" applyNumberFormat="1" applyFont="1" applyBorder="1" applyAlignment="1">
      <alignment horizontal="right" wrapText="1"/>
    </xf>
    <xf numFmtId="164" fontId="15" fillId="2" borderId="16" xfId="0" applyNumberFormat="1" applyFont="1" applyFill="1" applyBorder="1" applyAlignment="1">
      <alignment horizontal="right" wrapText="1"/>
    </xf>
    <xf numFmtId="10" fontId="15" fillId="2" borderId="16" xfId="0" applyNumberFormat="1" applyFont="1" applyFill="1" applyBorder="1" applyAlignment="1">
      <alignment horizontal="right" wrapText="1"/>
    </xf>
    <xf numFmtId="10" fontId="19" fillId="0" borderId="15" xfId="0" applyNumberFormat="1" applyFont="1" applyBorder="1" applyAlignment="1">
      <alignment horizontal="right" wrapText="1"/>
    </xf>
    <xf numFmtId="10" fontId="20" fillId="0" borderId="15" xfId="0" applyNumberFormat="1" applyFont="1" applyBorder="1" applyAlignment="1">
      <alignment horizontal="right" wrapText="1"/>
    </xf>
    <xf numFmtId="165" fontId="3" fillId="0" borderId="12" xfId="0" applyNumberFormat="1" applyFont="1" applyBorder="1"/>
    <xf numFmtId="0" fontId="14" fillId="0" borderId="10" xfId="0" applyFont="1" applyBorder="1" applyAlignment="1">
      <alignment horizontal="left" wrapText="1"/>
    </xf>
    <xf numFmtId="164" fontId="15" fillId="2" borderId="12" xfId="0" applyNumberFormat="1" applyFont="1" applyFill="1" applyBorder="1" applyAlignment="1">
      <alignment horizontal="right" wrapText="1"/>
    </xf>
    <xf numFmtId="164" fontId="14" fillId="0" borderId="10" xfId="0" applyNumberFormat="1" applyFont="1" applyBorder="1" applyAlignment="1">
      <alignment horizontal="right" wrapText="1"/>
    </xf>
    <xf numFmtId="164" fontId="19" fillId="0" borderId="7" xfId="0" applyNumberFormat="1" applyFont="1" applyBorder="1" applyAlignment="1">
      <alignment horizontal="right" wrapText="1"/>
    </xf>
    <xf numFmtId="0" fontId="13" fillId="0" borderId="13" xfId="0" applyFont="1" applyBorder="1"/>
    <xf numFmtId="0" fontId="5" fillId="0" borderId="0" xfId="0" applyFont="1"/>
    <xf numFmtId="0" fontId="22" fillId="4" borderId="20" xfId="0" applyFont="1" applyFill="1" applyBorder="1"/>
    <xf numFmtId="0" fontId="19" fillId="4" borderId="20" xfId="0" applyFont="1" applyFill="1" applyBorder="1" applyAlignment="1">
      <alignment horizontal="left" vertical="top" wrapText="1"/>
    </xf>
    <xf numFmtId="0" fontId="19" fillId="4" borderId="20" xfId="0" applyFont="1" applyFill="1" applyBorder="1" applyAlignment="1">
      <alignment horizontal="right" vertical="top" wrapText="1"/>
    </xf>
    <xf numFmtId="0" fontId="25" fillId="4" borderId="20" xfId="0" applyFont="1" applyFill="1" applyBorder="1" applyAlignment="1">
      <alignment horizontal="left" vertical="top"/>
    </xf>
    <xf numFmtId="0" fontId="19" fillId="4" borderId="20" xfId="0" applyFont="1" applyFill="1" applyBorder="1" applyAlignment="1">
      <alignment horizontal="left" vertical="top"/>
    </xf>
    <xf numFmtId="0" fontId="19" fillId="4" borderId="20" xfId="0" applyFont="1" applyFill="1" applyBorder="1" applyAlignment="1">
      <alignment horizontal="right" vertical="top"/>
    </xf>
    <xf numFmtId="0" fontId="25" fillId="4" borderId="20" xfId="0" applyFont="1" applyFill="1" applyBorder="1" applyAlignment="1">
      <alignment horizontal="left"/>
    </xf>
    <xf numFmtId="0" fontId="19" fillId="4" borderId="20" xfId="0" applyFont="1" applyFill="1" applyBorder="1" applyAlignment="1">
      <alignment horizontal="left"/>
    </xf>
    <xf numFmtId="0" fontId="19" fillId="4" borderId="20" xfId="0" applyFont="1" applyFill="1" applyBorder="1" applyAlignment="1">
      <alignment horizontal="right"/>
    </xf>
    <xf numFmtId="0" fontId="10" fillId="4" borderId="20" xfId="0" applyFont="1" applyFill="1" applyBorder="1"/>
    <xf numFmtId="0" fontId="5" fillId="0" borderId="20" xfId="0" applyFont="1" applyBorder="1"/>
    <xf numFmtId="0" fontId="10" fillId="4" borderId="20" xfId="0" applyFont="1" applyFill="1" applyBorder="1" applyAlignment="1">
      <alignment horizontal="left"/>
    </xf>
    <xf numFmtId="166" fontId="10" fillId="4" borderId="20" xfId="0" applyNumberFormat="1" applyFont="1" applyFill="1" applyBorder="1" applyAlignment="1">
      <alignment horizontal="right"/>
    </xf>
    <xf numFmtId="167" fontId="10" fillId="4" borderId="20" xfId="0" applyNumberFormat="1" applyFont="1" applyFill="1" applyBorder="1" applyAlignment="1">
      <alignment horizontal="right"/>
    </xf>
    <xf numFmtId="2" fontId="10" fillId="4" borderId="20" xfId="0" applyNumberFormat="1" applyFont="1" applyFill="1" applyBorder="1" applyAlignment="1">
      <alignment horizontal="right"/>
    </xf>
    <xf numFmtId="168" fontId="10" fillId="4" borderId="20" xfId="0" applyNumberFormat="1" applyFont="1" applyFill="1" applyBorder="1" applyAlignment="1">
      <alignment horizontal="right"/>
    </xf>
    <xf numFmtId="0" fontId="10" fillId="4" borderId="20" xfId="0" applyFont="1" applyFill="1" applyBorder="1" applyAlignment="1">
      <alignment horizontal="right"/>
    </xf>
    <xf numFmtId="0" fontId="25" fillId="4" borderId="20" xfId="0" applyFont="1" applyFill="1" applyBorder="1"/>
    <xf numFmtId="0" fontId="27" fillId="4" borderId="20" xfId="0" applyFont="1" applyFill="1" applyBorder="1"/>
    <xf numFmtId="0" fontId="5" fillId="4" borderId="20" xfId="0" applyFont="1" applyFill="1" applyBorder="1" applyAlignment="1">
      <alignment horizontal="right"/>
    </xf>
    <xf numFmtId="0" fontId="10" fillId="4" borderId="20" xfId="0" applyFont="1" applyFill="1" applyBorder="1" applyAlignment="1">
      <alignment wrapText="1"/>
    </xf>
    <xf numFmtId="0" fontId="28" fillId="4" borderId="20" xfId="0" applyFont="1" applyFill="1" applyBorder="1" applyAlignment="1">
      <alignment horizontal="left" vertical="top" wrapText="1"/>
    </xf>
    <xf numFmtId="0" fontId="28" fillId="4" borderId="20" xfId="0" applyFont="1" applyFill="1" applyBorder="1" applyAlignment="1">
      <alignment horizontal="right" vertical="top" wrapText="1"/>
    </xf>
    <xf numFmtId="0" fontId="10" fillId="0" borderId="20" xfId="0" applyFont="1" applyBorder="1"/>
    <xf numFmtId="0" fontId="10" fillId="0" borderId="20" xfId="0" applyFont="1" applyBorder="1" applyAlignment="1">
      <alignment horizontal="left"/>
    </xf>
    <xf numFmtId="0" fontId="22" fillId="0" borderId="20" xfId="0" applyFont="1" applyBorder="1"/>
    <xf numFmtId="0" fontId="25" fillId="4" borderId="20" xfId="0" applyFont="1" applyFill="1" applyBorder="1" applyAlignment="1">
      <alignment wrapText="1"/>
    </xf>
    <xf numFmtId="0" fontId="5" fillId="0" borderId="20" xfId="0" applyFont="1" applyBorder="1" applyAlignment="1">
      <alignment wrapText="1"/>
    </xf>
    <xf numFmtId="0" fontId="5" fillId="4" borderId="20" xfId="0" applyFont="1" applyFill="1" applyBorder="1" applyAlignment="1">
      <alignment horizontal="right" wrapText="1"/>
    </xf>
    <xf numFmtId="0" fontId="25" fillId="4" borderId="20" xfId="0" applyFont="1" applyFill="1" applyBorder="1" applyAlignment="1">
      <alignment horizontal="left" wrapText="1"/>
    </xf>
    <xf numFmtId="0" fontId="19" fillId="4" borderId="20" xfId="0" applyFont="1" applyFill="1" applyBorder="1" applyAlignment="1">
      <alignment horizontal="left" wrapText="1"/>
    </xf>
    <xf numFmtId="0" fontId="19" fillId="4" borderId="20" xfId="0" applyFont="1" applyFill="1" applyBorder="1" applyAlignment="1">
      <alignment horizontal="right" wrapText="1"/>
    </xf>
    <xf numFmtId="0" fontId="10" fillId="4" borderId="20" xfId="0" applyFont="1" applyFill="1" applyBorder="1" applyAlignment="1">
      <alignment horizontal="left" wrapText="1"/>
    </xf>
    <xf numFmtId="166" fontId="10" fillId="4" borderId="20" xfId="0" applyNumberFormat="1" applyFont="1" applyFill="1" applyBorder="1" applyAlignment="1">
      <alignment horizontal="right" wrapText="1"/>
    </xf>
    <xf numFmtId="167" fontId="10" fillId="4" borderId="20" xfId="0" applyNumberFormat="1" applyFont="1" applyFill="1" applyBorder="1" applyAlignment="1">
      <alignment horizontal="right" wrapText="1"/>
    </xf>
    <xf numFmtId="0" fontId="10" fillId="4" borderId="20" xfId="0" applyFont="1" applyFill="1" applyBorder="1" applyAlignment="1">
      <alignment horizontal="right" wrapText="1"/>
    </xf>
    <xf numFmtId="0" fontId="10" fillId="4" borderId="20" xfId="0" applyFont="1" applyFill="1" applyBorder="1" applyAlignment="1">
      <alignment vertical="top"/>
    </xf>
    <xf numFmtId="0" fontId="10" fillId="4" borderId="20" xfId="0" applyFont="1" applyFill="1" applyBorder="1" applyAlignment="1">
      <alignment horizontal="left" vertical="top"/>
    </xf>
    <xf numFmtId="167" fontId="10" fillId="4" borderId="20" xfId="0" applyNumberFormat="1" applyFont="1" applyFill="1" applyBorder="1" applyAlignment="1">
      <alignment horizontal="right" vertical="top"/>
    </xf>
    <xf numFmtId="0" fontId="10" fillId="4" borderId="20" xfId="0" applyFont="1" applyFill="1" applyBorder="1" applyAlignment="1">
      <alignment horizontal="right" vertical="top"/>
    </xf>
    <xf numFmtId="8" fontId="10" fillId="4" borderId="20" xfId="0" applyNumberFormat="1" applyFont="1" applyFill="1" applyBorder="1" applyAlignment="1">
      <alignment horizontal="right"/>
    </xf>
    <xf numFmtId="0" fontId="5" fillId="4" borderId="20" xfId="0" applyFont="1" applyFill="1" applyBorder="1" applyAlignment="1">
      <alignment horizontal="left" wrapText="1"/>
    </xf>
    <xf numFmtId="15" fontId="23" fillId="4" borderId="20" xfId="0" applyNumberFormat="1" applyFont="1" applyFill="1" applyBorder="1" applyAlignment="1">
      <alignment horizontal="left"/>
    </xf>
    <xf numFmtId="0" fontId="5" fillId="4" borderId="20" xfId="0" applyFont="1" applyFill="1" applyBorder="1"/>
    <xf numFmtId="169" fontId="10" fillId="4" borderId="20" xfId="0" applyNumberFormat="1" applyFont="1" applyFill="1" applyBorder="1" applyAlignment="1">
      <alignment horizontal="left"/>
    </xf>
    <xf numFmtId="15" fontId="20" fillId="4" borderId="20" xfId="0" applyNumberFormat="1" applyFont="1" applyFill="1" applyBorder="1" applyAlignment="1">
      <alignment horizontal="left" vertical="top" wrapText="1"/>
    </xf>
    <xf numFmtId="15" fontId="25" fillId="4" borderId="20" xfId="0" applyNumberFormat="1" applyFont="1" applyFill="1" applyBorder="1" applyAlignment="1">
      <alignment horizontal="left"/>
    </xf>
    <xf numFmtId="6" fontId="10" fillId="4" borderId="20" xfId="0" applyNumberFormat="1" applyFont="1" applyFill="1" applyBorder="1" applyAlignment="1">
      <alignment horizontal="right"/>
    </xf>
    <xf numFmtId="49" fontId="10" fillId="4" borderId="20" xfId="0" applyNumberFormat="1" applyFont="1" applyFill="1" applyBorder="1" applyAlignment="1">
      <alignment horizontal="right"/>
    </xf>
    <xf numFmtId="0" fontId="10" fillId="4" borderId="20" xfId="0" applyFont="1" applyFill="1" applyBorder="1" applyAlignment="1">
      <alignment horizontal="left" vertical="center"/>
    </xf>
    <xf numFmtId="8" fontId="10" fillId="4" borderId="20" xfId="0" applyNumberFormat="1" applyFont="1" applyFill="1" applyBorder="1" applyAlignment="1">
      <alignment horizontal="right" vertical="top"/>
    </xf>
    <xf numFmtId="2" fontId="10" fillId="4" borderId="20" xfId="0" applyNumberFormat="1" applyFont="1" applyFill="1" applyBorder="1" applyAlignment="1">
      <alignment horizontal="right" vertical="top"/>
    </xf>
    <xf numFmtId="0" fontId="10" fillId="4" borderId="20" xfId="0" applyFont="1" applyFill="1" applyBorder="1" applyAlignment="1">
      <alignment vertical="center"/>
    </xf>
    <xf numFmtId="0" fontId="23" fillId="4" borderId="20" xfId="0" applyFont="1" applyFill="1" applyBorder="1" applyAlignment="1">
      <alignment horizontal="left"/>
    </xf>
    <xf numFmtId="0" fontId="27" fillId="4" borderId="20" xfId="0" applyFont="1" applyFill="1" applyBorder="1" applyAlignment="1">
      <alignment horizontal="center"/>
    </xf>
    <xf numFmtId="0" fontId="27" fillId="4" borderId="20" xfId="0" applyFont="1" applyFill="1" applyBorder="1" applyAlignment="1">
      <alignment horizontal="right"/>
    </xf>
    <xf numFmtId="0" fontId="22" fillId="4" borderId="20" xfId="0" applyFont="1" applyFill="1" applyBorder="1" applyAlignment="1">
      <alignment horizontal="right"/>
    </xf>
    <xf numFmtId="0" fontId="3" fillId="4" borderId="20" xfId="0" applyFont="1" applyFill="1" applyBorder="1" applyAlignment="1">
      <alignment horizontal="right"/>
    </xf>
    <xf numFmtId="0" fontId="22" fillId="5" borderId="1" xfId="0" applyFont="1" applyFill="1" applyBorder="1" applyAlignment="1">
      <alignment horizontal="right" vertical="top" wrapText="1"/>
    </xf>
    <xf numFmtId="0" fontId="29" fillId="5" borderId="1" xfId="0" applyFont="1" applyFill="1" applyBorder="1" applyAlignment="1">
      <alignment horizontal="right" vertical="top" wrapText="1"/>
    </xf>
    <xf numFmtId="0" fontId="22" fillId="0" borderId="0" xfId="0" applyFont="1"/>
    <xf numFmtId="0" fontId="30" fillId="2" borderId="1" xfId="0" applyFont="1" applyFill="1" applyBorder="1"/>
    <xf numFmtId="0" fontId="22" fillId="2" borderId="1" xfId="0" applyFont="1" applyFill="1" applyBorder="1"/>
    <xf numFmtId="167" fontId="31" fillId="0" borderId="0" xfId="0" applyNumberFormat="1" applyFont="1"/>
    <xf numFmtId="0" fontId="32" fillId="0" borderId="0" xfId="0" applyFont="1"/>
    <xf numFmtId="165" fontId="33" fillId="6" borderId="12" xfId="0" applyNumberFormat="1" applyFont="1" applyFill="1" applyBorder="1" applyAlignment="1">
      <alignment vertical="center" wrapText="1"/>
    </xf>
    <xf numFmtId="0" fontId="34" fillId="0" borderId="0" xfId="0" applyFont="1" applyAlignment="1">
      <alignment horizontal="center" vertical="center"/>
    </xf>
    <xf numFmtId="0" fontId="35" fillId="2" borderId="1" xfId="0" applyFont="1" applyFill="1" applyBorder="1" applyAlignment="1">
      <alignment horizontal="center" vertical="center" wrapText="1"/>
    </xf>
    <xf numFmtId="0" fontId="37" fillId="2" borderId="1" xfId="0" applyFont="1" applyFill="1" applyBorder="1"/>
    <xf numFmtId="0" fontId="38" fillId="0" borderId="0" xfId="0" applyFont="1"/>
    <xf numFmtId="0" fontId="34" fillId="0" borderId="0" xfId="0" applyFont="1" applyAlignment="1">
      <alignment horizontal="center"/>
    </xf>
    <xf numFmtId="0" fontId="22"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applyAlignment="1">
      <alignment horizontal="right" vertical="center"/>
    </xf>
    <xf numFmtId="0" fontId="5" fillId="0" borderId="0" xfId="0" applyFont="1" applyAlignment="1">
      <alignment vertical="center"/>
    </xf>
    <xf numFmtId="0" fontId="42" fillId="0" borderId="0" xfId="0" applyFont="1" applyAlignment="1">
      <alignment horizontal="center" vertical="center"/>
    </xf>
    <xf numFmtId="0" fontId="38" fillId="0" borderId="0" xfId="0" applyFont="1" applyAlignment="1">
      <alignment vertical="center"/>
    </xf>
    <xf numFmtId="0" fontId="34" fillId="0" borderId="0" xfId="0" applyFont="1" applyAlignment="1">
      <alignment horizontal="center" vertical="center" wrapText="1"/>
    </xf>
    <xf numFmtId="0" fontId="43" fillId="0" borderId="23" xfId="0" applyFont="1" applyBorder="1" applyAlignment="1">
      <alignment horizontal="left"/>
    </xf>
    <xf numFmtId="0" fontId="43" fillId="0" borderId="24" xfId="0" applyFont="1" applyBorder="1" applyAlignment="1">
      <alignment horizontal="left"/>
    </xf>
    <xf numFmtId="0" fontId="30" fillId="0" borderId="24" xfId="0" applyFont="1" applyBorder="1" applyAlignment="1">
      <alignment horizontal="left"/>
    </xf>
    <xf numFmtId="0" fontId="34" fillId="0" borderId="25" xfId="0" applyFont="1" applyBorder="1" applyAlignment="1">
      <alignment horizontal="center"/>
    </xf>
    <xf numFmtId="0" fontId="44" fillId="0" borderId="25" xfId="0" applyFont="1" applyBorder="1" applyAlignment="1">
      <alignment horizontal="left"/>
    </xf>
    <xf numFmtId="0" fontId="45" fillId="0" borderId="12" xfId="0" applyFont="1" applyBorder="1" applyAlignment="1">
      <alignment horizontal="center" vertical="center" wrapText="1"/>
    </xf>
    <xf numFmtId="0" fontId="46" fillId="0" borderId="0" xfId="0" applyFont="1" applyAlignment="1">
      <alignment horizontal="center"/>
    </xf>
    <xf numFmtId="0" fontId="47" fillId="0" borderId="26" xfId="0" applyFont="1" applyBorder="1" applyAlignment="1">
      <alignment horizontal="center" vertical="center" wrapText="1"/>
    </xf>
    <xf numFmtId="0" fontId="47" fillId="0" borderId="27" xfId="0" applyFont="1" applyBorder="1" applyAlignment="1">
      <alignment horizontal="center" vertical="center" wrapText="1"/>
    </xf>
    <xf numFmtId="0" fontId="48" fillId="0" borderId="27" xfId="0" applyFont="1" applyBorder="1" applyAlignment="1">
      <alignment horizontal="center" vertical="center" wrapText="1"/>
    </xf>
    <xf numFmtId="0" fontId="47" fillId="7" borderId="28" xfId="0" applyFont="1" applyFill="1" applyBorder="1" applyAlignment="1">
      <alignment horizontal="center" vertical="center" wrapText="1"/>
    </xf>
    <xf numFmtId="0" fontId="49" fillId="0" borderId="27" xfId="0" applyFont="1" applyBorder="1" applyAlignment="1">
      <alignment horizontal="center" vertical="center" wrapText="1"/>
    </xf>
    <xf numFmtId="0" fontId="45" fillId="0" borderId="29" xfId="0" applyFont="1" applyBorder="1" applyAlignment="1">
      <alignment horizontal="center" vertical="center" wrapText="1"/>
    </xf>
    <xf numFmtId="0" fontId="45" fillId="0" borderId="29" xfId="0" quotePrefix="1" applyFont="1" applyBorder="1" applyAlignment="1">
      <alignment horizontal="center" vertical="center" wrapText="1"/>
    </xf>
    <xf numFmtId="0" fontId="50" fillId="7" borderId="28" xfId="0" applyFont="1" applyFill="1" applyBorder="1" applyAlignment="1">
      <alignment horizontal="center" vertical="center" wrapText="1"/>
    </xf>
    <xf numFmtId="0" fontId="45" fillId="0" borderId="26" xfId="0" applyFont="1" applyBorder="1" applyAlignment="1">
      <alignment horizontal="center" vertical="center" wrapText="1"/>
    </xf>
    <xf numFmtId="0" fontId="45" fillId="0" borderId="27" xfId="0" applyFont="1" applyBorder="1" applyAlignment="1">
      <alignment horizontal="center" vertical="center" wrapText="1"/>
    </xf>
    <xf numFmtId="0" fontId="51" fillId="0" borderId="31" xfId="0" applyFont="1" applyBorder="1" applyAlignment="1">
      <alignment vertical="center" wrapText="1"/>
    </xf>
    <xf numFmtId="165" fontId="52" fillId="0" borderId="32" xfId="0" applyNumberFormat="1" applyFont="1" applyBorder="1" applyAlignment="1">
      <alignment vertical="center" wrapText="1"/>
    </xf>
    <xf numFmtId="165" fontId="52" fillId="0" borderId="33" xfId="0" applyNumberFormat="1" applyFont="1" applyBorder="1" applyAlignment="1">
      <alignment vertical="center" wrapText="1"/>
    </xf>
    <xf numFmtId="165" fontId="51" fillId="0" borderId="33" xfId="0" applyNumberFormat="1" applyFont="1" applyBorder="1" applyAlignment="1">
      <alignment vertical="center" wrapText="1"/>
    </xf>
    <xf numFmtId="165" fontId="53" fillId="0" borderId="34" xfId="0" applyNumberFormat="1" applyFont="1" applyBorder="1" applyAlignment="1">
      <alignment vertical="center" wrapText="1"/>
    </xf>
    <xf numFmtId="0" fontId="22" fillId="0" borderId="35" xfId="0" applyFont="1" applyBorder="1"/>
    <xf numFmtId="0" fontId="5" fillId="0" borderId="35" xfId="0" applyFont="1" applyBorder="1"/>
    <xf numFmtId="164" fontId="34" fillId="0" borderId="35" xfId="0" applyNumberFormat="1" applyFont="1" applyBorder="1" applyAlignment="1">
      <alignment horizontal="center"/>
    </xf>
    <xf numFmtId="165" fontId="54" fillId="0" borderId="36" xfId="0" applyNumberFormat="1" applyFont="1" applyBorder="1" applyAlignment="1">
      <alignment vertical="center" wrapText="1"/>
    </xf>
    <xf numFmtId="165" fontId="51" fillId="0" borderId="37" xfId="0" applyNumberFormat="1" applyFont="1" applyBorder="1" applyAlignment="1">
      <alignment vertical="center" wrapText="1"/>
    </xf>
    <xf numFmtId="0" fontId="34" fillId="0" borderId="35" xfId="0" applyFont="1" applyBorder="1" applyAlignment="1">
      <alignment horizontal="center" vertical="center"/>
    </xf>
    <xf numFmtId="164" fontId="34" fillId="0" borderId="38" xfId="0" applyNumberFormat="1" applyFont="1" applyBorder="1" applyAlignment="1">
      <alignment horizontal="center"/>
    </xf>
    <xf numFmtId="164" fontId="34" fillId="0" borderId="39" xfId="0" applyNumberFormat="1" applyFont="1" applyBorder="1" applyAlignment="1">
      <alignment horizontal="center"/>
    </xf>
    <xf numFmtId="164" fontId="34" fillId="0" borderId="0" xfId="0" applyNumberFormat="1" applyFont="1" applyAlignment="1">
      <alignment horizontal="center"/>
    </xf>
    <xf numFmtId="0" fontId="51" fillId="0" borderId="41" xfId="0" applyFont="1" applyBorder="1" applyAlignment="1">
      <alignment vertical="center" wrapText="1"/>
    </xf>
    <xf numFmtId="165" fontId="52" fillId="0" borderId="42" xfId="0" applyNumberFormat="1" applyFont="1" applyBorder="1" applyAlignment="1">
      <alignment vertical="center" wrapText="1"/>
    </xf>
    <xf numFmtId="165" fontId="52" fillId="0" borderId="13" xfId="0" applyNumberFormat="1" applyFont="1" applyBorder="1" applyAlignment="1">
      <alignment vertical="center" wrapText="1"/>
    </xf>
    <xf numFmtId="165" fontId="55" fillId="2" borderId="9" xfId="0" applyNumberFormat="1" applyFont="1" applyFill="1" applyBorder="1" applyAlignment="1">
      <alignment vertical="center" wrapText="1"/>
    </xf>
    <xf numFmtId="165" fontId="51" fillId="0" borderId="13" xfId="0" applyNumberFormat="1" applyFont="1" applyBorder="1" applyAlignment="1">
      <alignment vertical="center" wrapText="1"/>
    </xf>
    <xf numFmtId="165" fontId="53" fillId="0" borderId="43" xfId="0" applyNumberFormat="1" applyFont="1" applyBorder="1" applyAlignment="1">
      <alignment vertical="center" wrapText="1"/>
    </xf>
    <xf numFmtId="167" fontId="22" fillId="0" borderId="0" xfId="0" applyNumberFormat="1" applyFont="1"/>
    <xf numFmtId="165" fontId="54" fillId="0" borderId="44" xfId="0" applyNumberFormat="1" applyFont="1" applyBorder="1" applyAlignment="1">
      <alignment vertical="center" wrapText="1"/>
    </xf>
    <xf numFmtId="165" fontId="51" fillId="0" borderId="45" xfId="0" applyNumberFormat="1" applyFont="1" applyBorder="1" applyAlignment="1">
      <alignment vertical="center" wrapText="1"/>
    </xf>
    <xf numFmtId="167" fontId="5" fillId="0" borderId="0" xfId="0" applyNumberFormat="1" applyFont="1"/>
    <xf numFmtId="165" fontId="51" fillId="6" borderId="46" xfId="0" applyNumberFormat="1" applyFont="1" applyFill="1" applyBorder="1" applyAlignment="1">
      <alignment vertical="center" wrapText="1"/>
    </xf>
    <xf numFmtId="165" fontId="51" fillId="6" borderId="12" xfId="0" applyNumberFormat="1" applyFont="1" applyFill="1" applyBorder="1" applyAlignment="1">
      <alignment vertical="center" wrapText="1"/>
    </xf>
    <xf numFmtId="165" fontId="51" fillId="6" borderId="47" xfId="0" applyNumberFormat="1" applyFont="1" applyFill="1" applyBorder="1" applyAlignment="1">
      <alignment vertical="center" wrapText="1"/>
    </xf>
    <xf numFmtId="0" fontId="51" fillId="0" borderId="48" xfId="0" applyFont="1" applyBorder="1" applyAlignment="1">
      <alignment vertical="center" wrapText="1"/>
    </xf>
    <xf numFmtId="0" fontId="52" fillId="0" borderId="46" xfId="0" applyFont="1" applyBorder="1" applyAlignment="1">
      <alignment vertical="center" wrapText="1"/>
    </xf>
    <xf numFmtId="10" fontId="52" fillId="8" borderId="12" xfId="0" applyNumberFormat="1" applyFont="1" applyFill="1" applyBorder="1" applyAlignment="1">
      <alignment vertical="center" wrapText="1"/>
    </xf>
    <xf numFmtId="170" fontId="52" fillId="8" borderId="12" xfId="0" applyNumberFormat="1" applyFont="1" applyFill="1" applyBorder="1" applyAlignment="1">
      <alignment vertical="center" wrapText="1"/>
    </xf>
    <xf numFmtId="10" fontId="55" fillId="2" borderId="12" xfId="0" applyNumberFormat="1" applyFont="1" applyFill="1" applyBorder="1" applyAlignment="1">
      <alignment vertical="center" wrapText="1"/>
    </xf>
    <xf numFmtId="10" fontId="51" fillId="8" borderId="12" xfId="0" applyNumberFormat="1" applyFont="1" applyFill="1" applyBorder="1" applyAlignment="1">
      <alignment vertical="center" wrapText="1"/>
    </xf>
    <xf numFmtId="10" fontId="53" fillId="8" borderId="49" xfId="0" applyNumberFormat="1" applyFont="1" applyFill="1" applyBorder="1" applyAlignment="1">
      <alignment vertical="center" wrapText="1"/>
    </xf>
    <xf numFmtId="165" fontId="22" fillId="0" borderId="0" xfId="0" applyNumberFormat="1" applyFont="1"/>
    <xf numFmtId="10" fontId="54" fillId="8" borderId="50" xfId="0" applyNumberFormat="1" applyFont="1" applyFill="1" applyBorder="1" applyAlignment="1">
      <alignment vertical="center" wrapText="1"/>
    </xf>
    <xf numFmtId="10" fontId="51" fillId="8" borderId="51" xfId="0" applyNumberFormat="1" applyFont="1" applyFill="1" applyBorder="1" applyAlignment="1">
      <alignment vertical="center" wrapText="1"/>
    </xf>
    <xf numFmtId="165" fontId="5" fillId="0" borderId="0" xfId="0" applyNumberFormat="1" applyFont="1"/>
    <xf numFmtId="164" fontId="34" fillId="0" borderId="52" xfId="0" applyNumberFormat="1" applyFont="1" applyBorder="1" applyAlignment="1">
      <alignment horizontal="center"/>
    </xf>
    <xf numFmtId="164" fontId="34" fillId="0" borderId="53" xfId="0" applyNumberFormat="1" applyFont="1" applyBorder="1" applyAlignment="1">
      <alignment horizontal="center"/>
    </xf>
    <xf numFmtId="165" fontId="52" fillId="0" borderId="12" xfId="0" applyNumberFormat="1" applyFont="1" applyBorder="1" applyAlignment="1">
      <alignment vertical="center" wrapText="1"/>
    </xf>
    <xf numFmtId="165" fontId="55" fillId="2" borderId="12" xfId="0" applyNumberFormat="1" applyFont="1" applyFill="1" applyBorder="1" applyAlignment="1">
      <alignment vertical="center" wrapText="1"/>
    </xf>
    <xf numFmtId="165" fontId="51" fillId="0" borderId="12" xfId="0" applyNumberFormat="1" applyFont="1" applyBorder="1" applyAlignment="1">
      <alignment vertical="center" wrapText="1"/>
    </xf>
    <xf numFmtId="165" fontId="53" fillId="0" borderId="49" xfId="0" applyNumberFormat="1" applyFont="1" applyBorder="1" applyAlignment="1">
      <alignment vertical="center" wrapText="1"/>
    </xf>
    <xf numFmtId="171" fontId="56" fillId="0" borderId="0" xfId="0" applyNumberFormat="1" applyFont="1"/>
    <xf numFmtId="172" fontId="56" fillId="0" borderId="0" xfId="0" applyNumberFormat="1" applyFont="1"/>
    <xf numFmtId="165" fontId="54" fillId="0" borderId="10" xfId="0" applyNumberFormat="1" applyFont="1" applyBorder="1" applyAlignment="1">
      <alignment vertical="center" wrapText="1"/>
    </xf>
    <xf numFmtId="165" fontId="51" fillId="0" borderId="51" xfId="0" applyNumberFormat="1" applyFont="1" applyBorder="1" applyAlignment="1">
      <alignment vertical="center" wrapText="1"/>
    </xf>
    <xf numFmtId="0" fontId="51" fillId="0" borderId="55" xfId="0" applyFont="1" applyBorder="1" applyAlignment="1">
      <alignment vertical="center" wrapText="1"/>
    </xf>
    <xf numFmtId="0" fontId="52" fillId="0" borderId="56" xfId="0" applyFont="1" applyBorder="1" applyAlignment="1">
      <alignment vertical="center" wrapText="1"/>
    </xf>
    <xf numFmtId="10" fontId="52" fillId="0" borderId="57" xfId="0" applyNumberFormat="1" applyFont="1" applyBorder="1" applyAlignment="1">
      <alignment vertical="center" wrapText="1"/>
    </xf>
    <xf numFmtId="10" fontId="55" fillId="2" borderId="57" xfId="0" applyNumberFormat="1" applyFont="1" applyFill="1" applyBorder="1" applyAlignment="1">
      <alignment vertical="center" wrapText="1"/>
    </xf>
    <xf numFmtId="10" fontId="51" fillId="0" borderId="57" xfId="0" applyNumberFormat="1" applyFont="1" applyBorder="1" applyAlignment="1">
      <alignment vertical="center" wrapText="1"/>
    </xf>
    <xf numFmtId="10" fontId="53" fillId="0" borderId="58" xfId="0" applyNumberFormat="1" applyFont="1" applyBorder="1" applyAlignment="1">
      <alignment vertical="center" wrapText="1"/>
    </xf>
    <xf numFmtId="0" fontId="22" fillId="0" borderId="59" xfId="0" applyFont="1" applyBorder="1"/>
    <xf numFmtId="165" fontId="56" fillId="0" borderId="59" xfId="0" applyNumberFormat="1" applyFont="1" applyBorder="1"/>
    <xf numFmtId="10" fontId="54" fillId="0" borderId="60" xfId="0" applyNumberFormat="1" applyFont="1" applyBorder="1" applyAlignment="1">
      <alignment vertical="center" wrapText="1"/>
    </xf>
    <xf numFmtId="10" fontId="51" fillId="0" borderId="61" xfId="0" applyNumberFormat="1" applyFont="1" applyBorder="1" applyAlignment="1">
      <alignment vertical="center" wrapText="1"/>
    </xf>
    <xf numFmtId="0" fontId="5" fillId="0" borderId="59" xfId="0" applyFont="1" applyBorder="1"/>
    <xf numFmtId="10" fontId="57" fillId="0" borderId="57" xfId="0" applyNumberFormat="1" applyFont="1" applyBorder="1" applyAlignment="1">
      <alignment vertical="center" wrapText="1"/>
    </xf>
    <xf numFmtId="164" fontId="34" fillId="0" borderId="59" xfId="0" applyNumberFormat="1" applyFont="1" applyBorder="1" applyAlignment="1">
      <alignment horizontal="center"/>
    </xf>
    <xf numFmtId="164" fontId="34" fillId="0" borderId="62" xfId="0" applyNumberFormat="1" applyFont="1" applyBorder="1" applyAlignment="1">
      <alignment horizontal="center"/>
    </xf>
    <xf numFmtId="164" fontId="34" fillId="0" borderId="63" xfId="0" applyNumberFormat="1" applyFont="1" applyBorder="1" applyAlignment="1">
      <alignment horizontal="center"/>
    </xf>
    <xf numFmtId="173" fontId="5" fillId="0" borderId="0" xfId="0" applyNumberFormat="1" applyFont="1"/>
    <xf numFmtId="164" fontId="34" fillId="0" borderId="65" xfId="0" applyNumberFormat="1" applyFont="1" applyBorder="1" applyAlignment="1">
      <alignment horizontal="center"/>
    </xf>
    <xf numFmtId="165" fontId="51" fillId="6" borderId="49" xfId="0" applyNumberFormat="1" applyFont="1" applyFill="1" applyBorder="1" applyAlignment="1">
      <alignment vertical="center" wrapText="1"/>
    </xf>
    <xf numFmtId="0" fontId="51" fillId="0" borderId="67" xfId="0" applyFont="1" applyBorder="1" applyAlignment="1">
      <alignment vertical="center" wrapText="1"/>
    </xf>
    <xf numFmtId="0" fontId="52" fillId="0" borderId="68" xfId="0" applyFont="1" applyBorder="1" applyAlignment="1">
      <alignment vertical="center" wrapText="1"/>
    </xf>
    <xf numFmtId="10" fontId="52" fillId="0" borderId="29" xfId="0" applyNumberFormat="1" applyFont="1" applyBorder="1" applyAlignment="1">
      <alignment vertical="center" wrapText="1"/>
    </xf>
    <xf numFmtId="10" fontId="55" fillId="2" borderId="2" xfId="0" applyNumberFormat="1" applyFont="1" applyFill="1" applyBorder="1" applyAlignment="1">
      <alignment vertical="center" wrapText="1"/>
    </xf>
    <xf numFmtId="10" fontId="51" fillId="0" borderId="29" xfId="0" applyNumberFormat="1" applyFont="1" applyBorder="1" applyAlignment="1">
      <alignment vertical="center" wrapText="1"/>
    </xf>
    <xf numFmtId="10" fontId="53" fillId="0" borderId="69" xfId="0" applyNumberFormat="1" applyFont="1" applyBorder="1" applyAlignment="1">
      <alignment vertical="center" wrapText="1"/>
    </xf>
    <xf numFmtId="165" fontId="56" fillId="0" borderId="0" xfId="0" applyNumberFormat="1" applyFont="1"/>
    <xf numFmtId="10" fontId="54" fillId="0" borderId="70" xfId="0" applyNumberFormat="1" applyFont="1" applyBorder="1" applyAlignment="1">
      <alignment vertical="center" wrapText="1"/>
    </xf>
    <xf numFmtId="10" fontId="51" fillId="0" borderId="71" xfId="0" applyNumberFormat="1" applyFont="1" applyBorder="1" applyAlignment="1">
      <alignment vertical="center" wrapText="1"/>
    </xf>
    <xf numFmtId="10" fontId="57" fillId="0" borderId="29" xfId="0" applyNumberFormat="1" applyFont="1" applyBorder="1" applyAlignment="1">
      <alignment vertical="center" wrapText="1"/>
    </xf>
    <xf numFmtId="173" fontId="5" fillId="0" borderId="35" xfId="0" applyNumberFormat="1" applyFont="1" applyBorder="1"/>
    <xf numFmtId="165" fontId="51" fillId="9" borderId="12" xfId="0" applyNumberFormat="1" applyFont="1" applyFill="1" applyBorder="1" applyAlignment="1">
      <alignment vertical="center" wrapText="1"/>
    </xf>
    <xf numFmtId="0" fontId="31" fillId="0" borderId="0" xfId="0" applyFont="1"/>
    <xf numFmtId="0" fontId="31" fillId="0" borderId="59" xfId="0" applyFont="1" applyBorder="1"/>
    <xf numFmtId="165" fontId="31" fillId="0" borderId="59" xfId="0" applyNumberFormat="1" applyFont="1" applyBorder="1"/>
    <xf numFmtId="10" fontId="51" fillId="9" borderId="57" xfId="0" applyNumberFormat="1" applyFont="1" applyFill="1" applyBorder="1" applyAlignment="1">
      <alignment vertical="center" wrapText="1"/>
    </xf>
    <xf numFmtId="10" fontId="54" fillId="9" borderId="72" xfId="0" applyNumberFormat="1" applyFont="1" applyFill="1" applyBorder="1" applyAlignment="1">
      <alignment vertical="center" wrapText="1"/>
    </xf>
    <xf numFmtId="10" fontId="51" fillId="9" borderId="61" xfId="0" applyNumberFormat="1" applyFont="1" applyFill="1" applyBorder="1" applyAlignment="1">
      <alignment vertical="center" wrapText="1"/>
    </xf>
    <xf numFmtId="165" fontId="52" fillId="0" borderId="32" xfId="0" applyNumberFormat="1" applyFont="1" applyBorder="1" applyAlignment="1">
      <alignment horizontal="right" wrapText="1"/>
    </xf>
    <xf numFmtId="165" fontId="52" fillId="0" borderId="73" xfId="0" applyNumberFormat="1" applyFont="1" applyBorder="1" applyAlignment="1">
      <alignment horizontal="right" wrapText="1"/>
    </xf>
    <xf numFmtId="165" fontId="51" fillId="0" borderId="73" xfId="0" applyNumberFormat="1" applyFont="1" applyBorder="1" applyAlignment="1">
      <alignment horizontal="right" wrapText="1"/>
    </xf>
    <xf numFmtId="165" fontId="53" fillId="0" borderId="74" xfId="0" applyNumberFormat="1" applyFont="1" applyBorder="1" applyAlignment="1">
      <alignment horizontal="right" wrapText="1"/>
    </xf>
    <xf numFmtId="165" fontId="54" fillId="0" borderId="75" xfId="0" applyNumberFormat="1" applyFont="1" applyBorder="1" applyAlignment="1">
      <alignment horizontal="right" wrapText="1"/>
    </xf>
    <xf numFmtId="165" fontId="51" fillId="0" borderId="37" xfId="0" applyNumberFormat="1" applyFont="1" applyBorder="1" applyAlignment="1">
      <alignment horizontal="right" wrapText="1"/>
    </xf>
    <xf numFmtId="165" fontId="58" fillId="0" borderId="42" xfId="0" applyNumberFormat="1" applyFont="1" applyBorder="1"/>
    <xf numFmtId="165" fontId="52" fillId="0" borderId="15" xfId="0" applyNumberFormat="1" applyFont="1" applyBorder="1" applyAlignment="1">
      <alignment horizontal="right" wrapText="1"/>
    </xf>
    <xf numFmtId="165" fontId="51" fillId="0" borderId="15" xfId="0" applyNumberFormat="1" applyFont="1" applyBorder="1" applyAlignment="1">
      <alignment horizontal="right" wrapText="1"/>
    </xf>
    <xf numFmtId="165" fontId="53" fillId="0" borderId="76" xfId="0" applyNumberFormat="1" applyFont="1" applyBorder="1" applyAlignment="1">
      <alignment horizontal="right" wrapText="1"/>
    </xf>
    <xf numFmtId="165" fontId="54" fillId="0" borderId="77" xfId="0" applyNumberFormat="1" applyFont="1" applyBorder="1" applyAlignment="1">
      <alignment horizontal="right" wrapText="1"/>
    </xf>
    <xf numFmtId="165" fontId="51" fillId="0" borderId="45" xfId="0" applyNumberFormat="1" applyFont="1" applyBorder="1" applyAlignment="1">
      <alignment horizontal="right" wrapText="1"/>
    </xf>
    <xf numFmtId="0" fontId="58" fillId="0" borderId="42" xfId="0" applyFont="1" applyBorder="1"/>
    <xf numFmtId="10" fontId="52" fillId="8" borderId="16" xfId="0" applyNumberFormat="1" applyFont="1" applyFill="1" applyBorder="1" applyAlignment="1">
      <alignment horizontal="right" wrapText="1"/>
    </xf>
    <xf numFmtId="10" fontId="51" fillId="8" borderId="16" xfId="0" applyNumberFormat="1" applyFont="1" applyFill="1" applyBorder="1" applyAlignment="1">
      <alignment horizontal="right" wrapText="1"/>
    </xf>
    <xf numFmtId="10" fontId="53" fillId="8" borderId="78" xfId="0" applyNumberFormat="1" applyFont="1" applyFill="1" applyBorder="1" applyAlignment="1">
      <alignment horizontal="right" wrapText="1"/>
    </xf>
    <xf numFmtId="10" fontId="54" fillId="8" borderId="79" xfId="0" applyNumberFormat="1" applyFont="1" applyFill="1" applyBorder="1" applyAlignment="1">
      <alignment horizontal="right" wrapText="1"/>
    </xf>
    <xf numFmtId="10" fontId="51" fillId="8" borderId="80" xfId="0" applyNumberFormat="1" applyFont="1" applyFill="1" applyBorder="1" applyAlignment="1">
      <alignment horizontal="right" wrapText="1"/>
    </xf>
    <xf numFmtId="0" fontId="58" fillId="0" borderId="81" xfId="0" applyFont="1" applyBorder="1"/>
    <xf numFmtId="10" fontId="52" fillId="0" borderId="82" xfId="0" applyNumberFormat="1" applyFont="1" applyBorder="1" applyAlignment="1">
      <alignment horizontal="right" wrapText="1"/>
    </xf>
    <xf numFmtId="10" fontId="53" fillId="0" borderId="83" xfId="0" applyNumberFormat="1" applyFont="1" applyBorder="1" applyAlignment="1">
      <alignment horizontal="right" wrapText="1"/>
    </xf>
    <xf numFmtId="0" fontId="51" fillId="0" borderId="74" xfId="0" applyFont="1" applyBorder="1" applyAlignment="1">
      <alignment wrapText="1"/>
    </xf>
    <xf numFmtId="165" fontId="58" fillId="0" borderId="73" xfId="0" applyNumberFormat="1" applyFont="1" applyBorder="1"/>
    <xf numFmtId="165" fontId="40" fillId="0" borderId="74" xfId="0" applyNumberFormat="1" applyFont="1" applyBorder="1"/>
    <xf numFmtId="0" fontId="51" fillId="0" borderId="76" xfId="0" applyFont="1" applyBorder="1" applyAlignment="1">
      <alignment wrapText="1"/>
    </xf>
    <xf numFmtId="165" fontId="58" fillId="0" borderId="15" xfId="0" applyNumberFormat="1" applyFont="1" applyBorder="1"/>
    <xf numFmtId="165" fontId="40" fillId="0" borderId="76" xfId="0" applyNumberFormat="1" applyFont="1" applyBorder="1"/>
    <xf numFmtId="0" fontId="58" fillId="0" borderId="15" xfId="0" applyFont="1" applyBorder="1"/>
    <xf numFmtId="10" fontId="58" fillId="8" borderId="16" xfId="0" applyNumberFormat="1" applyFont="1" applyFill="1" applyBorder="1"/>
    <xf numFmtId="10" fontId="40" fillId="8" borderId="78" xfId="0" applyNumberFormat="1" applyFont="1" applyFill="1" applyBorder="1"/>
    <xf numFmtId="0" fontId="51" fillId="0" borderId="83" xfId="0" applyFont="1" applyBorder="1" applyAlignment="1">
      <alignment wrapText="1"/>
    </xf>
    <xf numFmtId="0" fontId="58" fillId="0" borderId="82" xfId="0" applyFont="1" applyBorder="1"/>
    <xf numFmtId="10" fontId="58" fillId="0" borderId="82" xfId="0" applyNumberFormat="1" applyFont="1" applyBorder="1"/>
    <xf numFmtId="10" fontId="40" fillId="0" borderId="83" xfId="0" applyNumberFormat="1" applyFont="1" applyBorder="1"/>
    <xf numFmtId="10" fontId="22" fillId="0" borderId="0" xfId="0" applyNumberFormat="1" applyFont="1"/>
    <xf numFmtId="10" fontId="22" fillId="0" borderId="59" xfId="0" applyNumberFormat="1" applyFont="1" applyBorder="1"/>
    <xf numFmtId="0" fontId="34" fillId="0" borderId="59" xfId="0" applyFont="1" applyBorder="1" applyAlignment="1">
      <alignment horizontal="center"/>
    </xf>
    <xf numFmtId="0" fontId="34" fillId="0" borderId="62" xfId="0" applyFont="1" applyBorder="1" applyAlignment="1">
      <alignment horizontal="center"/>
    </xf>
    <xf numFmtId="0" fontId="34" fillId="0" borderId="63" xfId="0" applyFont="1" applyBorder="1" applyAlignment="1">
      <alignment horizontal="center"/>
    </xf>
    <xf numFmtId="0" fontId="39" fillId="0" borderId="0" xfId="0" applyFont="1"/>
    <xf numFmtId="10" fontId="39" fillId="0" borderId="0" xfId="0" applyNumberFormat="1" applyFont="1"/>
    <xf numFmtId="10" fontId="29" fillId="0" borderId="0" xfId="0" applyNumberFormat="1" applyFont="1"/>
    <xf numFmtId="0" fontId="29" fillId="0" borderId="0" xfId="0" applyFont="1"/>
    <xf numFmtId="0" fontId="30" fillId="0" borderId="0" xfId="0" applyFont="1"/>
    <xf numFmtId="10" fontId="58" fillId="0" borderId="0" xfId="0" applyNumberFormat="1" applyFont="1"/>
    <xf numFmtId="10" fontId="59" fillId="0" borderId="0" xfId="0" applyNumberFormat="1" applyFont="1"/>
    <xf numFmtId="10" fontId="40" fillId="0" borderId="0" xfId="0" applyNumberFormat="1" applyFont="1"/>
    <xf numFmtId="166" fontId="10" fillId="0" borderId="20" xfId="0" applyNumberFormat="1" applyFont="1" applyBorder="1" applyAlignment="1">
      <alignment horizontal="right"/>
    </xf>
    <xf numFmtId="167" fontId="10" fillId="0" borderId="20" xfId="0" applyNumberFormat="1" applyFont="1" applyBorder="1" applyAlignment="1">
      <alignment horizontal="right"/>
    </xf>
    <xf numFmtId="2" fontId="10" fillId="0" borderId="20" xfId="0" applyNumberFormat="1" applyFont="1" applyBorder="1" applyAlignment="1">
      <alignment horizontal="right"/>
    </xf>
    <xf numFmtId="168" fontId="10" fillId="0" borderId="20" xfId="0" applyNumberFormat="1" applyFont="1" applyBorder="1" applyAlignment="1">
      <alignment horizontal="right"/>
    </xf>
    <xf numFmtId="0" fontId="10" fillId="0" borderId="20" xfId="0" applyFont="1" applyBorder="1" applyAlignment="1">
      <alignment horizontal="right"/>
    </xf>
    <xf numFmtId="0" fontId="27" fillId="0" borderId="20" xfId="0" applyFont="1" applyBorder="1"/>
    <xf numFmtId="0" fontId="10" fillId="0" borderId="20" xfId="0" applyFont="1" applyBorder="1" applyAlignment="1">
      <alignment wrapText="1"/>
    </xf>
    <xf numFmtId="0" fontId="10" fillId="0" borderId="20" xfId="0" applyFont="1" applyBorder="1" applyAlignment="1">
      <alignment horizontal="left" wrapText="1"/>
    </xf>
    <xf numFmtId="166" fontId="10" fillId="0" borderId="20" xfId="0" applyNumberFormat="1" applyFont="1" applyBorder="1" applyAlignment="1">
      <alignment horizontal="right" wrapText="1"/>
    </xf>
    <xf numFmtId="167" fontId="10" fillId="0" borderId="20" xfId="0" applyNumberFormat="1" applyFont="1" applyBorder="1" applyAlignment="1">
      <alignment horizontal="right" wrapText="1"/>
    </xf>
    <xf numFmtId="167" fontId="10" fillId="0" borderId="20" xfId="0" applyNumberFormat="1" applyFont="1" applyBorder="1" applyAlignment="1">
      <alignment horizontal="right" vertical="top"/>
    </xf>
    <xf numFmtId="0" fontId="10" fillId="0" borderId="20" xfId="0" applyFont="1" applyBorder="1" applyAlignment="1">
      <alignment horizontal="right" vertical="top"/>
    </xf>
    <xf numFmtId="0" fontId="10" fillId="4" borderId="84" xfId="0" applyFont="1" applyFill="1" applyBorder="1" applyAlignment="1">
      <alignment horizontal="left" wrapText="1"/>
    </xf>
    <xf numFmtId="0" fontId="5" fillId="0" borderId="18" xfId="0" applyFont="1" applyBorder="1"/>
    <xf numFmtId="0" fontId="10" fillId="4" borderId="85" xfId="0" applyFont="1" applyFill="1" applyBorder="1" applyAlignment="1">
      <alignment horizontal="left"/>
    </xf>
    <xf numFmtId="0" fontId="10" fillId="4" borderId="86" xfId="0" applyFont="1" applyFill="1" applyBorder="1" applyAlignment="1">
      <alignment horizontal="right"/>
    </xf>
    <xf numFmtId="8" fontId="10" fillId="0" borderId="20" xfId="0" applyNumberFormat="1" applyFont="1" applyBorder="1" applyAlignment="1">
      <alignment horizontal="right"/>
    </xf>
    <xf numFmtId="0" fontId="5" fillId="0" borderId="20" xfId="0" applyFont="1" applyBorder="1" applyAlignment="1">
      <alignment horizontal="right"/>
    </xf>
    <xf numFmtId="6" fontId="10" fillId="0" borderId="20" xfId="0" applyNumberFormat="1" applyFont="1" applyBorder="1" applyAlignment="1">
      <alignment horizontal="right"/>
    </xf>
    <xf numFmtId="0" fontId="5" fillId="0" borderId="19" xfId="0" applyFont="1" applyBorder="1"/>
    <xf numFmtId="8" fontId="10" fillId="0" borderId="20" xfId="0" applyNumberFormat="1" applyFont="1" applyBorder="1" applyAlignment="1">
      <alignment horizontal="right" vertical="top"/>
    </xf>
    <xf numFmtId="0" fontId="60" fillId="0" borderId="20" xfId="0" applyFont="1" applyBorder="1"/>
    <xf numFmtId="0" fontId="19" fillId="0" borderId="20" xfId="0" applyFont="1" applyBorder="1" applyAlignment="1">
      <alignment horizontal="right"/>
    </xf>
    <xf numFmtId="0" fontId="3" fillId="0" borderId="20" xfId="0" applyFont="1" applyBorder="1"/>
    <xf numFmtId="0" fontId="3" fillId="0" borderId="20" xfId="0" applyFont="1" applyBorder="1" applyAlignment="1">
      <alignment horizontal="right"/>
    </xf>
    <xf numFmtId="167" fontId="3" fillId="0" borderId="0" xfId="0" applyNumberFormat="1" applyFont="1"/>
    <xf numFmtId="0" fontId="25" fillId="0" borderId="0" xfId="0" applyFont="1"/>
    <xf numFmtId="0" fontId="61" fillId="0" borderId="0" xfId="0" applyFont="1"/>
    <xf numFmtId="0" fontId="17" fillId="0" borderId="0" xfId="0" applyFont="1" applyAlignment="1">
      <alignment horizontal="center"/>
    </xf>
    <xf numFmtId="0" fontId="25" fillId="0" borderId="0" xfId="0" applyFont="1" applyAlignment="1">
      <alignment horizontal="center"/>
    </xf>
    <xf numFmtId="0" fontId="25" fillId="10" borderId="1" xfId="0" applyFont="1" applyFill="1" applyBorder="1"/>
    <xf numFmtId="0" fontId="5" fillId="10" borderId="1" xfId="0" applyFont="1" applyFill="1" applyBorder="1"/>
    <xf numFmtId="174" fontId="3" fillId="10" borderId="1" xfId="0" applyNumberFormat="1" applyFont="1" applyFill="1" applyBorder="1"/>
    <xf numFmtId="174" fontId="5" fillId="10" borderId="1" xfId="0" applyNumberFormat="1" applyFont="1" applyFill="1" applyBorder="1"/>
    <xf numFmtId="0" fontId="3" fillId="10" borderId="1" xfId="0" applyFont="1" applyFill="1" applyBorder="1"/>
    <xf numFmtId="174" fontId="3" fillId="0" borderId="0" xfId="0" applyNumberFormat="1" applyFont="1"/>
    <xf numFmtId="174" fontId="5" fillId="0" borderId="0" xfId="0" applyNumberFormat="1" applyFont="1"/>
    <xf numFmtId="0" fontId="24" fillId="0" borderId="0" xfId="0" applyFont="1"/>
    <xf numFmtId="0" fontId="17" fillId="0" borderId="0" xfId="0" applyFont="1" applyAlignment="1">
      <alignment horizontal="right"/>
    </xf>
    <xf numFmtId="0" fontId="25" fillId="0" borderId="0" xfId="0" applyFont="1" applyAlignment="1">
      <alignment horizontal="right"/>
    </xf>
    <xf numFmtId="0" fontId="5" fillId="0" borderId="0" xfId="0" applyFont="1" applyAlignment="1">
      <alignment vertical="top"/>
    </xf>
    <xf numFmtId="166" fontId="3" fillId="0" borderId="0" xfId="0" applyNumberFormat="1" applyFont="1"/>
    <xf numFmtId="166" fontId="25" fillId="0" borderId="0" xfId="0" applyNumberFormat="1" applyFont="1" applyAlignment="1"/>
    <xf numFmtId="4" fontId="3" fillId="0" borderId="0" xfId="0" applyNumberFormat="1" applyFont="1"/>
    <xf numFmtId="166" fontId="62" fillId="0" borderId="0" xfId="0" applyNumberFormat="1" applyFont="1" applyAlignment="1"/>
    <xf numFmtId="0" fontId="25" fillId="0" borderId="0" xfId="0" applyFont="1" applyAlignment="1"/>
    <xf numFmtId="167" fontId="25" fillId="0" borderId="0" xfId="0" applyNumberFormat="1" applyFont="1" applyAlignment="1"/>
    <xf numFmtId="167" fontId="62" fillId="0" borderId="0" xfId="0" applyNumberFormat="1" applyFont="1" applyAlignment="1"/>
    <xf numFmtId="10" fontId="5" fillId="0" borderId="0" xfId="0" applyNumberFormat="1" applyFont="1"/>
    <xf numFmtId="0" fontId="5" fillId="0" borderId="0" xfId="0" applyFont="1" applyAlignment="1">
      <alignment wrapText="1"/>
    </xf>
    <xf numFmtId="167" fontId="3" fillId="0" borderId="0" xfId="0" applyNumberFormat="1" applyFont="1" applyAlignment="1"/>
    <xf numFmtId="167" fontId="5" fillId="11" borderId="1" xfId="0" applyNumberFormat="1" applyFont="1" applyFill="1" applyBorder="1" applyAlignment="1"/>
    <xf numFmtId="167" fontId="5" fillId="0" borderId="0" xfId="0" applyNumberFormat="1" applyFont="1" applyAlignment="1"/>
    <xf numFmtId="175" fontId="5" fillId="0" borderId="0" xfId="0" applyNumberFormat="1" applyFont="1"/>
    <xf numFmtId="176" fontId="5" fillId="0" borderId="0" xfId="0" applyNumberFormat="1" applyFont="1"/>
    <xf numFmtId="0" fontId="63" fillId="0" borderId="0" xfId="0" applyFont="1"/>
    <xf numFmtId="164" fontId="5" fillId="0" borderId="0" xfId="0" applyNumberFormat="1" applyFont="1"/>
    <xf numFmtId="167" fontId="5" fillId="11" borderId="1" xfId="0" applyNumberFormat="1" applyFont="1" applyFill="1" applyBorder="1" applyAlignment="1">
      <alignment horizontal="right"/>
    </xf>
    <xf numFmtId="2" fontId="5" fillId="0" borderId="0" xfId="0" applyNumberFormat="1" applyFont="1"/>
    <xf numFmtId="0" fontId="64" fillId="0" borderId="0" xfId="0" applyFont="1"/>
    <xf numFmtId="168" fontId="5" fillId="0" borderId="0" xfId="0" applyNumberFormat="1" applyFont="1"/>
    <xf numFmtId="0" fontId="65" fillId="0" borderId="0" xfId="0" applyFont="1"/>
    <xf numFmtId="167" fontId="5" fillId="11" borderId="1" xfId="0" applyNumberFormat="1" applyFont="1" applyFill="1" applyBorder="1"/>
    <xf numFmtId="0" fontId="3" fillId="11" borderId="1" xfId="0" applyFont="1" applyFill="1" applyBorder="1" applyAlignment="1"/>
    <xf numFmtId="0" fontId="3" fillId="11" borderId="1" xfId="0" applyFont="1" applyFill="1" applyBorder="1"/>
    <xf numFmtId="0" fontId="17" fillId="0" borderId="0" xfId="0" applyFont="1"/>
    <xf numFmtId="0" fontId="66" fillId="0" borderId="0" xfId="0" applyFont="1"/>
    <xf numFmtId="0" fontId="24" fillId="5" borderId="1" xfId="0" applyFont="1" applyFill="1" applyBorder="1"/>
    <xf numFmtId="0" fontId="5" fillId="4" borderId="1" xfId="0" applyFont="1" applyFill="1" applyBorder="1"/>
    <xf numFmtId="0" fontId="67" fillId="4" borderId="1" xfId="0" applyFont="1" applyFill="1" applyBorder="1"/>
    <xf numFmtId="177" fontId="5" fillId="0" borderId="0" xfId="0" applyNumberFormat="1" applyFont="1"/>
    <xf numFmtId="175" fontId="3" fillId="0" borderId="0" xfId="0" applyNumberFormat="1" applyFont="1"/>
    <xf numFmtId="0" fontId="68" fillId="0" borderId="0" xfId="0" applyFont="1"/>
    <xf numFmtId="167" fontId="3" fillId="11" borderId="1" xfId="0" applyNumberFormat="1" applyFont="1" applyFill="1" applyBorder="1" applyAlignment="1"/>
    <xf numFmtId="168" fontId="3" fillId="0" borderId="0" xfId="0" applyNumberFormat="1" applyFont="1"/>
    <xf numFmtId="0" fontId="69" fillId="0" borderId="0" xfId="0" applyFont="1"/>
    <xf numFmtId="0" fontId="25" fillId="12" borderId="1" xfId="0" applyFont="1" applyFill="1" applyBorder="1" applyAlignment="1">
      <alignment horizontal="center"/>
    </xf>
    <xf numFmtId="10" fontId="25" fillId="12" borderId="1" xfId="0" applyNumberFormat="1" applyFont="1" applyFill="1" applyBorder="1" applyAlignment="1">
      <alignment horizontal="right"/>
    </xf>
    <xf numFmtId="0" fontId="70" fillId="2" borderId="1" xfId="0" applyFont="1" applyFill="1" applyBorder="1"/>
    <xf numFmtId="168" fontId="3" fillId="0" borderId="0" xfId="0" applyNumberFormat="1" applyFont="1" applyAlignment="1"/>
    <xf numFmtId="0" fontId="3" fillId="0" borderId="0" xfId="0" applyFont="1" applyAlignment="1"/>
    <xf numFmtId="178" fontId="5" fillId="0" borderId="0" xfId="0" applyNumberFormat="1" applyFont="1"/>
    <xf numFmtId="2" fontId="3" fillId="0" borderId="0" xfId="0" applyNumberFormat="1" applyFont="1" applyAlignment="1"/>
    <xf numFmtId="2" fontId="5" fillId="0" borderId="0" xfId="0" applyNumberFormat="1" applyFont="1" applyAlignment="1"/>
    <xf numFmtId="0" fontId="5" fillId="0" borderId="0" xfId="0" applyFont="1" applyAlignment="1"/>
    <xf numFmtId="170" fontId="3" fillId="0" borderId="0" xfId="0" applyNumberFormat="1" applyFont="1" applyAlignment="1"/>
    <xf numFmtId="170" fontId="5" fillId="0" borderId="0" xfId="0" applyNumberFormat="1" applyFont="1" applyAlignment="1"/>
    <xf numFmtId="0" fontId="25" fillId="13" borderId="1" xfId="0" applyFont="1" applyFill="1" applyBorder="1"/>
    <xf numFmtId="9" fontId="3" fillId="0" borderId="0" xfId="0" applyNumberFormat="1" applyFont="1"/>
    <xf numFmtId="9" fontId="5" fillId="0" borderId="0" xfId="0" applyNumberFormat="1" applyFont="1"/>
    <xf numFmtId="10" fontId="3" fillId="0" borderId="0" xfId="0" applyNumberFormat="1" applyFont="1" applyAlignment="1"/>
    <xf numFmtId="10" fontId="5" fillId="0" borderId="0" xfId="0" applyNumberFormat="1" applyFont="1" applyAlignment="1"/>
    <xf numFmtId="8" fontId="5" fillId="0" borderId="0" xfId="0" applyNumberFormat="1" applyFont="1" applyAlignment="1"/>
    <xf numFmtId="43" fontId="5" fillId="0" borderId="0" xfId="0" applyNumberFormat="1" applyFont="1"/>
    <xf numFmtId="15" fontId="25" fillId="4" borderId="1" xfId="0" applyNumberFormat="1" applyFont="1" applyFill="1" applyBorder="1" applyAlignment="1">
      <alignment horizontal="left"/>
    </xf>
    <xf numFmtId="15" fontId="24" fillId="4" borderId="1" xfId="0" applyNumberFormat="1" applyFont="1" applyFill="1" applyBorder="1" applyAlignment="1">
      <alignment horizontal="left"/>
    </xf>
    <xf numFmtId="8" fontId="5" fillId="0" borderId="0" xfId="0" applyNumberFormat="1" applyFont="1"/>
    <xf numFmtId="0" fontId="3" fillId="0" borderId="0" xfId="0" applyFont="1" applyAlignment="1">
      <alignment wrapText="1"/>
    </xf>
    <xf numFmtId="0" fontId="71" fillId="0" borderId="0" xfId="0" applyFont="1" applyAlignment="1">
      <alignment horizontal="center" wrapText="1"/>
    </xf>
    <xf numFmtId="0" fontId="23" fillId="0" borderId="0" xfId="0" applyFont="1"/>
    <xf numFmtId="0" fontId="72" fillId="14" borderId="87" xfId="0" applyFont="1" applyFill="1" applyBorder="1" applyAlignment="1">
      <alignment horizontal="center" vertical="center"/>
    </xf>
    <xf numFmtId="0" fontId="24" fillId="15" borderId="1" xfId="0" applyFont="1" applyFill="1" applyBorder="1" applyAlignment="1">
      <alignment horizontal="left" vertical="center"/>
    </xf>
    <xf numFmtId="0" fontId="24" fillId="0" borderId="0" xfId="0" applyFont="1" applyAlignment="1">
      <alignment horizontal="left" vertical="center"/>
    </xf>
    <xf numFmtId="0" fontId="5" fillId="0" borderId="0" xfId="0" applyFont="1" applyAlignment="1">
      <alignment horizontal="right"/>
    </xf>
    <xf numFmtId="0" fontId="24" fillId="0" borderId="0" xfId="0" applyFont="1" applyAlignment="1">
      <alignment horizontal="center"/>
    </xf>
    <xf numFmtId="0" fontId="6" fillId="16" borderId="1" xfId="0" applyFont="1" applyFill="1" applyBorder="1" applyAlignment="1">
      <alignment horizontal="center"/>
    </xf>
    <xf numFmtId="179" fontId="25" fillId="15" borderId="12" xfId="0" applyNumberFormat="1" applyFont="1" applyFill="1" applyBorder="1"/>
    <xf numFmtId="0" fontId="73" fillId="0" borderId="0" xfId="0" applyFont="1" applyAlignment="1">
      <alignment horizontal="right"/>
    </xf>
    <xf numFmtId="0" fontId="25" fillId="0" borderId="0" xfId="0" applyFont="1" applyAlignment="1">
      <alignment horizontal="center" wrapText="1"/>
    </xf>
    <xf numFmtId="0" fontId="25" fillId="0" borderId="29" xfId="0" applyFont="1" applyBorder="1" applyAlignment="1">
      <alignment horizontal="center"/>
    </xf>
    <xf numFmtId="0" fontId="25" fillId="0" borderId="91" xfId="0" applyFont="1" applyBorder="1" applyAlignment="1">
      <alignment horizontal="center"/>
    </xf>
    <xf numFmtId="0" fontId="25" fillId="0" borderId="92" xfId="0" applyFont="1" applyBorder="1" applyAlignment="1">
      <alignment horizontal="center"/>
    </xf>
    <xf numFmtId="0" fontId="25" fillId="0" borderId="13" xfId="0" quotePrefix="1" applyFont="1" applyBorder="1" applyAlignment="1">
      <alignment horizontal="center"/>
    </xf>
    <xf numFmtId="0" fontId="25" fillId="0" borderId="15" xfId="0" applyFont="1" applyBorder="1" applyAlignment="1">
      <alignment horizontal="center"/>
    </xf>
    <xf numFmtId="0" fontId="25" fillId="0" borderId="15" xfId="0" quotePrefix="1" applyFont="1" applyBorder="1" applyAlignment="1">
      <alignment horizontal="center"/>
    </xf>
    <xf numFmtId="0" fontId="74" fillId="0" borderId="0" xfId="0" applyFont="1" applyAlignment="1">
      <alignment vertical="top"/>
    </xf>
    <xf numFmtId="0" fontId="5" fillId="16" borderId="1" xfId="0" applyFont="1" applyFill="1" applyBorder="1" applyAlignment="1">
      <alignment vertical="top"/>
    </xf>
    <xf numFmtId="165" fontId="5" fillId="15" borderId="94" xfId="0" applyNumberFormat="1" applyFont="1" applyFill="1" applyBorder="1" applyAlignment="1">
      <alignment vertical="top"/>
    </xf>
    <xf numFmtId="179" fontId="5" fillId="0" borderId="92" xfId="0" applyNumberFormat="1" applyFont="1" applyBorder="1" applyAlignment="1">
      <alignment vertical="center"/>
    </xf>
    <xf numFmtId="44" fontId="5" fillId="0" borderId="92" xfId="0" applyNumberFormat="1" applyFont="1" applyBorder="1" applyAlignment="1">
      <alignment vertical="center"/>
    </xf>
    <xf numFmtId="165" fontId="5" fillId="0" borderId="92" xfId="0" applyNumberFormat="1" applyFont="1" applyBorder="1" applyAlignment="1">
      <alignment vertical="center"/>
    </xf>
    <xf numFmtId="165" fontId="5" fillId="0" borderId="93" xfId="0" applyNumberFormat="1" applyFont="1" applyBorder="1" applyAlignment="1">
      <alignment vertical="center"/>
    </xf>
    <xf numFmtId="10" fontId="5" fillId="0" borderId="92" xfId="0" applyNumberFormat="1" applyFont="1" applyBorder="1" applyAlignment="1">
      <alignment vertical="center"/>
    </xf>
    <xf numFmtId="10" fontId="5" fillId="0" borderId="0" xfId="0" applyNumberFormat="1" applyFont="1" applyAlignment="1">
      <alignment vertical="center"/>
    </xf>
    <xf numFmtId="0" fontId="5" fillId="15" borderId="1" xfId="0" applyFont="1" applyFill="1" applyBorder="1" applyAlignment="1">
      <alignment vertical="top"/>
    </xf>
    <xf numFmtId="0" fontId="25" fillId="17" borderId="50" xfId="0" applyFont="1" applyFill="1" applyBorder="1" applyAlignment="1">
      <alignment vertical="top"/>
    </xf>
    <xf numFmtId="0" fontId="25" fillId="17" borderId="95" xfId="0" applyFont="1" applyFill="1" applyBorder="1" applyAlignment="1">
      <alignment vertical="top"/>
    </xf>
    <xf numFmtId="173" fontId="25" fillId="17" borderId="12" xfId="0" applyNumberFormat="1" applyFont="1" applyFill="1" applyBorder="1" applyAlignment="1">
      <alignment vertical="top"/>
    </xf>
    <xf numFmtId="0" fontId="25" fillId="17" borderId="96" xfId="0" applyFont="1" applyFill="1" applyBorder="1" applyAlignment="1">
      <alignment vertical="center"/>
    </xf>
    <xf numFmtId="165" fontId="25" fillId="17" borderId="96" xfId="0" applyNumberFormat="1" applyFont="1" applyFill="1" applyBorder="1" applyAlignment="1">
      <alignment vertical="center"/>
    </xf>
    <xf numFmtId="0" fontId="25" fillId="17" borderId="1" xfId="0" applyFont="1" applyFill="1" applyBorder="1" applyAlignment="1">
      <alignment vertical="center"/>
    </xf>
    <xf numFmtId="165" fontId="25" fillId="17" borderId="12" xfId="0" applyNumberFormat="1" applyFont="1" applyFill="1" applyBorder="1" applyAlignment="1">
      <alignment vertical="center"/>
    </xf>
    <xf numFmtId="10" fontId="25" fillId="17" borderId="96" xfId="0" applyNumberFormat="1" applyFont="1" applyFill="1" applyBorder="1" applyAlignment="1">
      <alignment vertical="center"/>
    </xf>
    <xf numFmtId="10" fontId="25" fillId="17" borderId="1" xfId="0" applyNumberFormat="1" applyFont="1" applyFill="1" applyBorder="1" applyAlignment="1">
      <alignment vertical="center"/>
    </xf>
    <xf numFmtId="173" fontId="5" fillId="15" borderId="94" xfId="0" applyNumberFormat="1" applyFont="1" applyFill="1" applyBorder="1" applyAlignment="1">
      <alignment vertical="top"/>
    </xf>
    <xf numFmtId="41" fontId="5" fillId="0" borderId="92" xfId="0" applyNumberFormat="1" applyFont="1" applyBorder="1" applyAlignment="1">
      <alignment vertical="center"/>
    </xf>
    <xf numFmtId="180" fontId="5" fillId="0" borderId="92" xfId="0" applyNumberFormat="1" applyFont="1" applyBorder="1" applyAlignment="1">
      <alignment vertical="center"/>
    </xf>
    <xf numFmtId="0" fontId="5" fillId="0" borderId="93" xfId="0" applyFont="1" applyBorder="1" applyAlignment="1">
      <alignment vertical="center"/>
    </xf>
    <xf numFmtId="181" fontId="5" fillId="15" borderId="94" xfId="0" applyNumberFormat="1" applyFont="1" applyFill="1" applyBorder="1" applyAlignment="1">
      <alignment vertical="top"/>
    </xf>
    <xf numFmtId="41" fontId="5" fillId="14" borderId="97" xfId="0" applyNumberFormat="1" applyFont="1" applyFill="1" applyBorder="1" applyAlignment="1">
      <alignment vertical="center"/>
    </xf>
    <xf numFmtId="173" fontId="5" fillId="4" borderId="94" xfId="0" applyNumberFormat="1" applyFont="1" applyFill="1" applyBorder="1" applyAlignment="1">
      <alignment vertical="center"/>
    </xf>
    <xf numFmtId="41" fontId="5" fillId="14" borderId="94" xfId="0" applyNumberFormat="1" applyFont="1" applyFill="1" applyBorder="1" applyAlignment="1">
      <alignment vertical="center"/>
    </xf>
    <xf numFmtId="0" fontId="5" fillId="17" borderId="95" xfId="0" applyFont="1" applyFill="1" applyBorder="1"/>
    <xf numFmtId="0" fontId="5" fillId="17" borderId="12" xfId="0" applyFont="1" applyFill="1" applyBorder="1"/>
    <xf numFmtId="41" fontId="5" fillId="17" borderId="96" xfId="0" applyNumberFormat="1" applyFont="1" applyFill="1" applyBorder="1" applyAlignment="1">
      <alignment vertical="center"/>
    </xf>
    <xf numFmtId="0" fontId="5" fillId="17" borderId="1" xfId="0" applyFont="1" applyFill="1" applyBorder="1" applyAlignment="1">
      <alignment vertical="center"/>
    </xf>
    <xf numFmtId="0" fontId="5" fillId="16" borderId="1" xfId="0" applyFont="1" applyFill="1" applyBorder="1" applyAlignment="1">
      <alignment vertical="center"/>
    </xf>
    <xf numFmtId="0" fontId="5" fillId="17" borderId="95" xfId="0" applyFont="1" applyFill="1" applyBorder="1" applyAlignment="1">
      <alignment vertical="top"/>
    </xf>
    <xf numFmtId="0" fontId="5" fillId="17" borderId="12" xfId="0" applyFont="1" applyFill="1" applyBorder="1" applyAlignment="1">
      <alignment vertical="top"/>
    </xf>
    <xf numFmtId="41" fontId="25" fillId="17" borderId="96" xfId="0" applyNumberFormat="1" applyFont="1" applyFill="1" applyBorder="1" applyAlignment="1">
      <alignment vertical="center"/>
    </xf>
    <xf numFmtId="173" fontId="5" fillId="0" borderId="93" xfId="0" applyNumberFormat="1" applyFont="1" applyBorder="1" applyAlignment="1">
      <alignment vertical="top"/>
    </xf>
    <xf numFmtId="41" fontId="3" fillId="14" borderId="94" xfId="0" applyNumberFormat="1" applyFont="1" applyFill="1" applyBorder="1" applyAlignment="1">
      <alignment horizontal="right" vertical="center" wrapText="1"/>
    </xf>
    <xf numFmtId="173" fontId="5" fillId="0" borderId="7" xfId="0" applyNumberFormat="1" applyFont="1" applyBorder="1" applyAlignment="1">
      <alignment vertical="top"/>
    </xf>
    <xf numFmtId="41" fontId="3" fillId="14" borderId="9" xfId="0" applyNumberFormat="1" applyFont="1" applyFill="1" applyBorder="1" applyAlignment="1">
      <alignment horizontal="right" vertical="center" wrapText="1"/>
    </xf>
    <xf numFmtId="0" fontId="5" fillId="18" borderId="98" xfId="0" applyFont="1" applyFill="1" applyBorder="1"/>
    <xf numFmtId="0" fontId="5" fillId="18" borderId="99" xfId="0" applyFont="1" applyFill="1" applyBorder="1" applyAlignment="1">
      <alignment vertical="top"/>
    </xf>
    <xf numFmtId="173" fontId="5" fillId="18" borderId="100" xfId="0" applyNumberFormat="1" applyFont="1" applyFill="1" applyBorder="1" applyAlignment="1">
      <alignment vertical="top"/>
    </xf>
    <xf numFmtId="0" fontId="5" fillId="18" borderId="100" xfId="0" applyFont="1" applyFill="1" applyBorder="1" applyAlignment="1">
      <alignment vertical="center"/>
    </xf>
    <xf numFmtId="165" fontId="5" fillId="18" borderId="99" xfId="0" applyNumberFormat="1" applyFont="1" applyFill="1" applyBorder="1" applyAlignment="1">
      <alignment vertical="center"/>
    </xf>
    <xf numFmtId="0" fontId="5" fillId="18" borderId="101" xfId="0" applyFont="1" applyFill="1" applyBorder="1" applyAlignment="1">
      <alignment vertical="center"/>
    </xf>
    <xf numFmtId="0" fontId="5" fillId="18" borderId="99" xfId="0" applyFont="1" applyFill="1" applyBorder="1" applyAlignment="1">
      <alignment vertical="center"/>
    </xf>
    <xf numFmtId="165" fontId="5" fillId="18" borderId="100" xfId="0" applyNumberFormat="1" applyFont="1" applyFill="1" applyBorder="1" applyAlignment="1">
      <alignment vertical="center"/>
    </xf>
    <xf numFmtId="10" fontId="5" fillId="18" borderId="102" xfId="0" applyNumberFormat="1" applyFont="1" applyFill="1" applyBorder="1" applyAlignment="1">
      <alignment vertical="center"/>
    </xf>
    <xf numFmtId="10" fontId="5" fillId="18" borderId="1" xfId="0" applyNumberFormat="1" applyFont="1" applyFill="1" applyBorder="1" applyAlignment="1">
      <alignment vertical="center"/>
    </xf>
    <xf numFmtId="0" fontId="25" fillId="0" borderId="0" xfId="0" applyFont="1" applyAlignment="1">
      <alignment vertical="top"/>
    </xf>
    <xf numFmtId="9" fontId="5" fillId="0" borderId="93" xfId="0" applyNumberFormat="1" applyFont="1" applyBorder="1" applyAlignment="1">
      <alignment vertical="top"/>
    </xf>
    <xf numFmtId="9" fontId="25" fillId="0" borderId="93" xfId="0" applyNumberFormat="1" applyFont="1" applyBorder="1" applyAlignment="1">
      <alignment vertical="center"/>
    </xf>
    <xf numFmtId="165" fontId="25" fillId="0" borderId="7" xfId="0" applyNumberFormat="1" applyFont="1" applyBorder="1" applyAlignment="1">
      <alignment vertical="center"/>
    </xf>
    <xf numFmtId="165" fontId="25" fillId="0" borderId="93" xfId="0" applyNumberFormat="1" applyFont="1" applyBorder="1" applyAlignment="1">
      <alignment vertical="center"/>
    </xf>
    <xf numFmtId="0" fontId="25" fillId="0" borderId="0" xfId="0" applyFont="1" applyAlignment="1">
      <alignment vertical="center"/>
    </xf>
    <xf numFmtId="10" fontId="25" fillId="0" borderId="92" xfId="0" applyNumberFormat="1" applyFont="1" applyBorder="1" applyAlignment="1">
      <alignment vertical="center"/>
    </xf>
    <xf numFmtId="10" fontId="25" fillId="0" borderId="0" xfId="0" applyNumberFormat="1" applyFont="1" applyAlignment="1">
      <alignment vertical="center"/>
    </xf>
    <xf numFmtId="0" fontId="5" fillId="0" borderId="0" xfId="0" applyFont="1" applyAlignment="1">
      <alignment horizontal="left" vertical="top"/>
    </xf>
    <xf numFmtId="9" fontId="5" fillId="0" borderId="93" xfId="0" applyNumberFormat="1" applyFont="1" applyBorder="1" applyAlignment="1">
      <alignment vertical="center"/>
    </xf>
    <xf numFmtId="0" fontId="25" fillId="0" borderId="0" xfId="0" applyFont="1" applyAlignment="1">
      <alignment horizontal="left" vertical="top"/>
    </xf>
    <xf numFmtId="0" fontId="5" fillId="0" borderId="93" xfId="0" applyFont="1" applyBorder="1" applyAlignment="1">
      <alignment vertical="top"/>
    </xf>
    <xf numFmtId="170" fontId="5" fillId="0" borderId="93" xfId="0" applyNumberFormat="1" applyFont="1" applyBorder="1" applyAlignment="1">
      <alignment vertical="top"/>
    </xf>
    <xf numFmtId="165" fontId="75" fillId="0" borderId="93" xfId="0" applyNumberFormat="1" applyFont="1" applyBorder="1" applyAlignment="1">
      <alignment vertical="center"/>
    </xf>
    <xf numFmtId="170" fontId="5" fillId="0" borderId="93" xfId="0" applyNumberFormat="1" applyFont="1" applyBorder="1" applyAlignment="1">
      <alignment vertical="center"/>
    </xf>
    <xf numFmtId="10" fontId="75" fillId="0" borderId="92" xfId="0" applyNumberFormat="1" applyFont="1" applyBorder="1" applyAlignment="1">
      <alignment vertical="center"/>
    </xf>
    <xf numFmtId="10" fontId="75" fillId="0" borderId="0" xfId="0" applyNumberFormat="1" applyFont="1" applyAlignment="1">
      <alignment vertical="center"/>
    </xf>
    <xf numFmtId="0" fontId="5" fillId="19" borderId="1" xfId="0" applyFont="1" applyFill="1" applyBorder="1" applyAlignment="1">
      <alignment vertical="top"/>
    </xf>
    <xf numFmtId="0" fontId="5" fillId="19" borderId="9" xfId="0" applyFont="1" applyFill="1" applyBorder="1" applyAlignment="1">
      <alignment vertical="top"/>
    </xf>
    <xf numFmtId="0" fontId="25" fillId="19" borderId="9" xfId="0" applyFont="1" applyFill="1" applyBorder="1" applyAlignment="1">
      <alignment vertical="center"/>
    </xf>
    <xf numFmtId="165" fontId="25" fillId="19" borderId="16" xfId="0" applyNumberFormat="1" applyFont="1" applyFill="1" applyBorder="1" applyAlignment="1">
      <alignment vertical="center"/>
    </xf>
    <xf numFmtId="0" fontId="25" fillId="19" borderId="79" xfId="0" applyFont="1" applyFill="1" applyBorder="1" applyAlignment="1">
      <alignment vertical="center"/>
    </xf>
    <xf numFmtId="165" fontId="25" fillId="19" borderId="9" xfId="0" applyNumberFormat="1" applyFont="1" applyFill="1" applyBorder="1" applyAlignment="1">
      <alignment vertical="center"/>
    </xf>
    <xf numFmtId="10" fontId="25" fillId="19" borderId="16" xfId="0" applyNumberFormat="1" applyFont="1" applyFill="1" applyBorder="1" applyAlignment="1">
      <alignment vertical="center"/>
    </xf>
    <xf numFmtId="10" fontId="25" fillId="19" borderId="1" xfId="0" applyNumberFormat="1" applyFont="1" applyFill="1" applyBorder="1" applyAlignment="1">
      <alignment vertical="center"/>
    </xf>
    <xf numFmtId="0" fontId="5" fillId="19" borderId="94" xfId="0" applyFont="1" applyFill="1" applyBorder="1" applyAlignment="1">
      <alignment vertical="top"/>
    </xf>
    <xf numFmtId="0" fontId="25" fillId="19" borderId="94" xfId="0" applyFont="1" applyFill="1" applyBorder="1" applyAlignment="1">
      <alignment vertical="center"/>
    </xf>
    <xf numFmtId="165" fontId="25" fillId="19" borderId="97" xfId="0" applyNumberFormat="1" applyFont="1" applyFill="1" applyBorder="1" applyAlignment="1">
      <alignment vertical="center"/>
    </xf>
    <xf numFmtId="0" fontId="25" fillId="19" borderId="1" xfId="0" applyFont="1" applyFill="1" applyBorder="1" applyAlignment="1">
      <alignment vertical="center"/>
    </xf>
    <xf numFmtId="165" fontId="25" fillId="19" borderId="94" xfId="0" applyNumberFormat="1" applyFont="1" applyFill="1" applyBorder="1" applyAlignment="1">
      <alignment vertical="center"/>
    </xf>
    <xf numFmtId="10" fontId="25" fillId="19" borderId="97" xfId="0" applyNumberFormat="1" applyFont="1" applyFill="1" applyBorder="1" applyAlignment="1">
      <alignment vertical="center"/>
    </xf>
    <xf numFmtId="173" fontId="5" fillId="18" borderId="103" xfId="0" applyNumberFormat="1" applyFont="1" applyFill="1" applyBorder="1" applyAlignment="1">
      <alignment vertical="top"/>
    </xf>
    <xf numFmtId="0" fontId="5" fillId="18" borderId="103" xfId="0" applyFont="1" applyFill="1" applyBorder="1" applyAlignment="1">
      <alignment vertical="center"/>
    </xf>
    <xf numFmtId="165" fontId="5" fillId="18" borderId="103" xfId="0" applyNumberFormat="1" applyFont="1" applyFill="1" applyBorder="1" applyAlignment="1">
      <alignment vertical="center"/>
    </xf>
    <xf numFmtId="182" fontId="5" fillId="15" borderId="12" xfId="0" applyNumberFormat="1" applyFont="1" applyFill="1" applyBorder="1"/>
    <xf numFmtId="0" fontId="76" fillId="0" borderId="0" xfId="0" applyFont="1"/>
    <xf numFmtId="0" fontId="5" fillId="14" borderId="1" xfId="0" applyFont="1" applyFill="1" applyBorder="1"/>
    <xf numFmtId="37" fontId="5" fillId="14" borderId="94" xfId="0" applyNumberFormat="1" applyFont="1" applyFill="1" applyBorder="1" applyAlignment="1">
      <alignment vertical="center"/>
    </xf>
    <xf numFmtId="0" fontId="25" fillId="0" borderId="93" xfId="0" applyFont="1" applyBorder="1" applyAlignment="1">
      <alignment vertical="center"/>
    </xf>
    <xf numFmtId="0" fontId="25" fillId="0" borderId="13" xfId="0" applyFont="1" applyBorder="1" applyAlignment="1">
      <alignment horizontal="center"/>
    </xf>
    <xf numFmtId="0" fontId="5" fillId="15" borderId="1" xfId="0" applyFont="1" applyFill="1" applyBorder="1" applyAlignment="1">
      <alignment vertical="top" wrapText="1"/>
    </xf>
    <xf numFmtId="0" fontId="5" fillId="0" borderId="7" xfId="0" applyFont="1" applyBorder="1" applyAlignment="1">
      <alignment vertical="center"/>
    </xf>
    <xf numFmtId="0" fontId="25" fillId="17" borderId="50" xfId="0" applyFont="1" applyFill="1" applyBorder="1" applyAlignment="1">
      <alignment vertical="top" wrapText="1"/>
    </xf>
    <xf numFmtId="0" fontId="5" fillId="0" borderId="0" xfId="0" applyFont="1" applyAlignment="1">
      <alignment vertical="center" wrapText="1"/>
    </xf>
    <xf numFmtId="0" fontId="5" fillId="0" borderId="0" xfId="0" applyFont="1" applyAlignment="1">
      <alignment vertical="top" wrapText="1"/>
    </xf>
    <xf numFmtId="9" fontId="5" fillId="0" borderId="0" xfId="0" applyNumberFormat="1" applyFont="1" applyAlignment="1">
      <alignment vertical="center"/>
    </xf>
    <xf numFmtId="165" fontId="5" fillId="0" borderId="7" xfId="0" applyNumberFormat="1" applyFont="1" applyBorder="1" applyAlignment="1">
      <alignment vertical="center"/>
    </xf>
    <xf numFmtId="0" fontId="25" fillId="0" borderId="0" xfId="0" applyFont="1" applyAlignment="1">
      <alignment horizontal="left" vertical="top" wrapText="1"/>
    </xf>
    <xf numFmtId="165" fontId="75" fillId="0" borderId="7" xfId="0" applyNumberFormat="1" applyFont="1" applyBorder="1" applyAlignment="1">
      <alignment vertical="center"/>
    </xf>
    <xf numFmtId="0" fontId="5" fillId="19" borderId="79" xfId="0" applyFont="1" applyFill="1" applyBorder="1" applyAlignment="1">
      <alignment vertical="center"/>
    </xf>
    <xf numFmtId="165" fontId="25" fillId="19" borderId="104" xfId="0" applyNumberFormat="1" applyFont="1" applyFill="1" applyBorder="1" applyAlignment="1">
      <alignment vertical="center"/>
    </xf>
    <xf numFmtId="0" fontId="5" fillId="19" borderId="1" xfId="0" applyFont="1" applyFill="1" applyBorder="1" applyAlignment="1">
      <alignment vertical="center"/>
    </xf>
    <xf numFmtId="165" fontId="25" fillId="19" borderId="105" xfId="0" applyNumberFormat="1" applyFont="1" applyFill="1" applyBorder="1" applyAlignment="1">
      <alignment vertical="center"/>
    </xf>
    <xf numFmtId="165" fontId="5" fillId="18" borderId="106" xfId="0" applyNumberFormat="1" applyFont="1" applyFill="1" applyBorder="1" applyAlignment="1">
      <alignment vertical="center"/>
    </xf>
    <xf numFmtId="165" fontId="5" fillId="0" borderId="92" xfId="0" applyNumberFormat="1" applyFont="1" applyBorder="1" applyAlignment="1">
      <alignment horizontal="right" vertical="center"/>
    </xf>
    <xf numFmtId="0" fontId="24" fillId="15" borderId="1" xfId="0" applyFont="1" applyFill="1" applyBorder="1" applyAlignment="1">
      <alignment horizontal="center" vertical="center"/>
    </xf>
    <xf numFmtId="0" fontId="25" fillId="17" borderId="12" xfId="0" applyFont="1" applyFill="1" applyBorder="1" applyAlignment="1">
      <alignment vertical="center"/>
    </xf>
    <xf numFmtId="0" fontId="5" fillId="17" borderId="12" xfId="0" applyFont="1" applyFill="1" applyBorder="1" applyAlignment="1">
      <alignment vertical="center"/>
    </xf>
    <xf numFmtId="165" fontId="25" fillId="0" borderId="14" xfId="0" applyNumberFormat="1" applyFont="1" applyBorder="1" applyAlignment="1">
      <alignment vertical="center"/>
    </xf>
    <xf numFmtId="0" fontId="5" fillId="18" borderId="107" xfId="0" applyFont="1" applyFill="1" applyBorder="1"/>
    <xf numFmtId="0" fontId="5" fillId="18" borderId="108" xfId="0" applyFont="1" applyFill="1" applyBorder="1" applyAlignment="1">
      <alignment vertical="top"/>
    </xf>
    <xf numFmtId="0" fontId="24" fillId="15" borderId="1" xfId="0" applyFont="1" applyFill="1" applyBorder="1" applyAlignment="1">
      <alignment vertical="center"/>
    </xf>
    <xf numFmtId="0" fontId="5" fillId="15" borderId="1" xfId="0" applyFont="1" applyFill="1" applyBorder="1"/>
    <xf numFmtId="179" fontId="5" fillId="14" borderId="94" xfId="0" applyNumberFormat="1" applyFont="1" applyFill="1" applyBorder="1" applyAlignment="1">
      <alignment vertical="center"/>
    </xf>
    <xf numFmtId="1" fontId="5" fillId="14" borderId="94" xfId="0" applyNumberFormat="1" applyFont="1" applyFill="1" applyBorder="1" applyAlignment="1">
      <alignment vertical="center"/>
    </xf>
    <xf numFmtId="183" fontId="5" fillId="15" borderId="94" xfId="0" applyNumberFormat="1" applyFont="1" applyFill="1" applyBorder="1" applyAlignment="1">
      <alignment vertical="top"/>
    </xf>
    <xf numFmtId="173" fontId="5" fillId="0" borderId="92" xfId="0" applyNumberFormat="1" applyFont="1" applyBorder="1" applyAlignment="1">
      <alignment vertical="center"/>
    </xf>
    <xf numFmtId="1" fontId="5" fillId="4" borderId="94" xfId="0" applyNumberFormat="1" applyFont="1" applyFill="1" applyBorder="1" applyAlignment="1">
      <alignment vertical="center"/>
    </xf>
    <xf numFmtId="165" fontId="75" fillId="11" borderId="97" xfId="0" applyNumberFormat="1" applyFont="1" applyFill="1" applyBorder="1" applyAlignment="1">
      <alignment vertical="center"/>
    </xf>
    <xf numFmtId="0" fontId="77" fillId="0" borderId="0" xfId="0" applyFont="1"/>
    <xf numFmtId="0" fontId="78" fillId="0" borderId="0" xfId="0" applyFont="1" applyAlignment="1">
      <alignment vertical="top"/>
    </xf>
    <xf numFmtId="0" fontId="77" fillId="0" borderId="0" xfId="0" applyFont="1" applyAlignment="1">
      <alignment vertical="top"/>
    </xf>
    <xf numFmtId="9" fontId="77" fillId="0" borderId="93" xfId="0" applyNumberFormat="1" applyFont="1" applyBorder="1" applyAlignment="1">
      <alignment vertical="top"/>
    </xf>
    <xf numFmtId="9" fontId="77" fillId="0" borderId="0" xfId="0" applyNumberFormat="1" applyFont="1" applyAlignment="1">
      <alignment vertical="center"/>
    </xf>
    <xf numFmtId="165" fontId="78" fillId="0" borderId="7" xfId="0" applyNumberFormat="1" applyFont="1" applyBorder="1" applyAlignment="1">
      <alignment vertical="center"/>
    </xf>
    <xf numFmtId="0" fontId="78" fillId="0" borderId="93" xfId="0" applyFont="1" applyBorder="1" applyAlignment="1">
      <alignment vertical="center"/>
    </xf>
    <xf numFmtId="9" fontId="78" fillId="0" borderId="93" xfId="0" applyNumberFormat="1" applyFont="1" applyBorder="1" applyAlignment="1">
      <alignment vertical="center"/>
    </xf>
    <xf numFmtId="0" fontId="78" fillId="0" borderId="0" xfId="0" applyFont="1" applyAlignment="1">
      <alignment vertical="center"/>
    </xf>
    <xf numFmtId="165" fontId="78" fillId="0" borderId="93" xfId="0" applyNumberFormat="1" applyFont="1" applyBorder="1" applyAlignment="1">
      <alignment vertical="center"/>
    </xf>
    <xf numFmtId="10" fontId="78" fillId="0" borderId="92" xfId="0" applyNumberFormat="1" applyFont="1" applyBorder="1" applyAlignment="1">
      <alignment vertical="center"/>
    </xf>
    <xf numFmtId="10" fontId="78" fillId="0" borderId="0" xfId="0" applyNumberFormat="1" applyFont="1" applyAlignment="1">
      <alignment vertical="center"/>
    </xf>
    <xf numFmtId="0" fontId="77" fillId="0" borderId="0" xfId="0" applyFont="1" applyAlignment="1">
      <alignment horizontal="left" vertical="top"/>
    </xf>
    <xf numFmtId="165" fontId="77" fillId="0" borderId="7" xfId="0" applyNumberFormat="1" applyFont="1" applyBorder="1" applyAlignment="1">
      <alignment vertical="center"/>
    </xf>
    <xf numFmtId="0" fontId="77" fillId="0" borderId="93" xfId="0" applyFont="1" applyBorder="1" applyAlignment="1">
      <alignment vertical="center"/>
    </xf>
    <xf numFmtId="9" fontId="77" fillId="0" borderId="93" xfId="0" applyNumberFormat="1" applyFont="1" applyBorder="1" applyAlignment="1">
      <alignment vertical="center"/>
    </xf>
    <xf numFmtId="165" fontId="77" fillId="0" borderId="92" xfId="0" applyNumberFormat="1" applyFont="1" applyBorder="1" applyAlignment="1">
      <alignment vertical="center"/>
    </xf>
    <xf numFmtId="0" fontId="77" fillId="0" borderId="0" xfId="0" applyFont="1" applyAlignment="1">
      <alignment vertical="center"/>
    </xf>
    <xf numFmtId="165" fontId="77" fillId="0" borderId="93" xfId="0" applyNumberFormat="1" applyFont="1" applyBorder="1" applyAlignment="1">
      <alignment vertical="center"/>
    </xf>
    <xf numFmtId="10" fontId="77" fillId="0" borderId="92" xfId="0" applyNumberFormat="1" applyFont="1" applyBorder="1" applyAlignment="1">
      <alignment vertical="center"/>
    </xf>
    <xf numFmtId="10" fontId="77" fillId="0" borderId="0" xfId="0" applyNumberFormat="1" applyFont="1" applyAlignment="1">
      <alignment vertical="center"/>
    </xf>
    <xf numFmtId="0" fontId="78" fillId="0" borderId="0" xfId="0" applyFont="1" applyAlignment="1">
      <alignment horizontal="left" vertical="top"/>
    </xf>
    <xf numFmtId="0" fontId="77" fillId="0" borderId="93" xfId="0" applyFont="1" applyBorder="1" applyAlignment="1">
      <alignment vertical="top"/>
    </xf>
    <xf numFmtId="165" fontId="80" fillId="0" borderId="7" xfId="0" applyNumberFormat="1" applyFont="1" applyBorder="1" applyAlignment="1">
      <alignment vertical="center"/>
    </xf>
    <xf numFmtId="165" fontId="80" fillId="11" borderId="97" xfId="0" applyNumberFormat="1" applyFont="1" applyFill="1" applyBorder="1" applyAlignment="1">
      <alignment vertical="center"/>
    </xf>
    <xf numFmtId="165" fontId="80" fillId="0" borderId="93" xfId="0" applyNumberFormat="1" applyFont="1" applyBorder="1" applyAlignment="1">
      <alignment vertical="center"/>
    </xf>
    <xf numFmtId="10" fontId="80" fillId="0" borderId="92" xfId="0" applyNumberFormat="1" applyFont="1" applyBorder="1" applyAlignment="1">
      <alignment vertical="center"/>
    </xf>
    <xf numFmtId="10" fontId="80" fillId="0" borderId="0" xfId="0" applyNumberFormat="1" applyFont="1" applyAlignment="1">
      <alignment vertical="center"/>
    </xf>
    <xf numFmtId="0" fontId="77" fillId="19" borderId="1" xfId="0" applyFont="1" applyFill="1" applyBorder="1" applyAlignment="1">
      <alignment vertical="top"/>
    </xf>
    <xf numFmtId="0" fontId="77" fillId="19" borderId="94" xfId="0" applyFont="1" applyFill="1" applyBorder="1" applyAlignment="1">
      <alignment vertical="top"/>
    </xf>
    <xf numFmtId="0" fontId="77" fillId="19" borderId="1" xfId="0" applyFont="1" applyFill="1" applyBorder="1" applyAlignment="1">
      <alignment vertical="center"/>
    </xf>
    <xf numFmtId="165" fontId="78" fillId="19" borderId="105" xfId="0" applyNumberFormat="1" applyFont="1" applyFill="1" applyBorder="1" applyAlignment="1">
      <alignment vertical="center"/>
    </xf>
    <xf numFmtId="0" fontId="78" fillId="19" borderId="94" xfId="0" applyFont="1" applyFill="1" applyBorder="1" applyAlignment="1">
      <alignment vertical="center"/>
    </xf>
    <xf numFmtId="165" fontId="78" fillId="19" borderId="97" xfId="0" applyNumberFormat="1" applyFont="1" applyFill="1" applyBorder="1" applyAlignment="1">
      <alignment vertical="center"/>
    </xf>
    <xf numFmtId="0" fontId="78" fillId="19" borderId="1" xfId="0" applyFont="1" applyFill="1" applyBorder="1" applyAlignment="1">
      <alignment vertical="center"/>
    </xf>
    <xf numFmtId="165" fontId="78" fillId="19" borderId="94" xfId="0" applyNumberFormat="1" applyFont="1" applyFill="1" applyBorder="1" applyAlignment="1">
      <alignment vertical="center"/>
    </xf>
    <xf numFmtId="10" fontId="78" fillId="19" borderId="97" xfId="0" applyNumberFormat="1" applyFont="1" applyFill="1" applyBorder="1" applyAlignment="1">
      <alignment vertical="center"/>
    </xf>
    <xf numFmtId="10" fontId="78" fillId="19" borderId="1" xfId="0" applyNumberFormat="1" applyFont="1" applyFill="1" applyBorder="1" applyAlignment="1">
      <alignment vertical="center"/>
    </xf>
    <xf numFmtId="0" fontId="28" fillId="0" borderId="0" xfId="0" applyFont="1"/>
    <xf numFmtId="0" fontId="81" fillId="0" borderId="0" xfId="0" applyFont="1"/>
    <xf numFmtId="0" fontId="82" fillId="0" borderId="0" xfId="0" applyFont="1"/>
    <xf numFmtId="0" fontId="78" fillId="0" borderId="0" xfId="0" applyFont="1" applyAlignment="1">
      <alignment horizontal="left" vertical="top" wrapText="1"/>
    </xf>
    <xf numFmtId="0" fontId="83" fillId="0" borderId="0" xfId="0" applyFont="1"/>
    <xf numFmtId="0" fontId="84" fillId="0" borderId="0" xfId="0" applyFont="1"/>
    <xf numFmtId="0" fontId="84" fillId="17" borderId="95" xfId="0" applyFont="1" applyFill="1" applyBorder="1" applyAlignment="1">
      <alignment vertical="top"/>
    </xf>
    <xf numFmtId="173" fontId="5" fillId="4" borderId="94" xfId="0" applyNumberFormat="1" applyFont="1" applyFill="1" applyBorder="1" applyAlignment="1">
      <alignment vertical="top"/>
    </xf>
    <xf numFmtId="0" fontId="83" fillId="17" borderId="95" xfId="0" applyFont="1" applyFill="1" applyBorder="1"/>
    <xf numFmtId="0" fontId="83" fillId="17" borderId="95" xfId="0" applyFont="1" applyFill="1" applyBorder="1" applyAlignment="1">
      <alignment vertical="top"/>
    </xf>
    <xf numFmtId="0" fontId="83" fillId="18" borderId="99" xfId="0" applyFont="1" applyFill="1" applyBorder="1" applyAlignment="1">
      <alignment vertical="top"/>
    </xf>
    <xf numFmtId="0" fontId="83" fillId="0" borderId="0" xfId="0" applyFont="1" applyAlignment="1">
      <alignment vertical="top"/>
    </xf>
    <xf numFmtId="0" fontId="85" fillId="0" borderId="0" xfId="0" applyFont="1" applyAlignment="1">
      <alignment vertical="top"/>
    </xf>
    <xf numFmtId="0" fontId="86" fillId="0" borderId="0" xfId="0" applyFont="1"/>
    <xf numFmtId="184" fontId="25" fillId="15" borderId="12" xfId="0" applyNumberFormat="1" applyFont="1" applyFill="1" applyBorder="1"/>
    <xf numFmtId="0" fontId="20" fillId="0" borderId="0" xfId="0" applyFont="1" applyAlignment="1">
      <alignment horizontal="center"/>
    </xf>
    <xf numFmtId="185" fontId="5" fillId="15" borderId="94" xfId="0" applyNumberFormat="1" applyFont="1" applyFill="1" applyBorder="1" applyAlignment="1">
      <alignment vertical="top"/>
    </xf>
    <xf numFmtId="186" fontId="5" fillId="0" borderId="92" xfId="0" applyNumberFormat="1" applyFont="1" applyBorder="1" applyAlignment="1">
      <alignment vertical="center"/>
    </xf>
    <xf numFmtId="180" fontId="5" fillId="15" borderId="94" xfId="0" applyNumberFormat="1" applyFont="1" applyFill="1" applyBorder="1" applyAlignment="1">
      <alignment vertical="top"/>
    </xf>
    <xf numFmtId="0" fontId="3" fillId="0" borderId="0" xfId="0" applyFont="1" applyAlignment="1">
      <alignment horizontal="right" vertical="center" wrapText="1"/>
    </xf>
    <xf numFmtId="0" fontId="67" fillId="0" borderId="0" xfId="0" applyFont="1" applyAlignment="1">
      <alignment vertical="center"/>
    </xf>
    <xf numFmtId="0" fontId="67" fillId="0" borderId="0" xfId="0" applyFont="1"/>
    <xf numFmtId="0" fontId="67" fillId="0" borderId="0" xfId="0" applyFont="1" applyAlignment="1">
      <alignment wrapText="1"/>
    </xf>
    <xf numFmtId="3" fontId="5" fillId="14" borderId="94" xfId="0" applyNumberFormat="1" applyFont="1" applyFill="1" applyBorder="1" applyAlignment="1">
      <alignment vertical="center"/>
    </xf>
    <xf numFmtId="3" fontId="5" fillId="0" borderId="93" xfId="0" applyNumberFormat="1" applyFont="1" applyBorder="1" applyAlignment="1">
      <alignment vertical="center"/>
    </xf>
    <xf numFmtId="0" fontId="3" fillId="13" borderId="109" xfId="0" applyFont="1" applyFill="1" applyBorder="1" applyAlignment="1">
      <alignment horizontal="right" vertical="center" wrapText="1"/>
    </xf>
    <xf numFmtId="0" fontId="58" fillId="0" borderId="0" xfId="0" applyFont="1"/>
    <xf numFmtId="0" fontId="87" fillId="0" borderId="0" xfId="0" applyFont="1"/>
    <xf numFmtId="0" fontId="88" fillId="0" borderId="0" xfId="0" applyFont="1" applyAlignment="1">
      <alignment vertical="top"/>
    </xf>
    <xf numFmtId="0" fontId="87" fillId="17" borderId="95" xfId="0" applyFont="1" applyFill="1" applyBorder="1" applyAlignment="1">
      <alignment vertical="top"/>
    </xf>
    <xf numFmtId="0" fontId="58" fillId="0" borderId="0" xfId="0" applyFont="1" applyAlignment="1">
      <alignment vertical="top"/>
    </xf>
    <xf numFmtId="0" fontId="58" fillId="17" borderId="95" xfId="0" applyFont="1" applyFill="1" applyBorder="1"/>
    <xf numFmtId="0" fontId="58" fillId="17" borderId="95" xfId="0" applyFont="1" applyFill="1" applyBorder="1" applyAlignment="1">
      <alignment vertical="top"/>
    </xf>
    <xf numFmtId="0" fontId="58" fillId="18" borderId="99" xfId="0" applyFont="1" applyFill="1" applyBorder="1" applyAlignment="1">
      <alignment vertical="top"/>
    </xf>
    <xf numFmtId="180" fontId="5" fillId="15" borderId="94" xfId="0" applyNumberFormat="1" applyFont="1" applyFill="1" applyBorder="1" applyAlignment="1">
      <alignment horizontal="right" vertical="top"/>
    </xf>
    <xf numFmtId="0" fontId="2" fillId="3" borderId="6" xfId="0" applyFont="1" applyFill="1" applyBorder="1" applyAlignment="1">
      <alignment horizontal="center" vertical="center" wrapText="1"/>
    </xf>
    <xf numFmtId="0" fontId="8" fillId="0" borderId="8" xfId="0" applyFont="1" applyBorder="1"/>
    <xf numFmtId="0" fontId="13" fillId="0" borderId="10" xfId="0" applyFont="1" applyBorder="1" applyAlignment="1">
      <alignment horizontal="left" vertical="center" wrapText="1"/>
    </xf>
    <xf numFmtId="0" fontId="8" fillId="0" borderId="11" xfId="0" applyFont="1" applyBorder="1"/>
    <xf numFmtId="0" fontId="8" fillId="0" borderId="14" xfId="0" applyFont="1" applyBorder="1"/>
    <xf numFmtId="0" fontId="7" fillId="3" borderId="3" xfId="0" applyFont="1" applyFill="1" applyBorder="1" applyAlignment="1">
      <alignment horizontal="center" vertical="center" wrapText="1"/>
    </xf>
    <xf numFmtId="0" fontId="8" fillId="0" borderId="4" xfId="0" applyFont="1" applyBorder="1"/>
    <xf numFmtId="0" fontId="8" fillId="0" borderId="5" xfId="0" applyFont="1" applyBorder="1"/>
    <xf numFmtId="0" fontId="25" fillId="4" borderId="17" xfId="0" applyFont="1" applyFill="1" applyBorder="1" applyAlignment="1">
      <alignment horizontal="left"/>
    </xf>
    <xf numFmtId="0" fontId="8" fillId="0" borderId="18" xfId="0" applyFont="1" applyBorder="1"/>
    <xf numFmtId="0" fontId="8" fillId="0" borderId="19" xfId="0" applyFont="1" applyBorder="1"/>
    <xf numFmtId="0" fontId="21" fillId="4" borderId="17" xfId="0" applyFont="1" applyFill="1" applyBorder="1" applyAlignment="1">
      <alignment horizontal="center" vertical="top" wrapText="1"/>
    </xf>
    <xf numFmtId="0" fontId="23" fillId="4" borderId="17" xfId="0" applyFont="1" applyFill="1" applyBorder="1" applyAlignment="1">
      <alignment horizontal="center" vertical="top" wrapText="1"/>
    </xf>
    <xf numFmtId="0" fontId="24" fillId="4" borderId="17" xfId="0" applyFont="1" applyFill="1" applyBorder="1" applyAlignment="1">
      <alignment horizontal="center" vertical="top" wrapText="1"/>
    </xf>
    <xf numFmtId="0" fontId="25" fillId="4" borderId="17" xfId="0" applyFont="1" applyFill="1" applyBorder="1" applyAlignment="1">
      <alignment horizontal="center" vertical="top" wrapText="1"/>
    </xf>
    <xf numFmtId="0" fontId="26" fillId="4" borderId="17" xfId="0" applyFont="1" applyFill="1" applyBorder="1" applyAlignment="1">
      <alignment horizontal="right" vertical="top" wrapText="1"/>
    </xf>
    <xf numFmtId="0" fontId="23" fillId="4" borderId="17" xfId="0" applyFont="1" applyFill="1" applyBorder="1" applyAlignment="1">
      <alignment horizontal="left" vertical="top" wrapText="1"/>
    </xf>
    <xf numFmtId="0" fontId="19" fillId="4" borderId="17" xfId="0" applyFont="1" applyFill="1" applyBorder="1" applyAlignment="1">
      <alignment horizontal="left" vertical="top" wrapText="1"/>
    </xf>
    <xf numFmtId="0" fontId="25" fillId="4" borderId="17" xfId="0" applyFont="1" applyFill="1" applyBorder="1" applyAlignment="1">
      <alignment horizontal="left" vertical="top"/>
    </xf>
    <xf numFmtId="0" fontId="10" fillId="4" borderId="17" xfId="0" applyFont="1" applyFill="1" applyBorder="1" applyAlignment="1">
      <alignment horizontal="left" vertical="top" wrapText="1"/>
    </xf>
    <xf numFmtId="15" fontId="20" fillId="4" borderId="17" xfId="0" applyNumberFormat="1" applyFont="1" applyFill="1" applyBorder="1" applyAlignment="1">
      <alignment horizontal="left" vertical="top" wrapText="1"/>
    </xf>
    <xf numFmtId="0" fontId="10" fillId="4" borderId="17" xfId="0" applyFont="1" applyFill="1" applyBorder="1" applyAlignment="1">
      <alignment horizontal="left" wrapText="1"/>
    </xf>
    <xf numFmtId="0" fontId="28" fillId="4" borderId="17" xfId="0" applyFont="1" applyFill="1" applyBorder="1" applyAlignment="1">
      <alignment horizontal="left" vertical="top" wrapText="1"/>
    </xf>
    <xf numFmtId="0" fontId="51" fillId="0" borderId="30" xfId="0" applyFont="1" applyBorder="1" applyAlignment="1">
      <alignment horizontal="center" vertical="center" wrapText="1"/>
    </xf>
    <xf numFmtId="0" fontId="8" fillId="0" borderId="40" xfId="0" applyFont="1" applyBorder="1"/>
    <xf numFmtId="0" fontId="8" fillId="0" borderId="54" xfId="0" applyFont="1" applyBorder="1"/>
    <xf numFmtId="0" fontId="36" fillId="2" borderId="21" xfId="0" applyFont="1" applyFill="1" applyBorder="1" applyAlignment="1">
      <alignment horizontal="center" vertical="center" wrapText="1"/>
    </xf>
    <xf numFmtId="0" fontId="8" fillId="0" borderId="22" xfId="0" applyFont="1" applyBorder="1"/>
    <xf numFmtId="0" fontId="34" fillId="0" borderId="0" xfId="0" applyFont="1" applyAlignment="1">
      <alignment horizontal="center" vertical="center" wrapText="1"/>
    </xf>
    <xf numFmtId="0" fontId="0" fillId="0" borderId="0" xfId="0" applyFont="1" applyAlignment="1"/>
    <xf numFmtId="0" fontId="51" fillId="0" borderId="64" xfId="0" applyFont="1" applyBorder="1" applyAlignment="1">
      <alignment horizontal="center" vertical="center" wrapText="1"/>
    </xf>
    <xf numFmtId="0" fontId="8" fillId="0" borderId="64" xfId="0" applyFont="1" applyBorder="1"/>
    <xf numFmtId="0" fontId="8" fillId="0" borderId="66" xfId="0" applyFont="1" applyBorder="1"/>
    <xf numFmtId="0" fontId="16" fillId="0" borderId="23" xfId="0" applyFont="1" applyBorder="1" applyAlignment="1">
      <alignment horizontal="center"/>
    </xf>
    <xf numFmtId="0" fontId="8" fillId="0" borderId="24" xfId="0" applyFont="1" applyBorder="1"/>
    <xf numFmtId="0" fontId="8" fillId="0" borderId="25" xfId="0" applyFont="1" applyBorder="1"/>
    <xf numFmtId="0" fontId="25" fillId="0" borderId="88" xfId="0" applyFont="1" applyBorder="1" applyAlignment="1">
      <alignment horizontal="center"/>
    </xf>
    <xf numFmtId="0" fontId="8" fillId="0" borderId="89" xfId="0" applyFont="1" applyBorder="1"/>
    <xf numFmtId="0" fontId="8" fillId="0" borderId="90" xfId="0" applyFont="1" applyBorder="1"/>
    <xf numFmtId="0" fontId="25" fillId="0" borderId="10" xfId="0" applyFont="1" applyBorder="1" applyAlignment="1">
      <alignment horizontal="center"/>
    </xf>
    <xf numFmtId="0" fontId="20" fillId="0" borderId="10" xfId="0" applyFont="1" applyBorder="1" applyAlignment="1">
      <alignment horizontal="center"/>
    </xf>
    <xf numFmtId="0" fontId="25" fillId="19" borderId="21" xfId="0" applyFont="1" applyFill="1" applyBorder="1" applyAlignment="1">
      <alignment horizontal="left" vertical="top" wrapText="1"/>
    </xf>
    <xf numFmtId="0" fontId="63" fillId="0" borderId="0" xfId="0" applyFont="1" applyAlignment="1">
      <alignment horizontal="left" vertical="top" wrapText="1"/>
    </xf>
    <xf numFmtId="0" fontId="25" fillId="0" borderId="93" xfId="0" applyFont="1" applyBorder="1" applyAlignment="1">
      <alignment horizontal="center" wrapText="1"/>
    </xf>
    <xf numFmtId="0" fontId="8" fillId="0" borderId="13" xfId="0" applyFont="1" applyBorder="1"/>
    <xf numFmtId="0" fontId="25" fillId="0" borderId="92" xfId="0" applyFont="1" applyBorder="1" applyAlignment="1">
      <alignment horizontal="center" wrapText="1"/>
    </xf>
    <xf numFmtId="0" fontId="8" fillId="0" borderId="15" xfId="0" applyFont="1" applyBorder="1"/>
    <xf numFmtId="0" fontId="25" fillId="0" borderId="0" xfId="0" applyFont="1" applyAlignment="1">
      <alignment horizontal="center" wrapText="1"/>
    </xf>
    <xf numFmtId="0" fontId="25" fillId="0" borderId="23" xfId="0" applyFont="1" applyBorder="1" applyAlignment="1">
      <alignment horizontal="center"/>
    </xf>
    <xf numFmtId="0" fontId="78" fillId="19" borderId="21" xfId="0" applyFont="1" applyFill="1" applyBorder="1" applyAlignment="1">
      <alignment horizontal="left" vertical="top" wrapText="1"/>
    </xf>
    <xf numFmtId="0" fontId="79" fillId="0" borderId="0" xfId="0" applyFont="1" applyAlignment="1">
      <alignment horizontal="left" vertical="top" wrapText="1"/>
    </xf>
    <xf numFmtId="0" fontId="25" fillId="0" borderId="93" xfId="0" applyFont="1" applyBorder="1" applyAlignment="1">
      <alignment horizontal="center"/>
    </xf>
    <xf numFmtId="0" fontId="25" fillId="0" borderId="92" xfId="0" applyFont="1" applyBorder="1" applyAlignment="1">
      <alignment horizontal="center"/>
    </xf>
    <xf numFmtId="0" fontId="78" fillId="19" borderId="21" xfId="0" applyFont="1" applyFill="1" applyBorder="1" applyAlignment="1">
      <alignment horizontal="left" vertical="top"/>
    </xf>
    <xf numFmtId="0" fontId="25" fillId="0" borderId="0" xfId="0" applyFont="1" applyAlignment="1">
      <alignment horizontal="center"/>
    </xf>
    <xf numFmtId="0" fontId="63" fillId="0" borderId="0" xfId="0" applyFont="1" applyAlignment="1">
      <alignment horizontal="left" vertical="top"/>
    </xf>
    <xf numFmtId="0" fontId="25" fillId="19" borderId="21" xfId="0" applyFont="1" applyFill="1" applyBorder="1" applyAlignment="1">
      <alignment horizontal="left" vertical="top"/>
    </xf>
    <xf numFmtId="0" fontId="79"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lissac/.syncclient/1695214435882/melissaladouceur@hydroottawa.com/1nvtimzx6n9kIZzoiF-o-bxagCY61Ua2j/Attachment%208-5-1(A)%20-%20OEB%20Workform%20-%202025%20Current%20and%202026%20Proposed%20Tariff%20of%20Rates%20and%20Charge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W1000"/>
  <sheetViews>
    <sheetView workbookViewId="0">
      <pane ySplit="7" topLeftCell="A8" activePane="bottomLeft" state="frozen"/>
      <selection pane="bottomLeft" activeCell="C13" sqref="C13"/>
    </sheetView>
  </sheetViews>
  <sheetFormatPr defaultColWidth="12.5703125" defaultRowHeight="15" customHeight="1"/>
  <cols>
    <col min="1" max="1" width="41" customWidth="1"/>
    <col min="2" max="2" width="12.140625" customWidth="1"/>
    <col min="3" max="3" width="16.42578125" customWidth="1"/>
    <col min="4" max="4" width="12.7109375" customWidth="1"/>
    <col min="5" max="6" width="12.85546875" customWidth="1"/>
    <col min="7" max="7" width="13.42578125" customWidth="1"/>
    <col min="8" max="8" width="6.85546875" customWidth="1"/>
    <col min="9" max="9" width="11.85546875" customWidth="1"/>
    <col min="10" max="10" width="2" customWidth="1"/>
    <col min="11" max="11" width="10.28515625" customWidth="1"/>
    <col min="12" max="12" width="14.42578125" customWidth="1"/>
    <col min="13" max="18" width="12.42578125" customWidth="1"/>
  </cols>
  <sheetData>
    <row r="1" spans="1:23" ht="12" customHeight="1">
      <c r="A1" s="1"/>
      <c r="B1" s="2"/>
      <c r="C1" s="3"/>
      <c r="D1" s="3"/>
      <c r="E1" s="3"/>
      <c r="F1" s="3"/>
      <c r="G1" s="3"/>
      <c r="I1" s="4"/>
      <c r="K1" s="5"/>
      <c r="M1" s="6"/>
    </row>
    <row r="2" spans="1:23" ht="12" customHeight="1">
      <c r="A2" s="7"/>
      <c r="B2" s="591" t="s">
        <v>0</v>
      </c>
      <c r="C2" s="592"/>
      <c r="D2" s="592"/>
      <c r="E2" s="593"/>
      <c r="F2" s="7"/>
      <c r="G2" s="7"/>
      <c r="I2" s="3"/>
      <c r="K2" s="5"/>
      <c r="M2" s="6"/>
    </row>
    <row r="3" spans="1:23" ht="12" customHeight="1">
      <c r="A3" s="3"/>
      <c r="B3" s="3"/>
      <c r="C3" s="3"/>
      <c r="D3" s="3"/>
      <c r="E3" s="3"/>
      <c r="F3" s="3"/>
      <c r="G3" s="3"/>
      <c r="I3" s="3"/>
      <c r="K3" s="5"/>
      <c r="M3" s="6"/>
    </row>
    <row r="4" spans="1:23" ht="12" customHeight="1">
      <c r="A4" s="2"/>
      <c r="B4" s="8" t="str">
        <f t="shared" ref="B4:G4" si="0">B5&amp;"%"</f>
        <v>2025A%</v>
      </c>
      <c r="C4" s="8" t="str">
        <f t="shared" si="0"/>
        <v>2026F%</v>
      </c>
      <c r="D4" s="8" t="str">
        <f t="shared" si="0"/>
        <v>2027F%</v>
      </c>
      <c r="E4" s="8" t="str">
        <f t="shared" si="0"/>
        <v>2028F%</v>
      </c>
      <c r="F4" s="8" t="str">
        <f t="shared" si="0"/>
        <v>2029F%</v>
      </c>
      <c r="G4" s="8" t="str">
        <f t="shared" si="0"/>
        <v>2030F%</v>
      </c>
      <c r="H4" s="9"/>
      <c r="I4" s="8"/>
      <c r="K4" s="5"/>
      <c r="M4" s="6"/>
    </row>
    <row r="5" spans="1:23" ht="12" customHeight="1">
      <c r="A5" s="10"/>
      <c r="B5" s="11" t="s">
        <v>1</v>
      </c>
      <c r="C5" s="11" t="s">
        <v>2</v>
      </c>
      <c r="D5" s="11" t="s">
        <v>3</v>
      </c>
      <c r="E5" s="11" t="s">
        <v>4</v>
      </c>
      <c r="F5" s="11" t="s">
        <v>5</v>
      </c>
      <c r="G5" s="11" t="s">
        <v>6</v>
      </c>
      <c r="H5" s="9"/>
      <c r="I5" s="11"/>
      <c r="J5" s="9"/>
      <c r="K5" s="12"/>
      <c r="L5" s="9"/>
      <c r="M5" s="6"/>
      <c r="N5" s="9"/>
      <c r="O5" s="9"/>
      <c r="P5" s="9"/>
      <c r="Q5" s="9"/>
      <c r="R5" s="9"/>
    </row>
    <row r="6" spans="1:23" ht="12" customHeight="1">
      <c r="A6" s="586"/>
      <c r="B6" s="7" t="s">
        <v>7</v>
      </c>
      <c r="C6" s="7" t="s">
        <v>8</v>
      </c>
      <c r="D6" s="7" t="s">
        <v>8</v>
      </c>
      <c r="E6" s="7" t="s">
        <v>8</v>
      </c>
      <c r="F6" s="7" t="s">
        <v>8</v>
      </c>
      <c r="G6" s="7" t="s">
        <v>8</v>
      </c>
      <c r="H6" s="13"/>
      <c r="I6" s="14"/>
      <c r="K6" s="5"/>
      <c r="M6" s="6"/>
    </row>
    <row r="7" spans="1:23" ht="12" customHeight="1">
      <c r="A7" s="587"/>
      <c r="B7" s="15" t="str">
        <f>'Proposed Rates'!E4</f>
        <v>2025F</v>
      </c>
      <c r="C7" s="15" t="str">
        <f>'Proposed Rates'!F4</f>
        <v>2026F</v>
      </c>
      <c r="D7" s="15" t="str">
        <f>'Proposed Rates'!G4</f>
        <v>2027F</v>
      </c>
      <c r="E7" s="15" t="str">
        <f>'Proposed Rates'!H4</f>
        <v>2028F</v>
      </c>
      <c r="F7" s="15" t="str">
        <f>'Proposed Rates'!I4</f>
        <v>2029F</v>
      </c>
      <c r="G7" s="15" t="str">
        <f>'Proposed Rates'!J4</f>
        <v>2030F</v>
      </c>
      <c r="H7" s="13"/>
      <c r="I7" s="14"/>
      <c r="K7" s="5"/>
      <c r="M7" s="6"/>
    </row>
    <row r="8" spans="1:23" ht="12" customHeight="1">
      <c r="A8" s="16" t="s">
        <v>9</v>
      </c>
      <c r="B8" s="17"/>
      <c r="C8" s="17"/>
      <c r="D8" s="17"/>
      <c r="E8" s="17"/>
      <c r="F8" s="17"/>
      <c r="G8" s="17"/>
      <c r="H8" s="13"/>
      <c r="K8" s="5"/>
      <c r="M8" s="6"/>
    </row>
    <row r="9" spans="1:23" ht="12" customHeight="1">
      <c r="A9" s="18" t="s">
        <v>10</v>
      </c>
      <c r="B9" s="19">
        <f>HLOOKUP(B$5,'Res (750)'!$11:$29,19,FALSE)</f>
        <v>34.51</v>
      </c>
      <c r="C9" s="19">
        <f>HLOOKUP(C$5,'Res (750)'!$11:$29,19,FALSE)</f>
        <v>40.49</v>
      </c>
      <c r="D9" s="19">
        <f>HLOOKUP(D$5,'Res (750)'!$11:$29,19,FALSE)</f>
        <v>44.13</v>
      </c>
      <c r="E9" s="19">
        <f>HLOOKUP(E$5,'Res (750)'!$11:$29,19,FALSE)</f>
        <v>48.07</v>
      </c>
      <c r="F9" s="19">
        <f>HLOOKUP(F$5,'Res (750)'!$11:$29,19,FALSE)</f>
        <v>51.15</v>
      </c>
      <c r="G9" s="19">
        <f>HLOOKUP(G$5,'Res (750)'!$11:$29,19,FALSE)</f>
        <v>54.07</v>
      </c>
      <c r="H9" s="13"/>
      <c r="I9" s="20"/>
      <c r="K9" s="5"/>
      <c r="L9" s="21"/>
      <c r="M9" s="22"/>
      <c r="N9" s="21"/>
      <c r="O9" s="21"/>
      <c r="P9" s="21"/>
      <c r="R9" s="23"/>
      <c r="S9" s="23"/>
      <c r="T9" s="23"/>
      <c r="U9" s="23"/>
      <c r="V9" s="23"/>
      <c r="W9" s="23"/>
    </row>
    <row r="10" spans="1:23" ht="12" customHeight="1">
      <c r="A10" s="18" t="s">
        <v>11</v>
      </c>
      <c r="B10" s="24"/>
      <c r="C10" s="25">
        <f t="shared" ref="C10:G10" si="1">C9-B9</f>
        <v>5.980000000000004</v>
      </c>
      <c r="D10" s="25">
        <f t="shared" si="1"/>
        <v>3.6400000000000006</v>
      </c>
      <c r="E10" s="25">
        <f t="shared" si="1"/>
        <v>3.9399999999999977</v>
      </c>
      <c r="F10" s="25">
        <f t="shared" si="1"/>
        <v>3.0799999999999983</v>
      </c>
      <c r="G10" s="25">
        <f t="shared" si="1"/>
        <v>2.9200000000000017</v>
      </c>
      <c r="H10" s="13"/>
      <c r="I10" s="20"/>
      <c r="K10" s="5"/>
      <c r="L10" s="21"/>
      <c r="M10" s="22"/>
      <c r="N10" s="21"/>
      <c r="O10" s="21"/>
      <c r="P10" s="21"/>
      <c r="R10" s="23"/>
      <c r="S10" s="23"/>
      <c r="T10" s="23"/>
      <c r="U10" s="23"/>
      <c r="V10" s="23"/>
      <c r="W10" s="23"/>
    </row>
    <row r="11" spans="1:23" ht="12" customHeight="1">
      <c r="A11" s="26" t="s">
        <v>12</v>
      </c>
      <c r="B11" s="27"/>
      <c r="C11" s="28">
        <f t="shared" ref="C11:G11" si="2">C10/B9</f>
        <v>0.17328310634598679</v>
      </c>
      <c r="D11" s="29">
        <f t="shared" si="2"/>
        <v>8.9898740429735752E-2</v>
      </c>
      <c r="E11" s="29">
        <f t="shared" si="2"/>
        <v>8.9281667799682704E-2</v>
      </c>
      <c r="F11" s="29">
        <f t="shared" si="2"/>
        <v>6.4073226544622386E-2</v>
      </c>
      <c r="G11" s="29">
        <f t="shared" si="2"/>
        <v>5.7086999022482932E-2</v>
      </c>
      <c r="H11" s="13"/>
      <c r="I11" s="30"/>
      <c r="K11" s="5"/>
      <c r="L11" s="31"/>
      <c r="M11" s="32"/>
      <c r="N11" s="31"/>
      <c r="O11" s="31"/>
      <c r="P11" s="31"/>
      <c r="R11" s="23"/>
      <c r="S11" s="23"/>
      <c r="T11" s="23"/>
      <c r="U11" s="23"/>
      <c r="V11" s="23"/>
      <c r="W11" s="23"/>
    </row>
    <row r="12" spans="1:23" ht="12" customHeight="1">
      <c r="A12" s="18" t="s">
        <v>13</v>
      </c>
      <c r="B12" s="27"/>
      <c r="C12" s="25">
        <f>'Res (750)'!N50</f>
        <v>8.4313014999999609</v>
      </c>
      <c r="D12" s="25">
        <f>'Res (750)'!U50</f>
        <v>3.8199999999999932</v>
      </c>
      <c r="E12" s="25">
        <f>'Res (750)'!AB50</f>
        <v>3.987749000000008</v>
      </c>
      <c r="F12" s="25">
        <f>'Res (750)'!AI50</f>
        <v>3.1200000000000045</v>
      </c>
      <c r="G12" s="25">
        <f>'Res (750)'!AP50</f>
        <v>2.9599999999999795</v>
      </c>
      <c r="H12" s="13"/>
      <c r="I12" s="33"/>
      <c r="K12" s="5"/>
      <c r="R12" s="23"/>
      <c r="S12" s="23"/>
      <c r="T12" s="23"/>
      <c r="U12" s="23"/>
      <c r="V12" s="23"/>
      <c r="W12" s="23"/>
    </row>
    <row r="13" spans="1:23" ht="12" customHeight="1">
      <c r="A13" s="18" t="s">
        <v>14</v>
      </c>
      <c r="B13" s="27"/>
      <c r="C13" s="34">
        <f>HLOOKUP(C$4,'Res (750)'!$A$11:$AR$60,40,FALSE)</f>
        <v>5.4714805801556625E-2</v>
      </c>
      <c r="D13" s="34">
        <f>HLOOKUP(D$4,'Res (750)'!$A$11:$AR$60,40,FALSE)</f>
        <v>2.3503825964480845E-2</v>
      </c>
      <c r="E13" s="34">
        <f>HLOOKUP(E$4,'Res (750)'!$A$11:$AR$60,40,FALSE)</f>
        <v>2.3972511969592047E-2</v>
      </c>
      <c r="F13" s="34">
        <f>HLOOKUP(F$4,'Res (750)'!$A$11:$AR$60,40,FALSE)</f>
        <v>1.8316902132791933E-2</v>
      </c>
      <c r="G13" s="34">
        <f>HLOOKUP(G$4,'Res (750)'!$A$11:$AR$60,40,FALSE)</f>
        <v>1.7064995957440706E-2</v>
      </c>
      <c r="H13" s="13"/>
      <c r="I13" s="33"/>
      <c r="K13" s="5"/>
      <c r="L13" s="31"/>
      <c r="M13" s="32"/>
      <c r="N13" s="31"/>
      <c r="O13" s="31"/>
      <c r="P13" s="31"/>
      <c r="R13" s="23"/>
      <c r="S13" s="23"/>
      <c r="T13" s="23"/>
      <c r="U13" s="23"/>
      <c r="V13" s="23"/>
      <c r="W13" s="23"/>
    </row>
    <row r="14" spans="1:23" ht="12" customHeight="1">
      <c r="A14" s="35" t="s">
        <v>15</v>
      </c>
      <c r="B14" s="36"/>
      <c r="C14" s="36"/>
      <c r="D14" s="36"/>
      <c r="E14" s="36"/>
      <c r="F14" s="36"/>
      <c r="G14" s="36"/>
      <c r="H14" s="13"/>
      <c r="K14" s="5"/>
      <c r="R14" s="23"/>
      <c r="S14" s="23"/>
      <c r="T14" s="23"/>
      <c r="U14" s="23"/>
      <c r="V14" s="23"/>
      <c r="W14" s="23"/>
    </row>
    <row r="15" spans="1:23" ht="12" customHeight="1">
      <c r="A15" s="18" t="s">
        <v>10</v>
      </c>
      <c r="B15" s="19">
        <f>HLOOKUP(B$5,'SC (2000)'!11:29,19,FALSE)</f>
        <v>85.93</v>
      </c>
      <c r="C15" s="19">
        <f>HLOOKUP(C$5,'SC (2000)'!11:29,19,FALSE)</f>
        <v>100.47999999999999</v>
      </c>
      <c r="D15" s="19">
        <f>HLOOKUP(D$5,'SC (2000)'!11:29,19,FALSE)</f>
        <v>108.4</v>
      </c>
      <c r="E15" s="19">
        <f>HLOOKUP(E$5,'SC (2000)'!11:29,19,FALSE)</f>
        <v>118.1</v>
      </c>
      <c r="F15" s="19">
        <f>HLOOKUP(F$5,'SC (2000)'!11:29,19,FALSE)</f>
        <v>125.6</v>
      </c>
      <c r="G15" s="19">
        <f>HLOOKUP(G$5,'SC (2000)'!11:29,19,FALSE)</f>
        <v>132.80000000000001</v>
      </c>
      <c r="H15" s="13"/>
      <c r="I15" s="20"/>
      <c r="K15" s="5"/>
      <c r="L15" s="21"/>
      <c r="M15" s="22"/>
      <c r="N15" s="21"/>
      <c r="O15" s="21"/>
      <c r="P15" s="21"/>
      <c r="R15" s="23"/>
      <c r="S15" s="23"/>
      <c r="T15" s="23"/>
      <c r="U15" s="23"/>
      <c r="V15" s="23"/>
      <c r="W15" s="23"/>
    </row>
    <row r="16" spans="1:23" ht="12" customHeight="1">
      <c r="A16" s="18" t="s">
        <v>11</v>
      </c>
      <c r="B16" s="37"/>
      <c r="C16" s="25">
        <f t="shared" ref="C16:G16" si="3">C15-B15</f>
        <v>14.549999999999983</v>
      </c>
      <c r="D16" s="25">
        <f t="shared" si="3"/>
        <v>7.9200000000000159</v>
      </c>
      <c r="E16" s="25">
        <f t="shared" si="3"/>
        <v>9.6999999999999886</v>
      </c>
      <c r="F16" s="25">
        <f t="shared" si="3"/>
        <v>7.5</v>
      </c>
      <c r="G16" s="25">
        <f t="shared" si="3"/>
        <v>7.2000000000000171</v>
      </c>
      <c r="H16" s="13"/>
      <c r="I16" s="20"/>
      <c r="K16" s="5"/>
      <c r="L16" s="21"/>
      <c r="M16" s="22"/>
      <c r="N16" s="21"/>
      <c r="O16" s="21"/>
      <c r="P16" s="21"/>
      <c r="R16" s="23"/>
      <c r="S16" s="23"/>
      <c r="T16" s="23"/>
      <c r="U16" s="23"/>
      <c r="V16" s="23"/>
      <c r="W16" s="23"/>
    </row>
    <row r="17" spans="1:23" ht="12" customHeight="1">
      <c r="A17" s="26" t="s">
        <v>12</v>
      </c>
      <c r="B17" s="38"/>
      <c r="C17" s="29">
        <f t="shared" ref="C17:G17" si="4">C16/B15</f>
        <v>0.16932386826486653</v>
      </c>
      <c r="D17" s="29">
        <f t="shared" si="4"/>
        <v>7.8821656050955577E-2</v>
      </c>
      <c r="E17" s="29">
        <f t="shared" si="4"/>
        <v>8.9483394833948224E-2</v>
      </c>
      <c r="F17" s="29">
        <f t="shared" si="4"/>
        <v>6.3505503810330238E-2</v>
      </c>
      <c r="G17" s="29">
        <f t="shared" si="4"/>
        <v>5.732484076433135E-2</v>
      </c>
      <c r="H17" s="13"/>
      <c r="I17" s="30"/>
      <c r="K17" s="5"/>
      <c r="L17" s="31"/>
      <c r="M17" s="32"/>
      <c r="N17" s="31"/>
      <c r="O17" s="31"/>
      <c r="P17" s="31"/>
      <c r="R17" s="23"/>
      <c r="S17" s="23"/>
      <c r="T17" s="23"/>
      <c r="U17" s="23"/>
      <c r="V17" s="23"/>
      <c r="W17" s="23"/>
    </row>
    <row r="18" spans="1:23" ht="12" customHeight="1">
      <c r="A18" s="18" t="s">
        <v>13</v>
      </c>
      <c r="B18" s="38"/>
      <c r="C18" s="25">
        <f>'SC (2000)'!N50</f>
        <v>10.915019999999913</v>
      </c>
      <c r="D18" s="25">
        <f>'SC (2000)'!U50</f>
        <v>8.1500000000000909</v>
      </c>
      <c r="E18" s="25">
        <f>'SC (2000)'!AB50</f>
        <v>9.7399999999998954</v>
      </c>
      <c r="F18" s="25">
        <f>'SC (2000)'!AI50</f>
        <v>7.5400000000000773</v>
      </c>
      <c r="G18" s="25">
        <f>'SC (2000)'!AP50</f>
        <v>7.2400000000000091</v>
      </c>
      <c r="H18" s="13"/>
      <c r="I18" s="33"/>
      <c r="K18" s="5"/>
      <c r="R18" s="23"/>
      <c r="S18" s="23"/>
      <c r="T18" s="23"/>
      <c r="U18" s="23"/>
      <c r="V18" s="23"/>
      <c r="W18" s="23"/>
    </row>
    <row r="19" spans="1:23" ht="12" customHeight="1">
      <c r="A19" s="18" t="s">
        <v>14</v>
      </c>
      <c r="B19" s="38"/>
      <c r="C19" s="34">
        <f>HLOOKUP(C$4,'SC (2000)'!$A$11:$AR$60,40,FALSE)</f>
        <v>2.7149075326823063E-2</v>
      </c>
      <c r="D19" s="34">
        <f>HLOOKUP(D$4,'SC (2000)'!$A$11:$AR$60,40,FALSE)</f>
        <v>1.9735795477220382E-2</v>
      </c>
      <c r="E19" s="34">
        <f>HLOOKUP(E$4,'SC (2000)'!$A$11:$AR$60,40,FALSE)</f>
        <v>2.3129610510277145E-2</v>
      </c>
      <c r="F19" s="34">
        <f>HLOOKUP(F$4,'SC (2000)'!$A$11:$AR$60,40,FALSE)</f>
        <v>1.7500483793215286E-2</v>
      </c>
      <c r="G19" s="34">
        <f>HLOOKUP(G$4,'SC (2000)'!$A$11:$AR$60,40,FALSE)</f>
        <v>1.6515154871822892E-2</v>
      </c>
      <c r="H19" s="13"/>
      <c r="I19" s="33"/>
      <c r="K19" s="5"/>
      <c r="L19" s="31"/>
      <c r="M19" s="32"/>
      <c r="N19" s="31"/>
      <c r="O19" s="31"/>
      <c r="P19" s="31"/>
      <c r="R19" s="23"/>
      <c r="S19" s="23"/>
      <c r="T19" s="23"/>
      <c r="U19" s="23"/>
      <c r="V19" s="23"/>
      <c r="W19" s="23"/>
    </row>
    <row r="20" spans="1:23" ht="12" customHeight="1">
      <c r="A20" s="35" t="s">
        <v>16</v>
      </c>
      <c r="B20" s="36"/>
      <c r="C20" s="36"/>
      <c r="D20" s="36"/>
      <c r="E20" s="36"/>
      <c r="F20" s="36"/>
      <c r="G20" s="36"/>
      <c r="H20" s="13"/>
      <c r="K20" s="5"/>
      <c r="R20" s="23"/>
      <c r="S20" s="23"/>
      <c r="T20" s="23"/>
      <c r="U20" s="23"/>
      <c r="V20" s="23"/>
      <c r="W20" s="23"/>
    </row>
    <row r="21" spans="1:23" ht="12" customHeight="1">
      <c r="A21" s="18" t="s">
        <v>10</v>
      </c>
      <c r="B21" s="19">
        <f>HLOOKUP(B$5,'&gt;50 (185)'!$11:$30,19,FALSE)</f>
        <v>1366.9059999999999</v>
      </c>
      <c r="C21" s="19">
        <f>HLOOKUP(C$5,'&gt;50 (185)'!$11:$30,19,FALSE)</f>
        <v>1669.5289999999998</v>
      </c>
      <c r="D21" s="19">
        <f>HLOOKUP(D$5,'&gt;50 (185)'!$11:$30,19,FALSE)</f>
        <v>1825.1695</v>
      </c>
      <c r="E21" s="19">
        <f>HLOOKUP(E$5,'&gt;50 (185)'!$11:$30,19,FALSE)</f>
        <v>1982.4749999999999</v>
      </c>
      <c r="F21" s="19">
        <f>HLOOKUP(F$5,'&gt;50 (185)'!$11:$30,19,FALSE)</f>
        <v>2109.5145000000002</v>
      </c>
      <c r="G21" s="19">
        <f>HLOOKUP(G$5,'&gt;50 (185)'!$11:$30,19,FALSE)</f>
        <v>2230.1715000000004</v>
      </c>
      <c r="H21" s="13"/>
      <c r="I21" s="20"/>
      <c r="K21" s="5"/>
      <c r="L21" s="21"/>
      <c r="M21" s="22"/>
      <c r="N21" s="21"/>
      <c r="O21" s="21"/>
      <c r="P21" s="21"/>
      <c r="R21" s="23"/>
      <c r="S21" s="23"/>
      <c r="T21" s="23"/>
      <c r="U21" s="23"/>
      <c r="V21" s="23"/>
      <c r="W21" s="23"/>
    </row>
    <row r="22" spans="1:23" ht="12" customHeight="1">
      <c r="A22" s="18" t="s">
        <v>11</v>
      </c>
      <c r="B22" s="37"/>
      <c r="C22" s="25">
        <f t="shared" ref="C22:G22" si="5">C21-B21</f>
        <v>302.62299999999982</v>
      </c>
      <c r="D22" s="25">
        <f t="shared" si="5"/>
        <v>155.6405000000002</v>
      </c>
      <c r="E22" s="25">
        <f t="shared" si="5"/>
        <v>157.30549999999994</v>
      </c>
      <c r="F22" s="25">
        <f t="shared" si="5"/>
        <v>127.03950000000032</v>
      </c>
      <c r="G22" s="25">
        <f t="shared" si="5"/>
        <v>120.65700000000015</v>
      </c>
      <c r="H22" s="13"/>
      <c r="I22" s="20"/>
      <c r="K22" s="5"/>
      <c r="L22" s="21"/>
      <c r="M22" s="22"/>
      <c r="N22" s="21"/>
      <c r="O22" s="21"/>
      <c r="P22" s="21"/>
      <c r="R22" s="23"/>
      <c r="S22" s="23"/>
      <c r="T22" s="23"/>
      <c r="U22" s="23"/>
      <c r="V22" s="23"/>
      <c r="W22" s="23"/>
    </row>
    <row r="23" spans="1:23" ht="12" customHeight="1">
      <c r="A23" s="26" t="s">
        <v>12</v>
      </c>
      <c r="B23" s="38"/>
      <c r="C23" s="29">
        <f t="shared" ref="C23:G23" si="6">C22/B21</f>
        <v>0.22139269269430364</v>
      </c>
      <c r="D23" s="29">
        <f t="shared" si="6"/>
        <v>9.3224196764476824E-2</v>
      </c>
      <c r="E23" s="29">
        <f t="shared" si="6"/>
        <v>8.6186789774867448E-2</v>
      </c>
      <c r="F23" s="29">
        <f t="shared" si="6"/>
        <v>6.4081262058790306E-2</v>
      </c>
      <c r="G23" s="29">
        <f t="shared" si="6"/>
        <v>5.7196572955530829E-2</v>
      </c>
      <c r="H23" s="13"/>
      <c r="I23" s="30"/>
      <c r="K23" s="5"/>
      <c r="L23" s="31"/>
      <c r="M23" s="32"/>
      <c r="N23" s="31"/>
      <c r="O23" s="31"/>
      <c r="P23" s="31"/>
      <c r="R23" s="23"/>
      <c r="S23" s="23"/>
      <c r="T23" s="23"/>
      <c r="U23" s="23"/>
      <c r="V23" s="23"/>
      <c r="W23" s="23"/>
    </row>
    <row r="24" spans="1:23" ht="12" customHeight="1">
      <c r="A24" s="18" t="s">
        <v>13</v>
      </c>
      <c r="B24" s="38"/>
      <c r="C24" s="25">
        <f>'&gt;50 (185)'!N52</f>
        <v>220.58222599999863</v>
      </c>
      <c r="D24" s="25">
        <f>'&gt;50 (185)'!U52</f>
        <v>-179.7505000000001</v>
      </c>
      <c r="E24" s="25">
        <f>'&gt;50 (185)'!AB52</f>
        <v>157.39284999999836</v>
      </c>
      <c r="F24" s="25">
        <f>'&gt;50 (185)'!AI52</f>
        <v>127.14350000000195</v>
      </c>
      <c r="G24" s="25">
        <f>'&gt;50 (185)'!AP52</f>
        <v>120.76655000000028</v>
      </c>
      <c r="H24" s="13"/>
      <c r="I24" s="33"/>
      <c r="K24" s="5"/>
      <c r="R24" s="23"/>
      <c r="S24" s="23"/>
      <c r="T24" s="23"/>
      <c r="U24" s="23"/>
      <c r="V24" s="23"/>
      <c r="W24" s="23"/>
    </row>
    <row r="25" spans="1:23" ht="12" customHeight="1">
      <c r="A25" s="18" t="s">
        <v>14</v>
      </c>
      <c r="B25" s="38"/>
      <c r="C25" s="34">
        <f>HLOOKUP(C$4,'&gt;50 (185)'!$11:$56,42,FALSE)</f>
        <v>1.8616947441275844E-2</v>
      </c>
      <c r="D25" s="34">
        <f>HLOOKUP(D$4,'&gt;50 (185)'!$11:$56,42,FALSE)</f>
        <v>-1.4893513627533866E-2</v>
      </c>
      <c r="E25" s="34">
        <f>HLOOKUP(E$4,'&gt;50 (185)'!$11:$56,42,FALSE)</f>
        <v>1.3238198255998318E-2</v>
      </c>
      <c r="F25" s="34">
        <f>HLOOKUP(F$4,'&gt;50 (185)'!$11:$56,42,FALSE)</f>
        <v>1.0554228437386813E-2</v>
      </c>
      <c r="G25" s="34">
        <f>HLOOKUP(G$4,'&gt;50 (185)'!$11:$56,42,FALSE)</f>
        <v>9.9201756852139306E-3</v>
      </c>
      <c r="H25" s="13"/>
      <c r="I25" s="33"/>
      <c r="K25" s="5"/>
      <c r="L25" s="31"/>
      <c r="M25" s="32"/>
      <c r="N25" s="31"/>
      <c r="O25" s="31"/>
      <c r="P25" s="31"/>
      <c r="R25" s="23"/>
      <c r="S25" s="23"/>
      <c r="T25" s="23"/>
      <c r="U25" s="23"/>
      <c r="V25" s="23"/>
      <c r="W25" s="23"/>
    </row>
    <row r="26" spans="1:23" ht="12" customHeight="1">
      <c r="A26" s="39" t="s">
        <v>17</v>
      </c>
      <c r="B26" s="40"/>
      <c r="C26" s="40"/>
      <c r="D26" s="40"/>
      <c r="E26" s="40"/>
      <c r="F26" s="40"/>
      <c r="G26" s="40"/>
      <c r="H26" s="13"/>
      <c r="K26" s="5"/>
      <c r="R26" s="23"/>
      <c r="S26" s="23"/>
      <c r="T26" s="23"/>
      <c r="U26" s="23"/>
      <c r="V26" s="23"/>
      <c r="W26" s="23"/>
    </row>
    <row r="27" spans="1:23" ht="12" customHeight="1">
      <c r="A27" s="18" t="s">
        <v>10</v>
      </c>
      <c r="B27" s="19">
        <f>HLOOKUP(B$5,'&gt;1500(1925)'!11:29,19,FALSE)</f>
        <v>16219.022499999999</v>
      </c>
      <c r="C27" s="19">
        <f>HLOOKUP(C$5,'&gt;1500(1925)'!11:29,19,FALSE)</f>
        <v>17979.627499999999</v>
      </c>
      <c r="D27" s="19">
        <f>HLOOKUP(D$5,'&gt;1500(1925)'!11:29,19,FALSE)</f>
        <v>20391.267500000002</v>
      </c>
      <c r="E27" s="19">
        <f>HLOOKUP(E$5,'&gt;1500(1925)'!11:29,19,FALSE)</f>
        <v>22215.782500000001</v>
      </c>
      <c r="F27" s="19">
        <f>HLOOKUP(F$5,'&gt;1500(1925)'!11:29,19,FALSE)</f>
        <v>23642.400000000001</v>
      </c>
      <c r="G27" s="19">
        <f>HLOOKUP(G$5,'&gt;1500(1925)'!11:29,19,FALSE)</f>
        <v>24999.525000000001</v>
      </c>
      <c r="H27" s="13"/>
      <c r="I27" s="20"/>
      <c r="K27" s="5"/>
      <c r="L27" s="21"/>
      <c r="M27" s="22"/>
      <c r="N27" s="21"/>
      <c r="O27" s="21"/>
      <c r="P27" s="21"/>
      <c r="R27" s="23"/>
      <c r="S27" s="23"/>
      <c r="T27" s="23"/>
      <c r="U27" s="23"/>
      <c r="V27" s="23"/>
      <c r="W27" s="23"/>
    </row>
    <row r="28" spans="1:23" ht="12" customHeight="1">
      <c r="A28" s="18" t="s">
        <v>11</v>
      </c>
      <c r="B28" s="37"/>
      <c r="C28" s="25">
        <f t="shared" ref="C28:G28" si="7">C27-B27</f>
        <v>1760.6049999999996</v>
      </c>
      <c r="D28" s="25">
        <f t="shared" si="7"/>
        <v>2411.6400000000031</v>
      </c>
      <c r="E28" s="25">
        <f t="shared" si="7"/>
        <v>1824.5149999999994</v>
      </c>
      <c r="F28" s="25">
        <f t="shared" si="7"/>
        <v>1426.6175000000003</v>
      </c>
      <c r="G28" s="25">
        <f t="shared" si="7"/>
        <v>1357.125</v>
      </c>
      <c r="H28" s="13"/>
      <c r="I28" s="20"/>
      <c r="K28" s="5"/>
      <c r="L28" s="21"/>
      <c r="M28" s="22"/>
      <c r="N28" s="21"/>
      <c r="O28" s="21"/>
      <c r="P28" s="21"/>
      <c r="R28" s="23"/>
      <c r="S28" s="23"/>
      <c r="T28" s="23"/>
      <c r="U28" s="23"/>
      <c r="V28" s="23"/>
      <c r="W28" s="23"/>
    </row>
    <row r="29" spans="1:23" ht="12" customHeight="1">
      <c r="A29" s="26" t="s">
        <v>12</v>
      </c>
      <c r="B29" s="38"/>
      <c r="C29" s="29">
        <f t="shared" ref="C29:G29" si="8">C28/B27</f>
        <v>0.10855185631563183</v>
      </c>
      <c r="D29" s="29">
        <f t="shared" si="8"/>
        <v>0.13413181112901273</v>
      </c>
      <c r="E29" s="29">
        <f t="shared" si="8"/>
        <v>8.9475310938861422E-2</v>
      </c>
      <c r="F29" s="29">
        <f t="shared" si="8"/>
        <v>6.4216396609032347E-2</v>
      </c>
      <c r="G29" s="29">
        <f t="shared" si="8"/>
        <v>5.7402167292660643E-2</v>
      </c>
      <c r="H29" s="13"/>
      <c r="I29" s="30"/>
      <c r="K29" s="5"/>
      <c r="L29" s="31"/>
      <c r="M29" s="32"/>
      <c r="N29" s="31"/>
      <c r="O29" s="31"/>
      <c r="P29" s="31"/>
      <c r="R29" s="23"/>
      <c r="S29" s="23"/>
      <c r="T29" s="23"/>
      <c r="U29" s="23"/>
      <c r="V29" s="23"/>
      <c r="W29" s="23"/>
    </row>
    <row r="30" spans="1:23" ht="12" customHeight="1">
      <c r="A30" s="18" t="s">
        <v>13</v>
      </c>
      <c r="B30" s="38"/>
      <c r="C30" s="25">
        <f>'&gt;1500(1925)'!N52</f>
        <v>87.039429999975255</v>
      </c>
      <c r="D30" s="25">
        <f>'&gt;1500(1925)'!U52</f>
        <v>-1522.679999999993</v>
      </c>
      <c r="E30" s="25">
        <f>'&gt;1500(1925)'!AB52</f>
        <v>1825.1417499999807</v>
      </c>
      <c r="F30" s="25">
        <f>'&gt;1500(2500)'!AI52</f>
        <v>1853.7799999999988</v>
      </c>
      <c r="G30" s="25">
        <f>'&gt;1500(2500)'!AP52</f>
        <v>1763.5800000000163</v>
      </c>
      <c r="H30" s="13"/>
      <c r="I30" s="33"/>
      <c r="K30" s="5"/>
      <c r="R30" s="23"/>
      <c r="S30" s="23"/>
      <c r="T30" s="23"/>
      <c r="U30" s="23"/>
      <c r="V30" s="23"/>
      <c r="W30" s="23"/>
    </row>
    <row r="31" spans="1:23" ht="12" customHeight="1">
      <c r="A31" s="18" t="s">
        <v>14</v>
      </c>
      <c r="B31" s="38"/>
      <c r="C31" s="34">
        <f>HLOOKUP(C$4,'&gt;1500(1925)'!$11:$56,42,FALSE)</f>
        <v>6.3376193601254638E-4</v>
      </c>
      <c r="D31" s="34">
        <f>HLOOKUP(D$4,'&gt;1500(1925)'!$11:$56,42,FALSE)</f>
        <v>-1.108009808061659E-2</v>
      </c>
      <c r="E31" s="34">
        <f>HLOOKUP(E$4,'&gt;1500(1925)'!$11:$56,42,FALSE)</f>
        <v>1.3429827793865158E-2</v>
      </c>
      <c r="F31" s="34">
        <f>HLOOKUP(F$4,'&gt;1500(1925)'!$11:$56,42,FALSE)</f>
        <v>1.0364090068991635E-2</v>
      </c>
      <c r="G31" s="34">
        <f>HLOOKUP(G$4,'&gt;1500(1925)'!$11:$56,42,FALSE)</f>
        <v>9.7586638027330475E-3</v>
      </c>
      <c r="H31" s="13"/>
      <c r="I31" s="33"/>
      <c r="K31" s="5"/>
      <c r="L31" s="31"/>
      <c r="M31" s="32"/>
      <c r="N31" s="31"/>
      <c r="O31" s="31"/>
      <c r="P31" s="31"/>
      <c r="R31" s="23"/>
      <c r="S31" s="23"/>
      <c r="T31" s="23"/>
      <c r="U31" s="23"/>
      <c r="V31" s="23"/>
      <c r="W31" s="23"/>
    </row>
    <row r="32" spans="1:23" ht="12" customHeight="1">
      <c r="A32" s="35" t="s">
        <v>18</v>
      </c>
      <c r="B32" s="36"/>
      <c r="C32" s="36"/>
      <c r="D32" s="36"/>
      <c r="E32" s="36"/>
      <c r="F32" s="36"/>
      <c r="G32" s="36"/>
      <c r="H32" s="13"/>
      <c r="K32" s="5"/>
      <c r="R32" s="23"/>
      <c r="S32" s="23"/>
      <c r="T32" s="23"/>
      <c r="U32" s="23"/>
      <c r="V32" s="23"/>
      <c r="W32" s="23"/>
    </row>
    <row r="33" spans="1:23" ht="12" customHeight="1">
      <c r="A33" s="18" t="s">
        <v>10</v>
      </c>
      <c r="B33" s="19">
        <f>HLOOKUP(B$5,'LU(7500)'!$11:$56,19,FALSE)</f>
        <v>61692.18</v>
      </c>
      <c r="C33" s="19">
        <f>HLOOKUP(C$5,'LU(7500)'!$11:$56,19,FALSE)</f>
        <v>69189.929999999993</v>
      </c>
      <c r="D33" s="19">
        <f>HLOOKUP(D$5,'LU(7500)'!$11:$56,19,FALSE)</f>
        <v>81120.929999999993</v>
      </c>
      <c r="E33" s="19">
        <f>HLOOKUP(E$5,'LU(7500)'!$11:$56,19,FALSE)</f>
        <v>88842.93</v>
      </c>
      <c r="F33" s="19">
        <f>HLOOKUP(F$5,'LU(7500)'!$11:$56,19,FALSE)</f>
        <v>94961.43</v>
      </c>
      <c r="G33" s="19">
        <f>HLOOKUP(G$5,'LU(7500)'!$11:$56,19,FALSE)</f>
        <v>100372.68</v>
      </c>
      <c r="H33" s="13"/>
      <c r="I33" s="20"/>
      <c r="K33" s="5"/>
      <c r="L33" s="21"/>
      <c r="M33" s="22"/>
      <c r="N33" s="21"/>
      <c r="O33" s="21"/>
      <c r="P33" s="21"/>
      <c r="R33" s="23"/>
      <c r="S33" s="23"/>
      <c r="T33" s="23"/>
      <c r="U33" s="23"/>
      <c r="V33" s="23"/>
      <c r="W33" s="23"/>
    </row>
    <row r="34" spans="1:23" ht="12" customHeight="1">
      <c r="A34" s="18" t="s">
        <v>11</v>
      </c>
      <c r="B34" s="37"/>
      <c r="C34" s="25">
        <f t="shared" ref="C34:G34" si="9">C33-B33</f>
        <v>7497.7499999999927</v>
      </c>
      <c r="D34" s="25">
        <f t="shared" si="9"/>
        <v>11931</v>
      </c>
      <c r="E34" s="25">
        <f t="shared" si="9"/>
        <v>7722</v>
      </c>
      <c r="F34" s="25">
        <f t="shared" si="9"/>
        <v>6118.5</v>
      </c>
      <c r="G34" s="25">
        <f t="shared" si="9"/>
        <v>5411.25</v>
      </c>
      <c r="H34" s="13"/>
      <c r="I34" s="20"/>
      <c r="K34" s="5"/>
      <c r="L34" s="21"/>
      <c r="M34" s="22"/>
      <c r="N34" s="21"/>
      <c r="O34" s="21"/>
      <c r="P34" s="21"/>
      <c r="R34" s="23"/>
      <c r="S34" s="23"/>
      <c r="T34" s="23"/>
      <c r="U34" s="23"/>
      <c r="V34" s="23"/>
      <c r="W34" s="23"/>
    </row>
    <row r="35" spans="1:23" ht="12" customHeight="1">
      <c r="A35" s="26" t="s">
        <v>12</v>
      </c>
      <c r="B35" s="38"/>
      <c r="C35" s="29">
        <f t="shared" ref="C35:G35" si="10">C34/B33</f>
        <v>0.12153485255343534</v>
      </c>
      <c r="D35" s="29">
        <f t="shared" si="10"/>
        <v>0.17243838807179024</v>
      </c>
      <c r="E35" s="29">
        <f t="shared" si="10"/>
        <v>9.5191216372889229E-2</v>
      </c>
      <c r="F35" s="29">
        <f t="shared" si="10"/>
        <v>6.886873271739237E-2</v>
      </c>
      <c r="G35" s="29">
        <f t="shared" si="10"/>
        <v>5.6983661682432546E-2</v>
      </c>
      <c r="H35" s="13"/>
      <c r="I35" s="30"/>
      <c r="K35" s="5"/>
      <c r="L35" s="31"/>
      <c r="M35" s="32"/>
      <c r="N35" s="31"/>
      <c r="O35" s="31"/>
      <c r="P35" s="31"/>
      <c r="R35" s="23"/>
      <c r="S35" s="23"/>
      <c r="T35" s="23"/>
      <c r="U35" s="23"/>
      <c r="V35" s="23"/>
      <c r="W35" s="23"/>
    </row>
    <row r="36" spans="1:23" ht="12" customHeight="1">
      <c r="A36" s="18" t="s">
        <v>13</v>
      </c>
      <c r="B36" s="37"/>
      <c r="C36" s="25">
        <f>'LU(7500)'!N52</f>
        <v>3388.6099999998696</v>
      </c>
      <c r="D36" s="25">
        <f>'LU(7500)'!U52</f>
        <v>-5588.3950000000186</v>
      </c>
      <c r="E36" s="25">
        <f>'LU(7500)'!AB52</f>
        <v>7724.7299999999814</v>
      </c>
      <c r="F36" s="25">
        <f>'LU(7500)'!AI52</f>
        <v>6122.0550000000512</v>
      </c>
      <c r="G36" s="25">
        <f>'LU(7500)'!AP52</f>
        <v>5415.0300000000279</v>
      </c>
      <c r="H36" s="13"/>
      <c r="I36" s="33"/>
      <c r="K36" s="5"/>
      <c r="R36" s="23"/>
      <c r="S36" s="23"/>
      <c r="T36" s="23"/>
      <c r="U36" s="23"/>
      <c r="V36" s="23"/>
      <c r="W36" s="23"/>
    </row>
    <row r="37" spans="1:23" ht="12" customHeight="1">
      <c r="A37" s="18" t="s">
        <v>14</v>
      </c>
      <c r="B37" s="38"/>
      <c r="C37" s="34">
        <f>HLOOKUP(C$4,'LU(7500)'!$11:$56,42,FALSE)</f>
        <v>5.7404608529877995E-3</v>
      </c>
      <c r="D37" s="34">
        <f>HLOOKUP(D$4,'LU(7500)'!$11:$56,42,FALSE)</f>
        <v>-9.4129628526363161E-3</v>
      </c>
      <c r="E37" s="34">
        <f>HLOOKUP(E$4,'LU(7500)'!$11:$56,42,FALSE)</f>
        <v>1.3134995172061627E-2</v>
      </c>
      <c r="F37" s="34">
        <f>HLOOKUP(F$4,'LU(7500)'!$11:$56,42,FALSE)</f>
        <v>1.0274874335530548E-2</v>
      </c>
      <c r="G37" s="34">
        <f>HLOOKUP(G$4,'LU(7500)'!$11:$56,42,FALSE)</f>
        <v>8.9958168935621655E-3</v>
      </c>
      <c r="H37" s="13"/>
      <c r="I37" s="33"/>
      <c r="K37" s="5"/>
      <c r="L37" s="31"/>
      <c r="M37" s="32"/>
      <c r="N37" s="31"/>
      <c r="O37" s="31"/>
      <c r="P37" s="31"/>
      <c r="R37" s="23"/>
      <c r="S37" s="23"/>
      <c r="T37" s="23"/>
      <c r="U37" s="23"/>
      <c r="V37" s="23"/>
      <c r="W37" s="23"/>
    </row>
    <row r="38" spans="1:23" ht="12" customHeight="1">
      <c r="A38" s="39" t="s">
        <v>19</v>
      </c>
      <c r="B38" s="40"/>
      <c r="C38" s="40"/>
      <c r="D38" s="40"/>
      <c r="E38" s="40"/>
      <c r="F38" s="40"/>
      <c r="G38" s="40"/>
      <c r="H38" s="13"/>
      <c r="K38" s="5"/>
      <c r="R38" s="23"/>
      <c r="S38" s="23"/>
      <c r="T38" s="23"/>
      <c r="U38" s="23"/>
      <c r="V38" s="23"/>
      <c r="W38" s="23"/>
    </row>
    <row r="39" spans="1:23" ht="12" customHeight="1">
      <c r="A39" s="18" t="s">
        <v>10</v>
      </c>
      <c r="B39" s="19">
        <f>HLOOKUP(B$5,'SN (.4)'!$11:$56,19,FALSE)</f>
        <v>20.191879999999998</v>
      </c>
      <c r="C39" s="19">
        <f>HLOOKUP(C$5,'SN (.4)'!$11:$56,19,FALSE)</f>
        <v>23.794159999999998</v>
      </c>
      <c r="D39" s="19">
        <f>HLOOKUP(D$5,'SN (.4)'!$11:$56,19,FALSE)</f>
        <v>25.9998</v>
      </c>
      <c r="E39" s="19">
        <f>HLOOKUP(E$5,'SN (.4)'!$11:$56,19,FALSE)</f>
        <v>28.321719999999999</v>
      </c>
      <c r="F39" s="19">
        <f>HLOOKUP(F$5,'SN (.4)'!$11:$56,19,FALSE)</f>
        <v>30.135200000000005</v>
      </c>
      <c r="G39" s="19">
        <f>HLOOKUP(G$5,'SN (.4)'!$11:$56,19,FALSE)</f>
        <v>31.8552</v>
      </c>
      <c r="H39" s="13"/>
      <c r="I39" s="20"/>
      <c r="K39" s="5"/>
      <c r="L39" s="21"/>
      <c r="M39" s="22"/>
      <c r="N39" s="21"/>
      <c r="O39" s="21"/>
      <c r="P39" s="21"/>
      <c r="R39" s="23"/>
      <c r="S39" s="23"/>
      <c r="T39" s="23"/>
      <c r="U39" s="23"/>
      <c r="V39" s="23"/>
      <c r="W39" s="23"/>
    </row>
    <row r="40" spans="1:23" ht="12" customHeight="1">
      <c r="A40" s="18" t="s">
        <v>11</v>
      </c>
      <c r="B40" s="37"/>
      <c r="C40" s="25">
        <f t="shared" ref="C40:G40" si="11">C39-B39</f>
        <v>3.6022800000000004</v>
      </c>
      <c r="D40" s="25">
        <f t="shared" si="11"/>
        <v>2.2056400000000025</v>
      </c>
      <c r="E40" s="25">
        <f t="shared" si="11"/>
        <v>2.3219199999999987</v>
      </c>
      <c r="F40" s="25">
        <f t="shared" si="11"/>
        <v>1.8134800000000055</v>
      </c>
      <c r="G40" s="25">
        <f t="shared" si="11"/>
        <v>1.7199999999999953</v>
      </c>
      <c r="H40" s="13"/>
      <c r="I40" s="20"/>
      <c r="K40" s="5"/>
      <c r="L40" s="21"/>
      <c r="M40" s="22"/>
      <c r="N40" s="21"/>
      <c r="O40" s="21"/>
      <c r="P40" s="21"/>
      <c r="R40" s="23"/>
      <c r="S40" s="23"/>
      <c r="T40" s="23"/>
      <c r="U40" s="23"/>
      <c r="V40" s="23"/>
      <c r="W40" s="23"/>
    </row>
    <row r="41" spans="1:23" ht="12" customHeight="1">
      <c r="A41" s="26" t="s">
        <v>12</v>
      </c>
      <c r="B41" s="38"/>
      <c r="C41" s="29">
        <f t="shared" ref="C41:G41" si="12">C40/B39</f>
        <v>0.17840240730432236</v>
      </c>
      <c r="D41" s="29">
        <f t="shared" si="12"/>
        <v>9.2696695323558495E-2</v>
      </c>
      <c r="E41" s="29">
        <f t="shared" si="12"/>
        <v>8.9305302348479554E-2</v>
      </c>
      <c r="F41" s="29">
        <f t="shared" si="12"/>
        <v>6.4031421820426357E-2</v>
      </c>
      <c r="G41" s="29">
        <f t="shared" si="12"/>
        <v>5.7076110329448454E-2</v>
      </c>
      <c r="H41" s="13"/>
      <c r="I41" s="30"/>
      <c r="K41" s="5"/>
      <c r="L41" s="31"/>
      <c r="M41" s="32"/>
      <c r="N41" s="31"/>
      <c r="O41" s="31"/>
      <c r="P41" s="31"/>
      <c r="R41" s="23"/>
      <c r="S41" s="23"/>
      <c r="T41" s="23"/>
      <c r="U41" s="23"/>
      <c r="V41" s="23"/>
      <c r="W41" s="23"/>
    </row>
    <row r="42" spans="1:23" ht="12" customHeight="1">
      <c r="A42" s="18" t="s">
        <v>13</v>
      </c>
      <c r="B42" s="37"/>
      <c r="C42" s="25">
        <f>'SN (.4)'!N52</f>
        <v>3.0568414720000021</v>
      </c>
      <c r="D42" s="25">
        <f>'SN (.4)'!U52</f>
        <v>2.2599279999999951</v>
      </c>
      <c r="E42" s="25">
        <f>'SN (.4)'!AB52</f>
        <v>2.351939999999999</v>
      </c>
      <c r="F42" s="25">
        <f>'SN (.4)'!AI52</f>
        <v>1.8435120000000111</v>
      </c>
      <c r="G42" s="25">
        <f>'SN (.4)'!AP52</f>
        <v>1.7500319999999903</v>
      </c>
      <c r="H42" s="13"/>
      <c r="I42" s="33"/>
      <c r="K42" s="5"/>
      <c r="R42" s="23"/>
      <c r="S42" s="23"/>
      <c r="T42" s="23"/>
      <c r="U42" s="23"/>
      <c r="V42" s="23"/>
      <c r="W42" s="23"/>
    </row>
    <row r="43" spans="1:23" ht="12" customHeight="1">
      <c r="A43" s="18" t="s">
        <v>14</v>
      </c>
      <c r="B43" s="38"/>
      <c r="C43" s="34">
        <f>HLOOKUP(C$4,'SN (.4)'!$11:$56,42,FALSE)</f>
        <v>8.5559502341525193E-2</v>
      </c>
      <c r="D43" s="34">
        <f>HLOOKUP(D$4,'SN (.4)'!$11:$56,42,FALSE)</f>
        <v>5.8268830666747061E-2</v>
      </c>
      <c r="E43" s="34">
        <f>HLOOKUP(E$4,'SN (.4)'!$11:$56,42,FALSE)</f>
        <v>5.7302284049424425E-2</v>
      </c>
      <c r="F43" s="34">
        <f>HLOOKUP(F$4,'SN (.4)'!$11:$56,42,FALSE)</f>
        <v>4.248078107589863E-2</v>
      </c>
      <c r="G43" s="34">
        <f>HLOOKUP(G$4,'SN (.4)'!$11:$56,42,FALSE)</f>
        <v>3.8683383852784851E-2</v>
      </c>
      <c r="H43" s="13"/>
      <c r="I43" s="33"/>
      <c r="K43" s="5"/>
      <c r="L43" s="31"/>
      <c r="M43" s="32"/>
      <c r="N43" s="31"/>
      <c r="O43" s="31"/>
      <c r="P43" s="31"/>
      <c r="R43" s="23"/>
      <c r="S43" s="23"/>
      <c r="T43" s="23"/>
      <c r="U43" s="23"/>
      <c r="V43" s="23"/>
      <c r="W43" s="23"/>
    </row>
    <row r="44" spans="1:23" ht="12" customHeight="1">
      <c r="A44" s="39" t="s">
        <v>20</v>
      </c>
      <c r="B44" s="40"/>
      <c r="C44" s="40"/>
      <c r="D44" s="40"/>
      <c r="E44" s="40"/>
      <c r="F44" s="40"/>
      <c r="G44" s="40"/>
      <c r="H44" s="13"/>
      <c r="K44" s="5"/>
      <c r="R44" s="23"/>
      <c r="S44" s="23"/>
      <c r="T44" s="23"/>
      <c r="U44" s="23"/>
      <c r="V44" s="23"/>
      <c r="W44" s="23"/>
    </row>
    <row r="45" spans="1:23" ht="12" customHeight="1">
      <c r="A45" s="18" t="s">
        <v>10</v>
      </c>
      <c r="B45" s="19">
        <f>HLOOKUP(B$5,'StLght(50)'!$11:$56,19,FALSE)</f>
        <v>928.88499999999999</v>
      </c>
      <c r="C45" s="19">
        <f>HLOOKUP(C$5,'StLght(50)'!$11:$56,19,FALSE)</f>
        <v>957.02</v>
      </c>
      <c r="D45" s="19">
        <f>HLOOKUP(D$5,'StLght(50)'!$11:$56,19,FALSE)</f>
        <v>739.31</v>
      </c>
      <c r="E45" s="19">
        <f>HLOOKUP(E$5,'StLght(50)'!$11:$56,19,FALSE)</f>
        <v>779.22</v>
      </c>
      <c r="F45" s="19">
        <f>HLOOKUP(F$5,'StLght(50)'!$11:$56,19,FALSE)</f>
        <v>789.72500000000002</v>
      </c>
      <c r="G45" s="19">
        <f>HLOOKUP(G$5,'StLght(50)'!$11:$56,19,FALSE)</f>
        <v>828.07500000000005</v>
      </c>
      <c r="H45" s="13"/>
      <c r="I45" s="20"/>
      <c r="K45" s="5"/>
      <c r="L45" s="21"/>
      <c r="M45" s="22"/>
      <c r="N45" s="21"/>
      <c r="O45" s="21"/>
      <c r="P45" s="21"/>
      <c r="R45" s="23"/>
      <c r="S45" s="23"/>
      <c r="T45" s="23"/>
      <c r="U45" s="23"/>
      <c r="V45" s="23"/>
      <c r="W45" s="23"/>
    </row>
    <row r="46" spans="1:23" ht="12" customHeight="1">
      <c r="A46" s="18" t="s">
        <v>11</v>
      </c>
      <c r="B46" s="37"/>
      <c r="C46" s="25">
        <f t="shared" ref="C46:G46" si="13">C45-B45</f>
        <v>28.134999999999991</v>
      </c>
      <c r="D46" s="25">
        <f t="shared" si="13"/>
        <v>-217.71000000000004</v>
      </c>
      <c r="E46" s="25">
        <f t="shared" si="13"/>
        <v>39.910000000000082</v>
      </c>
      <c r="F46" s="25">
        <f t="shared" si="13"/>
        <v>10.504999999999995</v>
      </c>
      <c r="G46" s="25">
        <f t="shared" si="13"/>
        <v>38.350000000000023</v>
      </c>
      <c r="H46" s="13"/>
      <c r="I46" s="20"/>
      <c r="K46" s="5"/>
      <c r="L46" s="21"/>
      <c r="M46" s="22"/>
      <c r="N46" s="21"/>
      <c r="O46" s="21"/>
      <c r="P46" s="21"/>
      <c r="R46" s="23"/>
      <c r="S46" s="23"/>
      <c r="T46" s="23"/>
      <c r="U46" s="23"/>
      <c r="V46" s="23"/>
      <c r="W46" s="23"/>
    </row>
    <row r="47" spans="1:23" ht="12" customHeight="1">
      <c r="A47" s="26" t="s">
        <v>12</v>
      </c>
      <c r="B47" s="38"/>
      <c r="C47" s="29">
        <f t="shared" ref="C47:G47" si="14">C46/B45</f>
        <v>3.0289002406110543E-2</v>
      </c>
      <c r="D47" s="29">
        <f t="shared" si="14"/>
        <v>-0.22748740883158142</v>
      </c>
      <c r="E47" s="29">
        <f t="shared" si="14"/>
        <v>5.3982767715843268E-2</v>
      </c>
      <c r="F47" s="29">
        <f t="shared" si="14"/>
        <v>1.3481430148096808E-2</v>
      </c>
      <c r="G47" s="29">
        <f t="shared" si="14"/>
        <v>4.8561208015448443E-2</v>
      </c>
      <c r="H47" s="13"/>
      <c r="I47" s="30"/>
      <c r="K47" s="5"/>
      <c r="L47" s="31"/>
      <c r="M47" s="32"/>
      <c r="N47" s="31"/>
      <c r="O47" s="31"/>
      <c r="P47" s="31"/>
      <c r="R47" s="23"/>
      <c r="S47" s="23"/>
      <c r="T47" s="23"/>
      <c r="U47" s="23"/>
      <c r="V47" s="23"/>
      <c r="W47" s="23"/>
    </row>
    <row r="48" spans="1:23" ht="12" customHeight="1">
      <c r="A48" s="18" t="s">
        <v>13</v>
      </c>
      <c r="B48" s="37"/>
      <c r="C48" s="25">
        <f>'StLght(50)'!N52</f>
        <v>-88.648118000000522</v>
      </c>
      <c r="D48" s="25">
        <f>'StLght(50)'!U52</f>
        <v>-294.10499999999956</v>
      </c>
      <c r="E48" s="25">
        <f>'StLght(50)'!AB52</f>
        <v>39.947500000000218</v>
      </c>
      <c r="F48" s="25">
        <f>'StLght(50)'!AI52</f>
        <v>10.544499999999971</v>
      </c>
      <c r="G48" s="25">
        <f>'StLght(50)'!AP52</f>
        <v>38.389999999999418</v>
      </c>
      <c r="H48" s="13"/>
      <c r="I48" s="33"/>
      <c r="K48" s="5"/>
      <c r="R48" s="23"/>
      <c r="S48" s="23"/>
      <c r="T48" s="23"/>
      <c r="U48" s="23"/>
      <c r="V48" s="23"/>
      <c r="W48" s="23"/>
    </row>
    <row r="49" spans="1:23" ht="12" customHeight="1">
      <c r="A49" s="18" t="s">
        <v>14</v>
      </c>
      <c r="B49" s="38"/>
      <c r="C49" s="34">
        <f>HLOOKUP(C$4,'StLght(50)'!$11:$56,42,FALSE)</f>
        <v>-2.66037734787931E-2</v>
      </c>
      <c r="D49" s="34">
        <f>HLOOKUP(D$4,'StLght(50)'!$11:$56,42,FALSE)</f>
        <v>-9.0674771729973305E-2</v>
      </c>
      <c r="E49" s="34">
        <f>HLOOKUP(E$4,'StLght(50)'!$11:$56,42,FALSE)</f>
        <v>1.3544233370514944E-2</v>
      </c>
      <c r="F49" s="34">
        <f>HLOOKUP(F$4,'StLght(50)'!$11:$56,42,FALSE)</f>
        <v>3.5273463641066964E-3</v>
      </c>
      <c r="G49" s="34">
        <f>HLOOKUP(G$4,'StLght(50)'!$11:$56,42,FALSE)</f>
        <v>1.2797083868663369E-2</v>
      </c>
      <c r="H49" s="13"/>
      <c r="I49" s="33"/>
      <c r="K49" s="5"/>
      <c r="L49" s="31"/>
      <c r="M49" s="32"/>
      <c r="N49" s="31"/>
      <c r="O49" s="31"/>
      <c r="P49" s="31"/>
      <c r="R49" s="23"/>
      <c r="S49" s="23"/>
      <c r="T49" s="23"/>
      <c r="U49" s="23"/>
      <c r="V49" s="23"/>
      <c r="W49" s="23"/>
    </row>
    <row r="50" spans="1:23" ht="12" customHeight="1">
      <c r="A50" s="39" t="s">
        <v>21</v>
      </c>
      <c r="B50" s="40"/>
      <c r="C50" s="40"/>
      <c r="D50" s="40"/>
      <c r="E50" s="40"/>
      <c r="F50" s="40"/>
      <c r="G50" s="40"/>
      <c r="H50" s="13"/>
      <c r="K50" s="5"/>
      <c r="R50" s="23"/>
      <c r="S50" s="23"/>
      <c r="T50" s="23"/>
      <c r="U50" s="23"/>
      <c r="V50" s="23"/>
      <c r="W50" s="23"/>
    </row>
    <row r="51" spans="1:23" ht="12" customHeight="1">
      <c r="A51" s="18" t="s">
        <v>10</v>
      </c>
      <c r="B51" s="19">
        <f>HLOOKUP(B$5,'USL (470)'!$11:$56,19,FALSE)</f>
        <v>22.975999999999999</v>
      </c>
      <c r="C51" s="19">
        <f>HLOOKUP(C$5,'USL (470)'!$11:$56,19,FALSE)</f>
        <v>25.708000000000002</v>
      </c>
      <c r="D51" s="19">
        <f>HLOOKUP(D$5,'USL (470)'!$11:$56,19,FALSE)</f>
        <v>28.195</v>
      </c>
      <c r="E51" s="19">
        <f>HLOOKUP(E$5,'USL (470)'!$11:$56,19,FALSE)</f>
        <v>30.493000000000002</v>
      </c>
      <c r="F51" s="19">
        <f>HLOOKUP(F$5,'USL (470)'!$11:$56,19,FALSE)</f>
        <v>32.399000000000001</v>
      </c>
      <c r="G51" s="19">
        <f>HLOOKUP(G$5,'USL (470)'!$11:$56,19,FALSE)</f>
        <v>34.285000000000004</v>
      </c>
      <c r="H51" s="13"/>
      <c r="I51" s="20"/>
      <c r="K51" s="5"/>
      <c r="L51" s="21"/>
      <c r="M51" s="22"/>
      <c r="N51" s="21"/>
      <c r="O51" s="21"/>
      <c r="P51" s="21"/>
      <c r="R51" s="23"/>
      <c r="S51" s="23"/>
      <c r="T51" s="23"/>
      <c r="U51" s="23"/>
      <c r="V51" s="23"/>
      <c r="W51" s="23"/>
    </row>
    <row r="52" spans="1:23" ht="12" customHeight="1">
      <c r="A52" s="18" t="s">
        <v>11</v>
      </c>
      <c r="B52" s="37"/>
      <c r="C52" s="25">
        <f t="shared" ref="C52:G52" si="15">C51-B51</f>
        <v>2.7320000000000029</v>
      </c>
      <c r="D52" s="25">
        <f t="shared" si="15"/>
        <v>2.4869999999999983</v>
      </c>
      <c r="E52" s="25">
        <f t="shared" si="15"/>
        <v>2.2980000000000018</v>
      </c>
      <c r="F52" s="25">
        <f t="shared" si="15"/>
        <v>1.9059999999999988</v>
      </c>
      <c r="G52" s="25">
        <f t="shared" si="15"/>
        <v>1.8860000000000028</v>
      </c>
      <c r="H52" s="13"/>
      <c r="I52" s="20"/>
      <c r="K52" s="5"/>
      <c r="L52" s="21"/>
      <c r="M52" s="22"/>
      <c r="N52" s="21"/>
      <c r="O52" s="21"/>
      <c r="P52" s="21"/>
      <c r="R52" s="23"/>
      <c r="S52" s="23"/>
      <c r="T52" s="23"/>
      <c r="U52" s="23"/>
      <c r="V52" s="23"/>
      <c r="W52" s="23"/>
    </row>
    <row r="53" spans="1:23" ht="12" customHeight="1">
      <c r="A53" s="26" t="s">
        <v>12</v>
      </c>
      <c r="B53" s="38"/>
      <c r="C53" s="29">
        <f t="shared" ref="C53:G53" si="16">C52/B51</f>
        <v>0.11890668523676894</v>
      </c>
      <c r="D53" s="29">
        <f t="shared" si="16"/>
        <v>9.6740314299050806E-2</v>
      </c>
      <c r="E53" s="29">
        <f t="shared" si="16"/>
        <v>8.1503812732754102E-2</v>
      </c>
      <c r="F53" s="29">
        <f t="shared" si="16"/>
        <v>6.2506148952218496E-2</v>
      </c>
      <c r="G53" s="29">
        <f t="shared" si="16"/>
        <v>5.8211673199790204E-2</v>
      </c>
      <c r="H53" s="13"/>
      <c r="I53" s="30"/>
      <c r="K53" s="5"/>
      <c r="L53" s="31"/>
      <c r="M53" s="32"/>
      <c r="N53" s="31"/>
      <c r="O53" s="31"/>
      <c r="P53" s="31"/>
      <c r="R53" s="23"/>
      <c r="S53" s="23"/>
      <c r="T53" s="23"/>
      <c r="U53" s="23"/>
      <c r="V53" s="23"/>
      <c r="W53" s="23"/>
    </row>
    <row r="54" spans="1:23" ht="12" customHeight="1">
      <c r="A54" s="18" t="s">
        <v>13</v>
      </c>
      <c r="B54" s="37"/>
      <c r="C54" s="25">
        <f>'USL (470)'!N52</f>
        <v>0.35694761999997127</v>
      </c>
      <c r="D54" s="25">
        <f>'USL (470)'!U52</f>
        <v>2.5640000000000214</v>
      </c>
      <c r="E54" s="25">
        <f>'USL (470)'!AB52</f>
        <v>2.3279999999999887</v>
      </c>
      <c r="F54" s="25">
        <f>'USL (470)'!AI52</f>
        <v>1.9359999999999928</v>
      </c>
      <c r="G54" s="25">
        <f>'USL (470)'!AP52</f>
        <v>1.916000000000011</v>
      </c>
      <c r="H54" s="13"/>
      <c r="I54" s="33"/>
      <c r="K54" s="5"/>
      <c r="L54" s="31"/>
      <c r="M54" s="32"/>
      <c r="N54" s="31"/>
      <c r="O54" s="31"/>
      <c r="P54" s="31"/>
      <c r="R54" s="23"/>
      <c r="S54" s="23"/>
      <c r="T54" s="23"/>
      <c r="U54" s="23"/>
      <c r="V54" s="23"/>
      <c r="W54" s="23"/>
    </row>
    <row r="55" spans="1:23" ht="12" customHeight="1">
      <c r="A55" s="18" t="s">
        <v>14</v>
      </c>
      <c r="B55" s="38"/>
      <c r="C55" s="34">
        <f>HLOOKUP(C$4,'USL (470)'!$11:$56,42,FALSE)</f>
        <v>3.6647054090017984E-3</v>
      </c>
      <c r="D55" s="34">
        <f>HLOOKUP(D$4,'USL (470)'!$11:$56,42,FALSE)</f>
        <v>2.6227925857455852E-2</v>
      </c>
      <c r="E55" s="34">
        <f>HLOOKUP(E$4,'USL (470)'!$11:$56,42,FALSE)</f>
        <v>2.3205187070935978E-2</v>
      </c>
      <c r="F55" s="34">
        <f>HLOOKUP(F$4,'USL (470)'!$11:$56,42,FALSE)</f>
        <v>1.8860131556057549E-2</v>
      </c>
      <c r="G55" s="34">
        <f>HLOOKUP(G$4,'USL (470)'!$11:$56,42,FALSE)</f>
        <v>1.8319781987893771E-2</v>
      </c>
      <c r="H55" s="13"/>
      <c r="I55" s="33"/>
      <c r="K55" s="5"/>
      <c r="L55" s="31"/>
      <c r="M55" s="32"/>
      <c r="N55" s="31"/>
      <c r="O55" s="31"/>
      <c r="P55" s="31"/>
      <c r="R55" s="23"/>
      <c r="S55" s="23"/>
      <c r="T55" s="23"/>
      <c r="U55" s="23"/>
      <c r="V55" s="23"/>
      <c r="W55" s="23"/>
    </row>
    <row r="56" spans="1:23" ht="12" customHeight="1">
      <c r="A56" s="3"/>
      <c r="B56" s="3"/>
      <c r="C56" s="3"/>
      <c r="D56" s="3"/>
      <c r="E56" s="3"/>
      <c r="F56" s="3"/>
      <c r="G56" s="3"/>
      <c r="K56" s="5"/>
      <c r="M56" s="6"/>
    </row>
    <row r="57" spans="1:23" ht="12" customHeight="1">
      <c r="A57" s="3"/>
      <c r="B57" s="3"/>
      <c r="C57" s="3"/>
      <c r="D57" s="3"/>
      <c r="E57" s="3"/>
      <c r="F57" s="3"/>
      <c r="G57" s="3"/>
      <c r="K57" s="5"/>
      <c r="M57" s="6"/>
    </row>
    <row r="58" spans="1:23" ht="12" customHeight="1">
      <c r="A58" s="3"/>
      <c r="B58" s="3"/>
      <c r="C58" s="3"/>
      <c r="D58" s="3"/>
      <c r="E58" s="3"/>
      <c r="F58" s="3"/>
      <c r="G58" s="3"/>
      <c r="K58" s="5"/>
      <c r="M58" s="6"/>
    </row>
    <row r="59" spans="1:23" ht="12" customHeight="1">
      <c r="A59" s="3"/>
      <c r="B59" s="3"/>
      <c r="C59" s="3"/>
      <c r="D59" s="3"/>
      <c r="E59" s="3"/>
      <c r="F59" s="3"/>
      <c r="G59" s="3"/>
      <c r="K59" s="5"/>
      <c r="M59" s="6"/>
    </row>
    <row r="60" spans="1:23" ht="12" customHeight="1">
      <c r="A60" s="3"/>
      <c r="B60" s="3"/>
      <c r="C60" s="3"/>
      <c r="D60" s="3"/>
      <c r="E60" s="3"/>
      <c r="F60" s="3"/>
      <c r="G60" s="3"/>
      <c r="K60" s="5"/>
      <c r="M60" s="6"/>
    </row>
    <row r="61" spans="1:23" ht="12" customHeight="1">
      <c r="A61" s="3"/>
      <c r="B61" s="3"/>
      <c r="C61" s="3"/>
      <c r="D61" s="3"/>
      <c r="E61" s="3"/>
      <c r="F61" s="3"/>
      <c r="G61" s="3"/>
      <c r="K61" s="5"/>
      <c r="M61" s="6"/>
    </row>
    <row r="62" spans="1:23" ht="12" customHeight="1">
      <c r="A62" s="3"/>
      <c r="B62" s="3"/>
      <c r="C62" s="3"/>
      <c r="D62" s="3"/>
      <c r="E62" s="3"/>
      <c r="F62" s="3"/>
      <c r="G62" s="3"/>
      <c r="K62" s="5"/>
      <c r="M62" s="6"/>
    </row>
    <row r="63" spans="1:23" ht="12" customHeight="1">
      <c r="A63" s="586"/>
      <c r="B63" s="7" t="s">
        <v>7</v>
      </c>
      <c r="C63" s="7" t="s">
        <v>8</v>
      </c>
      <c r="D63" s="7" t="s">
        <v>8</v>
      </c>
      <c r="E63" s="7" t="s">
        <v>8</v>
      </c>
      <c r="F63" s="7" t="s">
        <v>8</v>
      </c>
      <c r="G63" s="7" t="s">
        <v>8</v>
      </c>
      <c r="H63" s="13"/>
      <c r="K63" s="5"/>
      <c r="M63" s="6"/>
    </row>
    <row r="64" spans="1:23" ht="12" customHeight="1">
      <c r="A64" s="587"/>
      <c r="B64" s="15">
        <v>2025</v>
      </c>
      <c r="C64" s="15" t="str">
        <f t="shared" ref="C64:G64" si="17">C7</f>
        <v>2026F</v>
      </c>
      <c r="D64" s="15" t="str">
        <f t="shared" si="17"/>
        <v>2027F</v>
      </c>
      <c r="E64" s="15" t="str">
        <f t="shared" si="17"/>
        <v>2028F</v>
      </c>
      <c r="F64" s="15" t="str">
        <f t="shared" si="17"/>
        <v>2029F</v>
      </c>
      <c r="G64" s="15" t="str">
        <f t="shared" si="17"/>
        <v>2030F</v>
      </c>
      <c r="H64" s="13"/>
      <c r="K64" s="5"/>
      <c r="M64" s="6"/>
    </row>
    <row r="65" spans="1:13" ht="12" customHeight="1">
      <c r="A65" s="588" t="s">
        <v>9</v>
      </c>
      <c r="B65" s="589"/>
      <c r="C65" s="589"/>
      <c r="D65" s="589"/>
      <c r="E65" s="589"/>
      <c r="F65" s="589"/>
      <c r="G65" s="590"/>
      <c r="H65" s="13"/>
      <c r="K65" s="5"/>
      <c r="M65" s="6"/>
    </row>
    <row r="66" spans="1:13" ht="12" customHeight="1">
      <c r="A66" s="18" t="s">
        <v>10</v>
      </c>
      <c r="B66" s="41">
        <f t="shared" ref="B66:G66" si="18">B9</f>
        <v>34.51</v>
      </c>
      <c r="C66" s="41">
        <f t="shared" si="18"/>
        <v>40.49</v>
      </c>
      <c r="D66" s="41">
        <f t="shared" si="18"/>
        <v>44.13</v>
      </c>
      <c r="E66" s="41">
        <f t="shared" si="18"/>
        <v>48.07</v>
      </c>
      <c r="F66" s="41">
        <f t="shared" si="18"/>
        <v>51.15</v>
      </c>
      <c r="G66" s="41">
        <f t="shared" si="18"/>
        <v>54.07</v>
      </c>
      <c r="H66" s="13"/>
      <c r="K66" s="5"/>
      <c r="M66" s="6"/>
    </row>
    <row r="67" spans="1:13" ht="12" customHeight="1">
      <c r="A67" s="18" t="s">
        <v>11</v>
      </c>
      <c r="B67" s="42">
        <f t="shared" ref="B67:B68" si="19">B10</f>
        <v>0</v>
      </c>
      <c r="C67" s="25">
        <f t="shared" ref="C67:G67" si="20">C66-B66</f>
        <v>5.980000000000004</v>
      </c>
      <c r="D67" s="25">
        <f t="shared" si="20"/>
        <v>3.6400000000000006</v>
      </c>
      <c r="E67" s="25">
        <f t="shared" si="20"/>
        <v>3.9399999999999977</v>
      </c>
      <c r="F67" s="25">
        <f t="shared" si="20"/>
        <v>3.0799999999999983</v>
      </c>
      <c r="G67" s="25">
        <f t="shared" si="20"/>
        <v>2.9200000000000017</v>
      </c>
      <c r="H67" s="13"/>
      <c r="K67" s="5"/>
      <c r="M67" s="6"/>
    </row>
    <row r="68" spans="1:13" ht="12" customHeight="1">
      <c r="A68" s="26" t="s">
        <v>12</v>
      </c>
      <c r="B68" s="43">
        <f t="shared" si="19"/>
        <v>0</v>
      </c>
      <c r="C68" s="29">
        <f t="shared" ref="C68:G68" si="21">C67/B66</f>
        <v>0.17328310634598679</v>
      </c>
      <c r="D68" s="29">
        <f t="shared" si="21"/>
        <v>8.9898740429735752E-2</v>
      </c>
      <c r="E68" s="29">
        <f t="shared" si="21"/>
        <v>8.9281667799682704E-2</v>
      </c>
      <c r="F68" s="29">
        <f t="shared" si="21"/>
        <v>6.4073226544622386E-2</v>
      </c>
      <c r="G68" s="29">
        <f t="shared" si="21"/>
        <v>5.7086999022482932E-2</v>
      </c>
      <c r="H68" s="13"/>
      <c r="K68" s="5"/>
      <c r="M68" s="6"/>
    </row>
    <row r="69" spans="1:13" ht="12" customHeight="1">
      <c r="A69" s="18" t="s">
        <v>14</v>
      </c>
      <c r="B69" s="43">
        <f t="shared" ref="B69:G69" si="22">B13</f>
        <v>0</v>
      </c>
      <c r="C69" s="44">
        <f t="shared" si="22"/>
        <v>5.4714805801556625E-2</v>
      </c>
      <c r="D69" s="44">
        <f t="shared" si="22"/>
        <v>2.3503825964480845E-2</v>
      </c>
      <c r="E69" s="44">
        <f t="shared" si="22"/>
        <v>2.3972511969592047E-2</v>
      </c>
      <c r="F69" s="44">
        <f t="shared" si="22"/>
        <v>1.8316902132791933E-2</v>
      </c>
      <c r="G69" s="44">
        <f t="shared" si="22"/>
        <v>1.7064995957440706E-2</v>
      </c>
      <c r="H69" s="13"/>
      <c r="K69" s="5"/>
      <c r="M69" s="6"/>
    </row>
    <row r="70" spans="1:13" ht="12" customHeight="1">
      <c r="A70" s="588" t="str">
        <f>A14</f>
        <v>General Service &lt;50 kW (2000 kWh)</v>
      </c>
      <c r="B70" s="589"/>
      <c r="C70" s="589"/>
      <c r="D70" s="589"/>
      <c r="E70" s="589"/>
      <c r="F70" s="589"/>
      <c r="G70" s="590"/>
      <c r="H70" s="13"/>
      <c r="K70" s="5"/>
      <c r="M70" s="6"/>
    </row>
    <row r="71" spans="1:13" ht="12" customHeight="1">
      <c r="A71" s="18" t="s">
        <v>10</v>
      </c>
      <c r="B71" s="41">
        <f t="shared" ref="B71:G71" si="23">B15</f>
        <v>85.93</v>
      </c>
      <c r="C71" s="41">
        <f t="shared" si="23"/>
        <v>100.47999999999999</v>
      </c>
      <c r="D71" s="41">
        <f t="shared" si="23"/>
        <v>108.4</v>
      </c>
      <c r="E71" s="41">
        <f t="shared" si="23"/>
        <v>118.1</v>
      </c>
      <c r="F71" s="41">
        <f t="shared" si="23"/>
        <v>125.6</v>
      </c>
      <c r="G71" s="41">
        <f t="shared" si="23"/>
        <v>132.80000000000001</v>
      </c>
      <c r="H71" s="13"/>
      <c r="K71" s="5"/>
      <c r="M71" s="6"/>
    </row>
    <row r="72" spans="1:13" ht="12" customHeight="1">
      <c r="A72" s="18" t="s">
        <v>11</v>
      </c>
      <c r="B72" s="42">
        <f t="shared" ref="B72:G72" si="24">B16</f>
        <v>0</v>
      </c>
      <c r="C72" s="41">
        <f t="shared" si="24"/>
        <v>14.549999999999983</v>
      </c>
      <c r="D72" s="41">
        <f t="shared" si="24"/>
        <v>7.9200000000000159</v>
      </c>
      <c r="E72" s="41">
        <f t="shared" si="24"/>
        <v>9.6999999999999886</v>
      </c>
      <c r="F72" s="41">
        <f t="shared" si="24"/>
        <v>7.5</v>
      </c>
      <c r="G72" s="41">
        <f t="shared" si="24"/>
        <v>7.2000000000000171</v>
      </c>
      <c r="H72" s="13"/>
      <c r="K72" s="5"/>
      <c r="M72" s="6"/>
    </row>
    <row r="73" spans="1:13" ht="12" customHeight="1">
      <c r="A73" s="26" t="s">
        <v>12</v>
      </c>
      <c r="B73" s="43">
        <f t="shared" ref="B73:G73" si="25">B17</f>
        <v>0</v>
      </c>
      <c r="C73" s="45">
        <f t="shared" si="25"/>
        <v>0.16932386826486653</v>
      </c>
      <c r="D73" s="45">
        <f t="shared" si="25"/>
        <v>7.8821656050955577E-2</v>
      </c>
      <c r="E73" s="45">
        <f t="shared" si="25"/>
        <v>8.9483394833948224E-2</v>
      </c>
      <c r="F73" s="45">
        <f t="shared" si="25"/>
        <v>6.3505503810330238E-2</v>
      </c>
      <c r="G73" s="45">
        <f t="shared" si="25"/>
        <v>5.732484076433135E-2</v>
      </c>
      <c r="H73" s="13"/>
      <c r="K73" s="5"/>
      <c r="M73" s="6"/>
    </row>
    <row r="74" spans="1:13" ht="12" customHeight="1">
      <c r="A74" s="18" t="s">
        <v>14</v>
      </c>
      <c r="B74" s="43">
        <f t="shared" ref="B74:G74" si="26">B19</f>
        <v>0</v>
      </c>
      <c r="C74" s="44">
        <f t="shared" si="26"/>
        <v>2.7149075326823063E-2</v>
      </c>
      <c r="D74" s="44">
        <f t="shared" si="26"/>
        <v>1.9735795477220382E-2</v>
      </c>
      <c r="E74" s="44">
        <f t="shared" si="26"/>
        <v>2.3129610510277145E-2</v>
      </c>
      <c r="F74" s="44">
        <f t="shared" si="26"/>
        <v>1.7500483793215286E-2</v>
      </c>
      <c r="G74" s="44">
        <f t="shared" si="26"/>
        <v>1.6515154871822892E-2</v>
      </c>
      <c r="H74" s="13"/>
      <c r="K74" s="5"/>
      <c r="M74" s="6"/>
    </row>
    <row r="75" spans="1:13" ht="12" customHeight="1">
      <c r="A75" s="3"/>
      <c r="B75" s="3"/>
      <c r="C75" s="3"/>
      <c r="D75" s="3"/>
      <c r="E75" s="3"/>
      <c r="F75" s="3"/>
      <c r="G75" s="3"/>
      <c r="K75" s="5"/>
      <c r="M75" s="6"/>
    </row>
    <row r="76" spans="1:13" ht="12" customHeight="1">
      <c r="A76" s="3"/>
      <c r="B76" s="3"/>
      <c r="C76" s="3"/>
      <c r="D76" s="3"/>
      <c r="E76" s="3"/>
      <c r="F76" s="3"/>
      <c r="G76" s="3"/>
      <c r="K76" s="5"/>
      <c r="M76" s="6"/>
    </row>
    <row r="77" spans="1:13" ht="12" customHeight="1">
      <c r="A77" s="3"/>
      <c r="B77" s="3"/>
      <c r="C77" s="3"/>
      <c r="D77" s="3"/>
      <c r="E77" s="3"/>
      <c r="F77" s="3"/>
      <c r="G77" s="3"/>
      <c r="K77" s="5"/>
      <c r="M77" s="6"/>
    </row>
    <row r="78" spans="1:13" ht="12" customHeight="1">
      <c r="A78" s="586"/>
      <c r="B78" s="7" t="s">
        <v>7</v>
      </c>
      <c r="C78" s="7" t="s">
        <v>8</v>
      </c>
      <c r="D78" s="7" t="s">
        <v>8</v>
      </c>
      <c r="E78" s="7" t="s">
        <v>8</v>
      </c>
      <c r="F78" s="7" t="s">
        <v>8</v>
      </c>
      <c r="G78" s="7" t="s">
        <v>8</v>
      </c>
      <c r="H78" s="13"/>
      <c r="K78" s="5"/>
      <c r="M78" s="6"/>
    </row>
    <row r="79" spans="1:13" ht="12" customHeight="1">
      <c r="A79" s="587"/>
      <c r="B79" s="15">
        <f t="shared" ref="B79:G79" si="27">B64</f>
        <v>2025</v>
      </c>
      <c r="C79" s="15" t="str">
        <f t="shared" si="27"/>
        <v>2026F</v>
      </c>
      <c r="D79" s="15" t="str">
        <f t="shared" si="27"/>
        <v>2027F</v>
      </c>
      <c r="E79" s="15" t="str">
        <f t="shared" si="27"/>
        <v>2028F</v>
      </c>
      <c r="F79" s="15" t="str">
        <f t="shared" si="27"/>
        <v>2029F</v>
      </c>
      <c r="G79" s="15" t="str">
        <f t="shared" si="27"/>
        <v>2030F</v>
      </c>
      <c r="H79" s="13"/>
      <c r="K79" s="5"/>
      <c r="M79" s="6"/>
    </row>
    <row r="80" spans="1:13" ht="12" customHeight="1">
      <c r="A80" s="588" t="s">
        <v>9</v>
      </c>
      <c r="B80" s="589"/>
      <c r="C80" s="589"/>
      <c r="D80" s="589"/>
      <c r="E80" s="589"/>
      <c r="F80" s="589"/>
      <c r="G80" s="590"/>
      <c r="H80" s="13"/>
      <c r="K80" s="5"/>
      <c r="M80" s="6"/>
    </row>
    <row r="81" spans="1:13" ht="12" customHeight="1">
      <c r="A81" s="18" t="s">
        <v>10</v>
      </c>
      <c r="B81" s="46">
        <f>'Res (750)'!H15</f>
        <v>34.26</v>
      </c>
      <c r="C81" s="41">
        <f>'Res (750)'!L15</f>
        <v>41.03</v>
      </c>
      <c r="D81" s="41">
        <f>'Res (750)'!S15</f>
        <v>44.13</v>
      </c>
      <c r="E81" s="41">
        <f>'Res (750)'!Z15</f>
        <v>48.07</v>
      </c>
      <c r="F81" s="41">
        <f>'Res (750)'!AG15</f>
        <v>51.15</v>
      </c>
      <c r="G81" s="41">
        <f>'Res (750)'!AN15</f>
        <v>54.07</v>
      </c>
      <c r="H81" s="13"/>
      <c r="K81" s="5"/>
      <c r="M81" s="6"/>
    </row>
    <row r="82" spans="1:13" ht="12" customHeight="1">
      <c r="A82" s="47" t="s">
        <v>11</v>
      </c>
      <c r="B82" s="48">
        <f t="shared" ref="B82:B83" si="28">B28</f>
        <v>0</v>
      </c>
      <c r="C82" s="25">
        <f t="shared" ref="C82:G82" si="29">C81-B81</f>
        <v>6.7700000000000031</v>
      </c>
      <c r="D82" s="25">
        <f t="shared" si="29"/>
        <v>3.1000000000000014</v>
      </c>
      <c r="E82" s="25">
        <f t="shared" si="29"/>
        <v>3.9399999999999977</v>
      </c>
      <c r="F82" s="25">
        <f t="shared" si="29"/>
        <v>3.0799999999999983</v>
      </c>
      <c r="G82" s="49">
        <f t="shared" si="29"/>
        <v>2.9200000000000017</v>
      </c>
      <c r="H82" s="50"/>
      <c r="K82" s="5"/>
      <c r="M82" s="6"/>
    </row>
    <row r="83" spans="1:13" ht="12" customHeight="1">
      <c r="A83" s="26" t="s">
        <v>12</v>
      </c>
      <c r="B83" s="43">
        <f t="shared" si="28"/>
        <v>0</v>
      </c>
      <c r="C83" s="29">
        <f t="shared" ref="C83:G83" si="30">C82/B81</f>
        <v>0.19760653823701119</v>
      </c>
      <c r="D83" s="29">
        <f t="shared" si="30"/>
        <v>7.5554472337314188E-2</v>
      </c>
      <c r="E83" s="29">
        <f t="shared" si="30"/>
        <v>8.9281667799682704E-2</v>
      </c>
      <c r="F83" s="29">
        <f t="shared" si="30"/>
        <v>6.4073226544622386E-2</v>
      </c>
      <c r="G83" s="29">
        <f t="shared" si="30"/>
        <v>5.7086999022482932E-2</v>
      </c>
      <c r="H83" s="13"/>
      <c r="K83" s="5"/>
      <c r="M83" s="6"/>
    </row>
    <row r="84" spans="1:13" ht="12" customHeight="1">
      <c r="A84" s="18"/>
      <c r="B84" s="43"/>
      <c r="C84" s="44"/>
      <c r="D84" s="44"/>
      <c r="E84" s="44"/>
      <c r="F84" s="44"/>
      <c r="G84" s="44"/>
      <c r="H84" s="13"/>
      <c r="K84" s="5"/>
      <c r="M84" s="6"/>
    </row>
    <row r="85" spans="1:13" ht="12" customHeight="1">
      <c r="A85" s="18" t="s">
        <v>22</v>
      </c>
      <c r="B85" s="41">
        <f t="shared" ref="B85:G85" si="31">B86-B81</f>
        <v>0.25</v>
      </c>
      <c r="C85" s="41">
        <f t="shared" si="31"/>
        <v>-0.53999999999999915</v>
      </c>
      <c r="D85" s="41">
        <f t="shared" si="31"/>
        <v>0</v>
      </c>
      <c r="E85" s="41">
        <f t="shared" si="31"/>
        <v>0</v>
      </c>
      <c r="F85" s="41">
        <f t="shared" si="31"/>
        <v>0</v>
      </c>
      <c r="G85" s="41">
        <f t="shared" si="31"/>
        <v>0</v>
      </c>
      <c r="H85" s="13"/>
      <c r="K85" s="5"/>
      <c r="M85" s="6"/>
    </row>
    <row r="86" spans="1:13" ht="12" customHeight="1">
      <c r="A86" s="18" t="s">
        <v>23</v>
      </c>
      <c r="B86" s="41">
        <f t="shared" ref="B86:G86" si="32">B66</f>
        <v>34.51</v>
      </c>
      <c r="C86" s="41">
        <f t="shared" si="32"/>
        <v>40.49</v>
      </c>
      <c r="D86" s="41">
        <f t="shared" si="32"/>
        <v>44.13</v>
      </c>
      <c r="E86" s="41">
        <f t="shared" si="32"/>
        <v>48.07</v>
      </c>
      <c r="F86" s="41">
        <f t="shared" si="32"/>
        <v>51.15</v>
      </c>
      <c r="G86" s="41">
        <f t="shared" si="32"/>
        <v>54.07</v>
      </c>
      <c r="H86" s="13"/>
      <c r="K86" s="5"/>
      <c r="M86" s="6"/>
    </row>
    <row r="87" spans="1:13" ht="12" customHeight="1">
      <c r="A87" s="18" t="s">
        <v>11</v>
      </c>
      <c r="B87" s="43"/>
      <c r="C87" s="41">
        <f t="shared" ref="C87:G87" si="33">C67</f>
        <v>5.980000000000004</v>
      </c>
      <c r="D87" s="41">
        <f t="shared" si="33"/>
        <v>3.6400000000000006</v>
      </c>
      <c r="E87" s="41">
        <f t="shared" si="33"/>
        <v>3.9399999999999977</v>
      </c>
      <c r="F87" s="41">
        <f t="shared" si="33"/>
        <v>3.0799999999999983</v>
      </c>
      <c r="G87" s="41">
        <f t="shared" si="33"/>
        <v>2.9200000000000017</v>
      </c>
      <c r="H87" s="13"/>
      <c r="K87" s="5"/>
      <c r="M87" s="6"/>
    </row>
    <row r="88" spans="1:13" ht="12" customHeight="1">
      <c r="A88" s="26" t="s">
        <v>12</v>
      </c>
      <c r="B88" s="43"/>
      <c r="C88" s="45">
        <f t="shared" ref="C88:G88" si="34">C68</f>
        <v>0.17328310634598679</v>
      </c>
      <c r="D88" s="45">
        <f t="shared" si="34"/>
        <v>8.9898740429735752E-2</v>
      </c>
      <c r="E88" s="45">
        <f t="shared" si="34"/>
        <v>8.9281667799682704E-2</v>
      </c>
      <c r="F88" s="45">
        <f t="shared" si="34"/>
        <v>6.4073226544622386E-2</v>
      </c>
      <c r="G88" s="45">
        <f t="shared" si="34"/>
        <v>5.7086999022482932E-2</v>
      </c>
      <c r="H88" s="13"/>
      <c r="K88" s="5"/>
      <c r="M88" s="6"/>
    </row>
    <row r="89" spans="1:13" ht="12" customHeight="1">
      <c r="A89" s="18"/>
      <c r="B89" s="43"/>
      <c r="C89" s="44"/>
      <c r="D89" s="44"/>
      <c r="E89" s="44"/>
      <c r="F89" s="44"/>
      <c r="G89" s="44"/>
      <c r="H89" s="13"/>
      <c r="K89" s="5"/>
      <c r="M89" s="6"/>
    </row>
    <row r="90" spans="1:13" ht="12" customHeight="1">
      <c r="A90" s="51" t="s">
        <v>24</v>
      </c>
      <c r="B90" s="41">
        <f>'Res (750)'!H54</f>
        <v>137.91540940250002</v>
      </c>
      <c r="C90" s="41">
        <f>'Res (750)'!L54</f>
        <v>145.46142424499999</v>
      </c>
      <c r="D90" s="41">
        <f>'Res (750)'!S54</f>
        <v>148.880324245</v>
      </c>
      <c r="E90" s="41">
        <f>'Res (750)'!Z54</f>
        <v>152.44935960000001</v>
      </c>
      <c r="F90" s="41">
        <f>'Res (750)'!AG54</f>
        <v>155.24175959999999</v>
      </c>
      <c r="G90" s="41">
        <f>'Res (750)'!AN54</f>
        <v>157.89095959999997</v>
      </c>
      <c r="H90" s="13"/>
      <c r="K90" s="5"/>
      <c r="M90" s="6"/>
    </row>
    <row r="91" spans="1:13" ht="12" customHeight="1">
      <c r="A91" s="51"/>
      <c r="B91" s="43"/>
      <c r="C91" s="41">
        <f t="shared" ref="C91:G91" si="35">C90-B90</f>
        <v>7.5460148424999716</v>
      </c>
      <c r="D91" s="41">
        <f t="shared" si="35"/>
        <v>3.4189000000000078</v>
      </c>
      <c r="E91" s="41">
        <f t="shared" si="35"/>
        <v>3.5690353550000111</v>
      </c>
      <c r="F91" s="41">
        <f t="shared" si="35"/>
        <v>2.7923999999999864</v>
      </c>
      <c r="G91" s="41">
        <f t="shared" si="35"/>
        <v>2.6491999999999791</v>
      </c>
      <c r="H91" s="13"/>
      <c r="K91" s="5"/>
      <c r="M91" s="6"/>
    </row>
    <row r="92" spans="1:13" ht="12" customHeight="1">
      <c r="A92" s="18" t="s">
        <v>14</v>
      </c>
      <c r="B92" s="43">
        <f t="shared" ref="B92:B93" si="36">B31</f>
        <v>0</v>
      </c>
      <c r="C92" s="44">
        <f t="shared" ref="C92:G92" si="37">C91/B90</f>
        <v>5.4714805801556674E-2</v>
      </c>
      <c r="D92" s="44">
        <f t="shared" si="37"/>
        <v>2.3503825964480939E-2</v>
      </c>
      <c r="E92" s="44">
        <f t="shared" si="37"/>
        <v>2.3972511969592072E-2</v>
      </c>
      <c r="F92" s="44">
        <f t="shared" si="37"/>
        <v>1.8316902132791815E-2</v>
      </c>
      <c r="G92" s="44">
        <f t="shared" si="37"/>
        <v>1.7064995957440689E-2</v>
      </c>
      <c r="H92" s="13"/>
      <c r="K92" s="5"/>
      <c r="M92" s="6"/>
    </row>
    <row r="93" spans="1:13" ht="12" customHeight="1">
      <c r="A93" s="18" t="s">
        <v>25</v>
      </c>
      <c r="B93" s="43">
        <f t="shared" si="36"/>
        <v>0</v>
      </c>
      <c r="C93" s="44">
        <f t="shared" ref="C93:G93" si="38">C13</f>
        <v>5.4714805801556625E-2</v>
      </c>
      <c r="D93" s="44">
        <f t="shared" si="38"/>
        <v>2.3503825964480845E-2</v>
      </c>
      <c r="E93" s="44">
        <f t="shared" si="38"/>
        <v>2.3972511969592047E-2</v>
      </c>
      <c r="F93" s="44">
        <f t="shared" si="38"/>
        <v>1.8316902132791933E-2</v>
      </c>
      <c r="G93" s="44">
        <f t="shared" si="38"/>
        <v>1.7064995957440706E-2</v>
      </c>
      <c r="H93" s="13"/>
      <c r="K93" s="5"/>
      <c r="M93" s="6"/>
    </row>
    <row r="94" spans="1:13" ht="12" customHeight="1">
      <c r="A94" s="3"/>
      <c r="B94" s="3"/>
      <c r="C94" s="3"/>
      <c r="D94" s="3"/>
      <c r="E94" s="3"/>
      <c r="F94" s="3"/>
      <c r="G94" s="3"/>
      <c r="K94" s="5"/>
      <c r="M94" s="6"/>
    </row>
    <row r="95" spans="1:13" ht="12" customHeight="1">
      <c r="A95" s="3"/>
      <c r="B95" s="3"/>
      <c r="C95" s="3"/>
      <c r="D95" s="3"/>
      <c r="E95" s="3"/>
      <c r="F95" s="3"/>
      <c r="G95" s="3"/>
      <c r="K95" s="5"/>
      <c r="M95" s="6"/>
    </row>
    <row r="96" spans="1:13" ht="12" customHeight="1">
      <c r="A96" s="3"/>
      <c r="B96" s="3"/>
      <c r="C96" s="3"/>
      <c r="D96" s="3"/>
      <c r="E96" s="3"/>
      <c r="F96" s="3"/>
      <c r="G96" s="3"/>
      <c r="K96" s="5"/>
      <c r="M96" s="6"/>
    </row>
    <row r="97" spans="1:13" ht="12" customHeight="1">
      <c r="A97" s="3"/>
      <c r="B97" s="3"/>
      <c r="C97" s="3"/>
      <c r="D97" s="3"/>
      <c r="E97" s="3"/>
      <c r="F97" s="3"/>
      <c r="G97" s="3"/>
      <c r="K97" s="5"/>
      <c r="M97" s="6"/>
    </row>
    <row r="98" spans="1:13" ht="12" customHeight="1">
      <c r="A98" s="3"/>
      <c r="B98" s="3"/>
      <c r="C98" s="3"/>
      <c r="D98" s="3"/>
      <c r="E98" s="3"/>
      <c r="F98" s="3"/>
      <c r="G98" s="3"/>
      <c r="K98" s="5"/>
      <c r="M98" s="6"/>
    </row>
    <row r="99" spans="1:13" ht="12" customHeight="1">
      <c r="A99" s="3"/>
      <c r="B99" s="3"/>
      <c r="C99" s="3"/>
      <c r="D99" s="3"/>
      <c r="E99" s="3"/>
      <c r="F99" s="3"/>
      <c r="G99" s="3"/>
      <c r="K99" s="5"/>
      <c r="M99" s="6"/>
    </row>
    <row r="100" spans="1:13" ht="12" customHeight="1">
      <c r="A100" s="3"/>
      <c r="B100" s="3"/>
      <c r="C100" s="3"/>
      <c r="D100" s="3"/>
      <c r="E100" s="3"/>
      <c r="F100" s="3"/>
      <c r="G100" s="3"/>
      <c r="K100" s="5"/>
      <c r="M100" s="6"/>
    </row>
    <row r="101" spans="1:13" ht="12" customHeight="1">
      <c r="A101" s="3"/>
      <c r="B101" s="3"/>
      <c r="C101" s="3"/>
      <c r="D101" s="3"/>
      <c r="E101" s="3"/>
      <c r="F101" s="3"/>
      <c r="G101" s="3"/>
      <c r="K101" s="5"/>
      <c r="M101" s="6"/>
    </row>
    <row r="102" spans="1:13" ht="12" customHeight="1">
      <c r="A102" s="3"/>
      <c r="B102" s="3"/>
      <c r="C102" s="3"/>
      <c r="D102" s="3"/>
      <c r="E102" s="3"/>
      <c r="F102" s="3"/>
      <c r="G102" s="3"/>
      <c r="K102" s="5"/>
      <c r="M102" s="6"/>
    </row>
    <row r="103" spans="1:13" ht="12" customHeight="1">
      <c r="A103" s="3"/>
      <c r="B103" s="3"/>
      <c r="C103" s="3"/>
      <c r="D103" s="3"/>
      <c r="E103" s="3"/>
      <c r="F103" s="3"/>
      <c r="G103" s="3"/>
      <c r="K103" s="5"/>
      <c r="M103" s="6"/>
    </row>
    <row r="104" spans="1:13" ht="12" customHeight="1">
      <c r="A104" s="3"/>
      <c r="B104" s="3"/>
      <c r="C104" s="3"/>
      <c r="D104" s="3"/>
      <c r="E104" s="3"/>
      <c r="F104" s="3"/>
      <c r="G104" s="3"/>
      <c r="K104" s="5"/>
      <c r="M104" s="6"/>
    </row>
    <row r="105" spans="1:13" ht="12" customHeight="1">
      <c r="A105" s="3"/>
      <c r="B105" s="3"/>
      <c r="C105" s="3"/>
      <c r="D105" s="3"/>
      <c r="E105" s="3"/>
      <c r="F105" s="3"/>
      <c r="G105" s="3"/>
      <c r="K105" s="5"/>
      <c r="M105" s="6"/>
    </row>
    <row r="106" spans="1:13" ht="12" customHeight="1">
      <c r="A106" s="3"/>
      <c r="B106" s="3"/>
      <c r="C106" s="3"/>
      <c r="D106" s="3"/>
      <c r="E106" s="3"/>
      <c r="F106" s="3"/>
      <c r="G106" s="3"/>
      <c r="K106" s="5"/>
      <c r="M106" s="6"/>
    </row>
    <row r="107" spans="1:13" ht="12" customHeight="1">
      <c r="A107" s="3"/>
      <c r="B107" s="3"/>
      <c r="C107" s="3"/>
      <c r="D107" s="3"/>
      <c r="E107" s="3"/>
      <c r="F107" s="3"/>
      <c r="G107" s="3"/>
      <c r="K107" s="5"/>
      <c r="M107" s="6"/>
    </row>
    <row r="108" spans="1:13" ht="12" customHeight="1">
      <c r="A108" s="3"/>
      <c r="B108" s="3"/>
      <c r="C108" s="3"/>
      <c r="D108" s="3"/>
      <c r="E108" s="3"/>
      <c r="F108" s="3"/>
      <c r="G108" s="3"/>
      <c r="K108" s="5"/>
      <c r="M108" s="6"/>
    </row>
    <row r="109" spans="1:13" ht="12" customHeight="1">
      <c r="A109" s="3"/>
      <c r="B109" s="3"/>
      <c r="C109" s="3"/>
      <c r="D109" s="3"/>
      <c r="E109" s="3"/>
      <c r="F109" s="3"/>
      <c r="G109" s="3"/>
      <c r="K109" s="5"/>
      <c r="M109" s="6"/>
    </row>
    <row r="110" spans="1:13" ht="12" customHeight="1">
      <c r="A110" s="3"/>
      <c r="B110" s="3"/>
      <c r="C110" s="3"/>
      <c r="D110" s="3"/>
      <c r="E110" s="3"/>
      <c r="F110" s="3"/>
      <c r="G110" s="3"/>
      <c r="K110" s="5"/>
      <c r="M110" s="6"/>
    </row>
    <row r="111" spans="1:13" ht="12" customHeight="1">
      <c r="A111" s="3"/>
      <c r="B111" s="3"/>
      <c r="C111" s="3"/>
      <c r="D111" s="3"/>
      <c r="E111" s="3"/>
      <c r="F111" s="3"/>
      <c r="G111" s="3"/>
      <c r="K111" s="5"/>
      <c r="M111" s="6"/>
    </row>
    <row r="112" spans="1:13" ht="12" customHeight="1">
      <c r="A112" s="3"/>
      <c r="B112" s="3"/>
      <c r="C112" s="3"/>
      <c r="D112" s="3"/>
      <c r="E112" s="3"/>
      <c r="F112" s="3"/>
      <c r="G112" s="3"/>
      <c r="K112" s="5"/>
      <c r="M112" s="6"/>
    </row>
    <row r="113" spans="1:18" ht="12" customHeight="1">
      <c r="A113" s="3"/>
      <c r="B113" s="3"/>
      <c r="C113" s="3"/>
      <c r="D113" s="3"/>
      <c r="E113" s="3"/>
      <c r="F113" s="3"/>
      <c r="G113" s="3"/>
      <c r="K113" s="5"/>
      <c r="M113" s="6"/>
    </row>
    <row r="114" spans="1:18" ht="12" customHeight="1">
      <c r="A114" s="3"/>
      <c r="B114" s="3"/>
      <c r="C114" s="3"/>
      <c r="D114" s="3"/>
      <c r="E114" s="3"/>
      <c r="F114" s="3"/>
      <c r="G114" s="3"/>
      <c r="K114" s="5"/>
      <c r="M114" s="6"/>
    </row>
    <row r="115" spans="1:18" ht="12" customHeight="1">
      <c r="A115" s="3"/>
      <c r="B115" s="3"/>
      <c r="C115" s="3"/>
      <c r="D115" s="3"/>
      <c r="E115" s="3"/>
      <c r="F115" s="3"/>
      <c r="G115" s="3"/>
      <c r="K115" s="5"/>
      <c r="M115" s="6"/>
    </row>
    <row r="116" spans="1:18" ht="12" customHeight="1">
      <c r="A116" s="3"/>
      <c r="B116" s="3"/>
      <c r="C116" s="3"/>
      <c r="D116" s="3"/>
      <c r="E116" s="3"/>
      <c r="F116" s="3"/>
      <c r="G116" s="3"/>
      <c r="K116" s="5"/>
      <c r="M116" s="6"/>
    </row>
    <row r="117" spans="1:18" ht="12" customHeight="1">
      <c r="A117" s="3"/>
      <c r="B117" s="3"/>
      <c r="C117" s="3"/>
      <c r="D117" s="3"/>
      <c r="E117" s="3"/>
      <c r="F117" s="3"/>
      <c r="G117" s="3"/>
      <c r="K117" s="5"/>
      <c r="M117" s="6"/>
    </row>
    <row r="118" spans="1:18" ht="12" customHeight="1">
      <c r="A118" s="3"/>
      <c r="B118" s="3"/>
      <c r="C118" s="3"/>
      <c r="D118" s="3"/>
      <c r="E118" s="3"/>
      <c r="F118" s="3"/>
      <c r="G118" s="3"/>
      <c r="K118" s="5"/>
      <c r="M118" s="6"/>
    </row>
    <row r="119" spans="1:18" ht="12" customHeight="1">
      <c r="A119" s="3"/>
      <c r="B119" s="3"/>
      <c r="C119" s="3"/>
      <c r="D119" s="3"/>
      <c r="E119" s="3"/>
      <c r="F119" s="3"/>
      <c r="G119" s="3"/>
      <c r="K119" s="5"/>
      <c r="M119" s="6"/>
    </row>
    <row r="120" spans="1:18" ht="12" customHeight="1">
      <c r="A120" s="3"/>
      <c r="B120" s="3"/>
      <c r="C120" s="3"/>
      <c r="D120" s="3"/>
      <c r="E120" s="3"/>
      <c r="F120" s="3"/>
      <c r="G120" s="3"/>
      <c r="K120" s="5"/>
      <c r="M120" s="6"/>
    </row>
    <row r="121" spans="1:18" ht="12" customHeight="1">
      <c r="A121" s="3"/>
      <c r="B121" s="3"/>
      <c r="C121" s="3"/>
      <c r="D121" s="3"/>
      <c r="E121" s="3"/>
      <c r="F121" s="3"/>
      <c r="G121" s="3"/>
      <c r="K121" s="5"/>
      <c r="M121" s="6"/>
    </row>
    <row r="122" spans="1:18" ht="12" customHeight="1">
      <c r="A122" s="3"/>
      <c r="B122" s="3"/>
      <c r="C122" s="3"/>
      <c r="D122" s="3"/>
      <c r="E122" s="3"/>
      <c r="F122" s="3"/>
      <c r="G122" s="3"/>
      <c r="K122" s="5"/>
      <c r="M122" s="6"/>
    </row>
    <row r="123" spans="1:18" ht="12" customHeight="1">
      <c r="A123" s="52"/>
      <c r="B123" s="52"/>
      <c r="C123" s="52"/>
      <c r="D123" s="52"/>
      <c r="E123" s="52"/>
      <c r="F123" s="52"/>
      <c r="G123" s="52"/>
      <c r="H123" s="52"/>
      <c r="J123" s="52"/>
      <c r="K123" s="5"/>
      <c r="L123" s="52"/>
      <c r="M123" s="6"/>
      <c r="N123" s="52"/>
      <c r="O123" s="52"/>
      <c r="P123" s="52"/>
      <c r="Q123" s="52"/>
      <c r="R123" s="52"/>
    </row>
    <row r="124" spans="1:18" ht="12" customHeight="1">
      <c r="A124" s="3"/>
      <c r="B124" s="3"/>
      <c r="C124" s="3"/>
      <c r="D124" s="3"/>
      <c r="E124" s="3"/>
      <c r="F124" s="3"/>
      <c r="G124" s="3"/>
      <c r="K124" s="5"/>
      <c r="M124" s="6"/>
    </row>
    <row r="125" spans="1:18" ht="12" customHeight="1">
      <c r="A125" s="3"/>
      <c r="B125" s="3"/>
      <c r="C125" s="3"/>
      <c r="D125" s="3"/>
      <c r="E125" s="3"/>
      <c r="F125" s="3"/>
      <c r="G125" s="3"/>
      <c r="K125" s="5"/>
      <c r="M125" s="6"/>
    </row>
    <row r="126" spans="1:18" ht="12" customHeight="1">
      <c r="A126" s="3"/>
      <c r="B126" s="3"/>
      <c r="C126" s="3"/>
      <c r="D126" s="3"/>
      <c r="E126" s="3"/>
      <c r="F126" s="3"/>
      <c r="G126" s="3"/>
      <c r="K126" s="5"/>
      <c r="M126" s="6"/>
    </row>
    <row r="127" spans="1:18" ht="12" customHeight="1">
      <c r="A127" s="3"/>
      <c r="B127" s="3"/>
      <c r="C127" s="3"/>
      <c r="D127" s="3"/>
      <c r="E127" s="3"/>
      <c r="F127" s="3"/>
      <c r="G127" s="3"/>
      <c r="K127" s="5"/>
      <c r="M127" s="6"/>
    </row>
    <row r="128" spans="1:18" ht="12" customHeight="1">
      <c r="A128" s="3"/>
      <c r="B128" s="3"/>
      <c r="C128" s="3"/>
      <c r="D128" s="3"/>
      <c r="E128" s="3"/>
      <c r="F128" s="3"/>
      <c r="G128" s="3"/>
      <c r="K128" s="5"/>
      <c r="M128" s="6"/>
    </row>
    <row r="129" spans="1:13" ht="12" customHeight="1">
      <c r="A129" s="3"/>
      <c r="B129" s="3"/>
      <c r="C129" s="3"/>
      <c r="D129" s="3"/>
      <c r="E129" s="3"/>
      <c r="F129" s="3"/>
      <c r="G129" s="3"/>
      <c r="K129" s="5"/>
      <c r="M129" s="6"/>
    </row>
    <row r="130" spans="1:13" ht="12" customHeight="1">
      <c r="A130" s="3"/>
      <c r="B130" s="3"/>
      <c r="C130" s="3"/>
      <c r="D130" s="3"/>
      <c r="E130" s="3"/>
      <c r="F130" s="3"/>
      <c r="G130" s="3"/>
      <c r="K130" s="5"/>
      <c r="M130" s="6"/>
    </row>
    <row r="131" spans="1:13" ht="12" customHeight="1">
      <c r="A131" s="3"/>
      <c r="B131" s="3"/>
      <c r="C131" s="3"/>
      <c r="D131" s="3"/>
      <c r="E131" s="3"/>
      <c r="F131" s="3"/>
      <c r="G131" s="3"/>
      <c r="K131" s="5"/>
      <c r="M131" s="6"/>
    </row>
    <row r="132" spans="1:13" ht="12" customHeight="1">
      <c r="A132" s="3"/>
      <c r="B132" s="3"/>
      <c r="C132" s="3"/>
      <c r="D132" s="3"/>
      <c r="E132" s="3"/>
      <c r="F132" s="3"/>
      <c r="G132" s="3"/>
      <c r="K132" s="5"/>
      <c r="M132" s="6"/>
    </row>
    <row r="133" spans="1:13" ht="12" customHeight="1">
      <c r="A133" s="3"/>
      <c r="B133" s="3"/>
      <c r="C133" s="3"/>
      <c r="D133" s="3"/>
      <c r="E133" s="3"/>
      <c r="F133" s="3"/>
      <c r="G133" s="3"/>
      <c r="K133" s="5"/>
      <c r="M133" s="6"/>
    </row>
    <row r="134" spans="1:13" ht="12" customHeight="1">
      <c r="A134" s="3"/>
      <c r="B134" s="3"/>
      <c r="C134" s="3"/>
      <c r="D134" s="3"/>
      <c r="E134" s="3"/>
      <c r="F134" s="3"/>
      <c r="G134" s="3"/>
      <c r="K134" s="5"/>
      <c r="M134" s="6"/>
    </row>
    <row r="135" spans="1:13" ht="12" customHeight="1">
      <c r="A135" s="3"/>
      <c r="B135" s="3"/>
      <c r="C135" s="3"/>
      <c r="D135" s="3"/>
      <c r="E135" s="3"/>
      <c r="F135" s="3"/>
      <c r="G135" s="3"/>
      <c r="K135" s="5"/>
      <c r="M135" s="6"/>
    </row>
    <row r="136" spans="1:13" ht="12" customHeight="1">
      <c r="A136" s="3"/>
      <c r="B136" s="3"/>
      <c r="C136" s="3"/>
      <c r="D136" s="3"/>
      <c r="E136" s="3"/>
      <c r="F136" s="3"/>
      <c r="G136" s="3"/>
      <c r="K136" s="5"/>
      <c r="M136" s="6"/>
    </row>
    <row r="137" spans="1:13" ht="12" customHeight="1">
      <c r="A137" s="3"/>
      <c r="B137" s="3"/>
      <c r="C137" s="3"/>
      <c r="D137" s="3"/>
      <c r="E137" s="3"/>
      <c r="F137" s="3"/>
      <c r="G137" s="3"/>
      <c r="K137" s="5"/>
      <c r="M137" s="6"/>
    </row>
    <row r="138" spans="1:13" ht="12" customHeight="1">
      <c r="A138" s="3"/>
      <c r="B138" s="3"/>
      <c r="C138" s="3"/>
      <c r="D138" s="3"/>
      <c r="E138" s="3"/>
      <c r="F138" s="3"/>
      <c r="G138" s="3"/>
      <c r="K138" s="5"/>
      <c r="M138" s="6"/>
    </row>
    <row r="139" spans="1:13" ht="12" customHeight="1">
      <c r="A139" s="3"/>
      <c r="B139" s="3"/>
      <c r="C139" s="3"/>
      <c r="D139" s="3"/>
      <c r="E139" s="3"/>
      <c r="F139" s="3"/>
      <c r="G139" s="3"/>
      <c r="K139" s="5"/>
      <c r="M139" s="6"/>
    </row>
    <row r="140" spans="1:13" ht="12" customHeight="1">
      <c r="A140" s="3"/>
      <c r="B140" s="3"/>
      <c r="C140" s="3"/>
      <c r="D140" s="3"/>
      <c r="E140" s="3"/>
      <c r="F140" s="3"/>
      <c r="G140" s="3"/>
      <c r="K140" s="5"/>
      <c r="M140" s="6"/>
    </row>
    <row r="141" spans="1:13" ht="12" customHeight="1">
      <c r="A141" s="3"/>
      <c r="B141" s="3"/>
      <c r="C141" s="3"/>
      <c r="D141" s="3"/>
      <c r="E141" s="3"/>
      <c r="F141" s="3"/>
      <c r="G141" s="3"/>
      <c r="K141" s="5"/>
      <c r="M141" s="6"/>
    </row>
    <row r="142" spans="1:13" ht="12" customHeight="1">
      <c r="A142" s="3"/>
      <c r="B142" s="3"/>
      <c r="C142" s="3"/>
      <c r="D142" s="3"/>
      <c r="E142" s="3"/>
      <c r="F142" s="3"/>
      <c r="G142" s="3"/>
      <c r="K142" s="5"/>
      <c r="M142" s="6"/>
    </row>
    <row r="143" spans="1:13" ht="12" customHeight="1">
      <c r="A143" s="3"/>
      <c r="B143" s="3"/>
      <c r="C143" s="3"/>
      <c r="D143" s="3"/>
      <c r="E143" s="3"/>
      <c r="F143" s="3"/>
      <c r="G143" s="3"/>
      <c r="K143" s="5"/>
      <c r="M143" s="6"/>
    </row>
    <row r="144" spans="1:13" ht="12" customHeight="1">
      <c r="A144" s="3"/>
      <c r="B144" s="3"/>
      <c r="C144" s="3"/>
      <c r="D144" s="3"/>
      <c r="E144" s="3"/>
      <c r="F144" s="3"/>
      <c r="G144" s="3"/>
      <c r="K144" s="5"/>
      <c r="M144" s="6"/>
    </row>
    <row r="145" spans="1:13" ht="12" customHeight="1">
      <c r="A145" s="3"/>
      <c r="B145" s="3"/>
      <c r="C145" s="3"/>
      <c r="D145" s="3"/>
      <c r="E145" s="3"/>
      <c r="F145" s="3"/>
      <c r="G145" s="3"/>
      <c r="K145" s="5"/>
      <c r="M145" s="6"/>
    </row>
    <row r="146" spans="1:13" ht="12" customHeight="1">
      <c r="A146" s="3"/>
      <c r="B146" s="3"/>
      <c r="C146" s="3"/>
      <c r="D146" s="3"/>
      <c r="E146" s="3"/>
      <c r="F146" s="3"/>
      <c r="G146" s="3"/>
      <c r="K146" s="5"/>
      <c r="M146" s="6"/>
    </row>
    <row r="147" spans="1:13" ht="12" customHeight="1">
      <c r="A147" s="3"/>
      <c r="B147" s="3"/>
      <c r="C147" s="3"/>
      <c r="D147" s="3"/>
      <c r="E147" s="3"/>
      <c r="F147" s="3"/>
      <c r="G147" s="3"/>
      <c r="K147" s="5"/>
      <c r="M147" s="6"/>
    </row>
    <row r="148" spans="1:13" ht="12" customHeight="1">
      <c r="A148" s="3"/>
      <c r="B148" s="3"/>
      <c r="C148" s="3"/>
      <c r="D148" s="3"/>
      <c r="E148" s="3"/>
      <c r="F148" s="3"/>
      <c r="G148" s="3"/>
      <c r="K148" s="5"/>
      <c r="M148" s="6"/>
    </row>
    <row r="149" spans="1:13" ht="12" customHeight="1">
      <c r="A149" s="3"/>
      <c r="B149" s="3"/>
      <c r="C149" s="3"/>
      <c r="D149" s="3"/>
      <c r="E149" s="3"/>
      <c r="F149" s="3"/>
      <c r="G149" s="3"/>
      <c r="K149" s="5"/>
      <c r="M149" s="6"/>
    </row>
    <row r="150" spans="1:13" ht="12" customHeight="1">
      <c r="A150" s="3"/>
      <c r="B150" s="3"/>
      <c r="C150" s="3"/>
      <c r="D150" s="3"/>
      <c r="E150" s="3"/>
      <c r="F150" s="3"/>
      <c r="G150" s="3"/>
      <c r="K150" s="5"/>
      <c r="M150" s="6"/>
    </row>
    <row r="151" spans="1:13" ht="12" customHeight="1">
      <c r="A151" s="3"/>
      <c r="B151" s="3"/>
      <c r="C151" s="3"/>
      <c r="D151" s="3"/>
      <c r="E151" s="3"/>
      <c r="F151" s="3"/>
      <c r="G151" s="3"/>
      <c r="K151" s="5"/>
      <c r="M151" s="6"/>
    </row>
    <row r="152" spans="1:13" ht="12" customHeight="1">
      <c r="A152" s="3"/>
      <c r="B152" s="3"/>
      <c r="C152" s="3"/>
      <c r="D152" s="3"/>
      <c r="E152" s="3"/>
      <c r="F152" s="3"/>
      <c r="G152" s="3"/>
      <c r="K152" s="5"/>
      <c r="M152" s="6"/>
    </row>
    <row r="153" spans="1:13" ht="12" customHeight="1">
      <c r="A153" s="3"/>
      <c r="B153" s="3"/>
      <c r="C153" s="3"/>
      <c r="D153" s="3"/>
      <c r="E153" s="3"/>
      <c r="F153" s="3"/>
      <c r="G153" s="3"/>
      <c r="K153" s="5"/>
      <c r="M153" s="6"/>
    </row>
    <row r="154" spans="1:13" ht="12" customHeight="1">
      <c r="A154" s="3"/>
      <c r="B154" s="3"/>
      <c r="C154" s="3"/>
      <c r="D154" s="3"/>
      <c r="E154" s="3"/>
      <c r="F154" s="3"/>
      <c r="G154" s="3"/>
      <c r="K154" s="5"/>
      <c r="M154" s="6"/>
    </row>
    <row r="155" spans="1:13" ht="12" customHeight="1">
      <c r="A155" s="3"/>
      <c r="B155" s="3"/>
      <c r="C155" s="3"/>
      <c r="D155" s="3"/>
      <c r="E155" s="3"/>
      <c r="F155" s="3"/>
      <c r="G155" s="3"/>
      <c r="K155" s="5"/>
      <c r="M155" s="6"/>
    </row>
    <row r="156" spans="1:13" ht="12" customHeight="1">
      <c r="A156" s="3"/>
      <c r="B156" s="3"/>
      <c r="C156" s="3"/>
      <c r="D156" s="3"/>
      <c r="E156" s="3"/>
      <c r="F156" s="3"/>
      <c r="G156" s="3"/>
      <c r="K156" s="5"/>
      <c r="M156" s="6"/>
    </row>
    <row r="157" spans="1:13" ht="12" customHeight="1">
      <c r="A157" s="3"/>
      <c r="B157" s="3"/>
      <c r="C157" s="3"/>
      <c r="D157" s="3"/>
      <c r="E157" s="3"/>
      <c r="F157" s="3"/>
      <c r="G157" s="3"/>
      <c r="K157" s="5"/>
      <c r="M157" s="6"/>
    </row>
    <row r="158" spans="1:13" ht="12" customHeight="1">
      <c r="A158" s="3"/>
      <c r="B158" s="3"/>
      <c r="C158" s="3"/>
      <c r="D158" s="3"/>
      <c r="E158" s="3"/>
      <c r="F158" s="3"/>
      <c r="G158" s="3"/>
      <c r="K158" s="5"/>
      <c r="M158" s="6"/>
    </row>
    <row r="159" spans="1:13" ht="12" customHeight="1">
      <c r="A159" s="3"/>
      <c r="B159" s="3"/>
      <c r="C159" s="3"/>
      <c r="D159" s="3"/>
      <c r="E159" s="3"/>
      <c r="F159" s="3"/>
      <c r="G159" s="3"/>
      <c r="K159" s="5"/>
      <c r="M159" s="6"/>
    </row>
    <row r="160" spans="1:13" ht="12" customHeight="1">
      <c r="A160" s="3"/>
      <c r="B160" s="3"/>
      <c r="C160" s="3"/>
      <c r="D160" s="3"/>
      <c r="E160" s="3"/>
      <c r="F160" s="3"/>
      <c r="G160" s="3"/>
      <c r="K160" s="5"/>
      <c r="M160" s="6"/>
    </row>
    <row r="161" spans="1:13" ht="12" customHeight="1">
      <c r="A161" s="3"/>
      <c r="B161" s="3"/>
      <c r="C161" s="3"/>
      <c r="D161" s="3"/>
      <c r="E161" s="3"/>
      <c r="F161" s="3"/>
      <c r="G161" s="3"/>
      <c r="K161" s="5"/>
      <c r="M161" s="6"/>
    </row>
    <row r="162" spans="1:13" ht="12" customHeight="1">
      <c r="A162" s="3"/>
      <c r="B162" s="3"/>
      <c r="C162" s="3"/>
      <c r="D162" s="3"/>
      <c r="E162" s="3"/>
      <c r="F162" s="3"/>
      <c r="G162" s="3"/>
      <c r="K162" s="5"/>
      <c r="M162" s="6"/>
    </row>
    <row r="163" spans="1:13" ht="12" customHeight="1">
      <c r="A163" s="3"/>
      <c r="B163" s="3"/>
      <c r="C163" s="3"/>
      <c r="D163" s="3"/>
      <c r="E163" s="3"/>
      <c r="F163" s="3"/>
      <c r="G163" s="3"/>
      <c r="K163" s="5"/>
      <c r="M163" s="6"/>
    </row>
    <row r="164" spans="1:13" ht="12" customHeight="1">
      <c r="A164" s="3"/>
      <c r="B164" s="3"/>
      <c r="C164" s="3"/>
      <c r="D164" s="3"/>
      <c r="E164" s="3"/>
      <c r="F164" s="3"/>
      <c r="G164" s="3"/>
      <c r="K164" s="5"/>
      <c r="M164" s="6"/>
    </row>
    <row r="165" spans="1:13" ht="12" customHeight="1">
      <c r="A165" s="3"/>
      <c r="B165" s="3"/>
      <c r="C165" s="3"/>
      <c r="D165" s="3"/>
      <c r="E165" s="3"/>
      <c r="F165" s="3"/>
      <c r="G165" s="3"/>
      <c r="K165" s="5"/>
      <c r="M165" s="6"/>
    </row>
    <row r="166" spans="1:13" ht="12" customHeight="1">
      <c r="A166" s="3"/>
      <c r="B166" s="3"/>
      <c r="C166" s="3"/>
      <c r="D166" s="3"/>
      <c r="E166" s="3"/>
      <c r="F166" s="3"/>
      <c r="G166" s="3"/>
      <c r="K166" s="5"/>
      <c r="M166" s="6"/>
    </row>
    <row r="167" spans="1:13" ht="12" customHeight="1">
      <c r="A167" s="3"/>
      <c r="B167" s="3"/>
      <c r="C167" s="3"/>
      <c r="D167" s="3"/>
      <c r="E167" s="3"/>
      <c r="F167" s="3"/>
      <c r="G167" s="3"/>
      <c r="K167" s="5"/>
      <c r="M167" s="6"/>
    </row>
    <row r="168" spans="1:13" ht="12" customHeight="1">
      <c r="A168" s="3"/>
      <c r="B168" s="3"/>
      <c r="C168" s="3"/>
      <c r="D168" s="3"/>
      <c r="E168" s="3"/>
      <c r="F168" s="3"/>
      <c r="G168" s="3"/>
      <c r="K168" s="5"/>
      <c r="M168" s="6"/>
    </row>
    <row r="169" spans="1:13" ht="12" customHeight="1">
      <c r="A169" s="3"/>
      <c r="B169" s="3"/>
      <c r="C169" s="3"/>
      <c r="D169" s="3"/>
      <c r="E169" s="3"/>
      <c r="F169" s="3"/>
      <c r="G169" s="3"/>
      <c r="K169" s="5"/>
      <c r="M169" s="6"/>
    </row>
    <row r="170" spans="1:13" ht="12" customHeight="1">
      <c r="A170" s="3"/>
      <c r="B170" s="3"/>
      <c r="C170" s="3"/>
      <c r="D170" s="3"/>
      <c r="E170" s="3"/>
      <c r="F170" s="3"/>
      <c r="G170" s="3"/>
      <c r="K170" s="5"/>
      <c r="M170" s="6"/>
    </row>
    <row r="171" spans="1:13" ht="12" customHeight="1">
      <c r="A171" s="3"/>
      <c r="B171" s="3"/>
      <c r="C171" s="3"/>
      <c r="D171" s="3"/>
      <c r="E171" s="3"/>
      <c r="F171" s="3"/>
      <c r="G171" s="3"/>
      <c r="K171" s="5"/>
      <c r="M171" s="6"/>
    </row>
    <row r="172" spans="1:13" ht="12" customHeight="1">
      <c r="A172" s="3"/>
      <c r="B172" s="3"/>
      <c r="C172" s="3"/>
      <c r="D172" s="3"/>
      <c r="E172" s="3"/>
      <c r="F172" s="3"/>
      <c r="G172" s="3"/>
      <c r="K172" s="5"/>
      <c r="M172" s="6"/>
    </row>
    <row r="173" spans="1:13" ht="12" customHeight="1">
      <c r="A173" s="3"/>
      <c r="B173" s="3"/>
      <c r="C173" s="3"/>
      <c r="D173" s="3"/>
      <c r="E173" s="3"/>
      <c r="F173" s="3"/>
      <c r="G173" s="3"/>
      <c r="K173" s="5"/>
      <c r="M173" s="6"/>
    </row>
    <row r="174" spans="1:13" ht="12" customHeight="1">
      <c r="A174" s="3"/>
      <c r="B174" s="3"/>
      <c r="C174" s="3"/>
      <c r="D174" s="3"/>
      <c r="E174" s="3"/>
      <c r="F174" s="3"/>
      <c r="G174" s="3"/>
      <c r="K174" s="5"/>
      <c r="M174" s="6"/>
    </row>
    <row r="175" spans="1:13" ht="12" customHeight="1">
      <c r="A175" s="3"/>
      <c r="B175" s="3"/>
      <c r="C175" s="3"/>
      <c r="D175" s="3"/>
      <c r="E175" s="3"/>
      <c r="F175" s="3"/>
      <c r="G175" s="3"/>
      <c r="K175" s="5"/>
      <c r="M175" s="6"/>
    </row>
    <row r="176" spans="1:13" ht="12" customHeight="1">
      <c r="A176" s="3"/>
      <c r="B176" s="3"/>
      <c r="C176" s="3"/>
      <c r="D176" s="3"/>
      <c r="E176" s="3"/>
      <c r="F176" s="3"/>
      <c r="G176" s="3"/>
      <c r="K176" s="5"/>
      <c r="M176" s="6"/>
    </row>
    <row r="177" spans="1:13" ht="12" customHeight="1">
      <c r="A177" s="3"/>
      <c r="B177" s="3"/>
      <c r="C177" s="3"/>
      <c r="D177" s="3"/>
      <c r="E177" s="3"/>
      <c r="F177" s="3"/>
      <c r="G177" s="3"/>
      <c r="K177" s="5"/>
      <c r="M177" s="6"/>
    </row>
    <row r="178" spans="1:13" ht="12" customHeight="1">
      <c r="A178" s="3"/>
      <c r="B178" s="3"/>
      <c r="C178" s="3"/>
      <c r="D178" s="3"/>
      <c r="E178" s="3"/>
      <c r="F178" s="3"/>
      <c r="G178" s="3"/>
      <c r="K178" s="5"/>
      <c r="M178" s="6"/>
    </row>
    <row r="179" spans="1:13" ht="12" customHeight="1">
      <c r="A179" s="3"/>
      <c r="B179" s="3"/>
      <c r="C179" s="3"/>
      <c r="D179" s="3"/>
      <c r="E179" s="3"/>
      <c r="F179" s="3"/>
      <c r="G179" s="3"/>
      <c r="K179" s="5"/>
      <c r="M179" s="6"/>
    </row>
    <row r="180" spans="1:13" ht="12" customHeight="1">
      <c r="A180" s="3"/>
      <c r="B180" s="3"/>
      <c r="C180" s="3"/>
      <c r="D180" s="3"/>
      <c r="E180" s="3"/>
      <c r="F180" s="3"/>
      <c r="G180" s="3"/>
      <c r="K180" s="5"/>
      <c r="M180" s="6"/>
    </row>
    <row r="181" spans="1:13" ht="12" customHeight="1">
      <c r="A181" s="3"/>
      <c r="B181" s="3"/>
      <c r="C181" s="3"/>
      <c r="D181" s="3"/>
      <c r="E181" s="3"/>
      <c r="F181" s="3"/>
      <c r="G181" s="3"/>
      <c r="K181" s="5"/>
      <c r="M181" s="6"/>
    </row>
    <row r="182" spans="1:13" ht="12" customHeight="1">
      <c r="A182" s="3"/>
      <c r="B182" s="3"/>
      <c r="C182" s="3"/>
      <c r="D182" s="3"/>
      <c r="E182" s="3"/>
      <c r="F182" s="3"/>
      <c r="G182" s="3"/>
      <c r="K182" s="5"/>
      <c r="M182" s="6"/>
    </row>
    <row r="183" spans="1:13" ht="12" customHeight="1">
      <c r="A183" s="3"/>
      <c r="B183" s="3"/>
      <c r="C183" s="3"/>
      <c r="D183" s="3"/>
      <c r="E183" s="3"/>
      <c r="F183" s="3"/>
      <c r="G183" s="3"/>
      <c r="K183" s="5"/>
      <c r="M183" s="6"/>
    </row>
    <row r="184" spans="1:13" ht="12" customHeight="1">
      <c r="A184" s="3"/>
      <c r="B184" s="3"/>
      <c r="C184" s="3"/>
      <c r="D184" s="3"/>
      <c r="E184" s="3"/>
      <c r="F184" s="3"/>
      <c r="G184" s="3"/>
      <c r="K184" s="5"/>
      <c r="M184" s="6"/>
    </row>
    <row r="185" spans="1:13" ht="12" customHeight="1">
      <c r="A185" s="3"/>
      <c r="B185" s="3"/>
      <c r="C185" s="3"/>
      <c r="D185" s="3"/>
      <c r="E185" s="3"/>
      <c r="F185" s="3"/>
      <c r="G185" s="3"/>
      <c r="K185" s="5"/>
      <c r="M185" s="6"/>
    </row>
    <row r="186" spans="1:13" ht="12" customHeight="1">
      <c r="A186" s="3"/>
      <c r="B186" s="3"/>
      <c r="C186" s="3"/>
      <c r="D186" s="3"/>
      <c r="E186" s="3"/>
      <c r="F186" s="3"/>
      <c r="G186" s="3"/>
      <c r="K186" s="5"/>
      <c r="M186" s="6"/>
    </row>
    <row r="187" spans="1:13" ht="12" customHeight="1">
      <c r="A187" s="3"/>
      <c r="B187" s="3"/>
      <c r="C187" s="3"/>
      <c r="D187" s="3"/>
      <c r="E187" s="3"/>
      <c r="F187" s="3"/>
      <c r="G187" s="3"/>
      <c r="K187" s="5"/>
      <c r="M187" s="6"/>
    </row>
    <row r="188" spans="1:13" ht="12" customHeight="1">
      <c r="A188" s="3"/>
      <c r="B188" s="3"/>
      <c r="C188" s="3"/>
      <c r="D188" s="3"/>
      <c r="E188" s="3"/>
      <c r="F188" s="3"/>
      <c r="G188" s="3"/>
      <c r="K188" s="5"/>
      <c r="M188" s="6"/>
    </row>
    <row r="189" spans="1:13" ht="12" customHeight="1">
      <c r="A189" s="3"/>
      <c r="B189" s="3"/>
      <c r="C189" s="3"/>
      <c r="D189" s="3"/>
      <c r="E189" s="3"/>
      <c r="F189" s="3"/>
      <c r="G189" s="3"/>
      <c r="K189" s="5"/>
      <c r="M189" s="6"/>
    </row>
    <row r="190" spans="1:13" ht="12" customHeight="1">
      <c r="A190" s="3"/>
      <c r="B190" s="3"/>
      <c r="C190" s="3"/>
      <c r="D190" s="3"/>
      <c r="E190" s="3"/>
      <c r="F190" s="3"/>
      <c r="G190" s="3"/>
      <c r="K190" s="5"/>
      <c r="M190" s="6"/>
    </row>
    <row r="191" spans="1:13" ht="12" customHeight="1">
      <c r="A191" s="3"/>
      <c r="B191" s="3"/>
      <c r="C191" s="3"/>
      <c r="D191" s="3"/>
      <c r="E191" s="3"/>
      <c r="F191" s="3"/>
      <c r="G191" s="3"/>
      <c r="K191" s="5"/>
      <c r="M191" s="6"/>
    </row>
    <row r="192" spans="1:13" ht="12" customHeight="1">
      <c r="A192" s="3"/>
      <c r="B192" s="3"/>
      <c r="C192" s="3"/>
      <c r="D192" s="3"/>
      <c r="E192" s="3"/>
      <c r="F192" s="3"/>
      <c r="G192" s="3"/>
      <c r="K192" s="5"/>
      <c r="M192" s="6"/>
    </row>
    <row r="193" spans="1:13" ht="12" customHeight="1">
      <c r="A193" s="3"/>
      <c r="B193" s="3"/>
      <c r="C193" s="3"/>
      <c r="D193" s="3"/>
      <c r="E193" s="3"/>
      <c r="F193" s="3"/>
      <c r="G193" s="3"/>
      <c r="K193" s="5"/>
      <c r="M193" s="6"/>
    </row>
    <row r="194" spans="1:13" ht="12" customHeight="1">
      <c r="A194" s="3"/>
      <c r="B194" s="3"/>
      <c r="C194" s="3"/>
      <c r="D194" s="3"/>
      <c r="E194" s="3"/>
      <c r="F194" s="3"/>
      <c r="G194" s="3"/>
      <c r="K194" s="5"/>
      <c r="M194" s="6"/>
    </row>
    <row r="195" spans="1:13" ht="12" customHeight="1">
      <c r="A195" s="3"/>
      <c r="B195" s="3"/>
      <c r="C195" s="3"/>
      <c r="D195" s="3"/>
      <c r="E195" s="3"/>
      <c r="F195" s="3"/>
      <c r="G195" s="3"/>
      <c r="K195" s="5"/>
      <c r="M195" s="6"/>
    </row>
    <row r="196" spans="1:13" ht="12" customHeight="1">
      <c r="A196" s="3"/>
      <c r="B196" s="3"/>
      <c r="C196" s="3"/>
      <c r="D196" s="3"/>
      <c r="E196" s="3"/>
      <c r="F196" s="3"/>
      <c r="G196" s="3"/>
      <c r="K196" s="5"/>
      <c r="M196" s="6"/>
    </row>
    <row r="197" spans="1:13" ht="12" customHeight="1">
      <c r="A197" s="3"/>
      <c r="B197" s="3"/>
      <c r="C197" s="3"/>
      <c r="D197" s="3"/>
      <c r="E197" s="3"/>
      <c r="F197" s="3"/>
      <c r="G197" s="3"/>
      <c r="K197" s="5"/>
      <c r="M197" s="6"/>
    </row>
    <row r="198" spans="1:13" ht="12" customHeight="1">
      <c r="A198" s="3"/>
      <c r="B198" s="3"/>
      <c r="C198" s="3"/>
      <c r="D198" s="3"/>
      <c r="E198" s="3"/>
      <c r="F198" s="3"/>
      <c r="G198" s="3"/>
      <c r="K198" s="5"/>
      <c r="M198" s="6"/>
    </row>
    <row r="199" spans="1:13" ht="12" customHeight="1">
      <c r="A199" s="3"/>
      <c r="B199" s="3"/>
      <c r="C199" s="3"/>
      <c r="D199" s="3"/>
      <c r="E199" s="3"/>
      <c r="F199" s="3"/>
      <c r="G199" s="3"/>
      <c r="K199" s="5"/>
      <c r="M199" s="6"/>
    </row>
    <row r="200" spans="1:13" ht="12" customHeight="1">
      <c r="A200" s="3"/>
      <c r="B200" s="3"/>
      <c r="C200" s="3"/>
      <c r="D200" s="3"/>
      <c r="E200" s="3"/>
      <c r="F200" s="3"/>
      <c r="G200" s="3"/>
      <c r="K200" s="5"/>
      <c r="M200" s="6"/>
    </row>
    <row r="201" spans="1:13" ht="12" customHeight="1">
      <c r="A201" s="3"/>
      <c r="B201" s="3"/>
      <c r="C201" s="3"/>
      <c r="D201" s="3"/>
      <c r="E201" s="3"/>
      <c r="F201" s="3"/>
      <c r="G201" s="3"/>
      <c r="K201" s="5"/>
      <c r="M201" s="6"/>
    </row>
    <row r="202" spans="1:13" ht="12" customHeight="1">
      <c r="A202" s="3"/>
      <c r="B202" s="3"/>
      <c r="C202" s="3"/>
      <c r="D202" s="3"/>
      <c r="E202" s="3"/>
      <c r="F202" s="3"/>
      <c r="G202" s="3"/>
      <c r="K202" s="5"/>
      <c r="M202" s="6"/>
    </row>
    <row r="203" spans="1:13" ht="12" customHeight="1">
      <c r="A203" s="3"/>
      <c r="B203" s="3"/>
      <c r="C203" s="3"/>
      <c r="D203" s="3"/>
      <c r="E203" s="3"/>
      <c r="F203" s="3"/>
      <c r="G203" s="3"/>
      <c r="K203" s="5"/>
      <c r="M203" s="6"/>
    </row>
    <row r="204" spans="1:13" ht="12" customHeight="1">
      <c r="A204" s="3"/>
      <c r="B204" s="3"/>
      <c r="C204" s="3"/>
      <c r="D204" s="3"/>
      <c r="E204" s="3"/>
      <c r="F204" s="3"/>
      <c r="G204" s="3"/>
      <c r="K204" s="5"/>
      <c r="M204" s="6"/>
    </row>
    <row r="205" spans="1:13" ht="12" customHeight="1">
      <c r="A205" s="3"/>
      <c r="B205" s="3"/>
      <c r="C205" s="3"/>
      <c r="D205" s="3"/>
      <c r="E205" s="3"/>
      <c r="F205" s="3"/>
      <c r="G205" s="3"/>
      <c r="K205" s="5"/>
      <c r="M205" s="6"/>
    </row>
    <row r="206" spans="1:13" ht="12" customHeight="1">
      <c r="A206" s="3"/>
      <c r="B206" s="3"/>
      <c r="C206" s="3"/>
      <c r="D206" s="3"/>
      <c r="E206" s="3"/>
      <c r="F206" s="3"/>
      <c r="G206" s="3"/>
      <c r="K206" s="5"/>
      <c r="M206" s="6"/>
    </row>
    <row r="207" spans="1:13" ht="12" customHeight="1">
      <c r="A207" s="3"/>
      <c r="B207" s="3"/>
      <c r="C207" s="3"/>
      <c r="D207" s="3"/>
      <c r="E207" s="3"/>
      <c r="F207" s="3"/>
      <c r="G207" s="3"/>
      <c r="K207" s="5"/>
      <c r="M207" s="6"/>
    </row>
    <row r="208" spans="1:13" ht="12" customHeight="1">
      <c r="A208" s="3"/>
      <c r="B208" s="3"/>
      <c r="C208" s="3"/>
      <c r="D208" s="3"/>
      <c r="E208" s="3"/>
      <c r="F208" s="3"/>
      <c r="G208" s="3"/>
      <c r="K208" s="5"/>
      <c r="M208" s="6"/>
    </row>
    <row r="209" spans="1:13" ht="12" customHeight="1">
      <c r="A209" s="3"/>
      <c r="B209" s="3"/>
      <c r="C209" s="3"/>
      <c r="D209" s="3"/>
      <c r="E209" s="3"/>
      <c r="F209" s="3"/>
      <c r="G209" s="3"/>
      <c r="K209" s="5"/>
      <c r="M209" s="6"/>
    </row>
    <row r="210" spans="1:13" ht="12" customHeight="1">
      <c r="A210" s="3"/>
      <c r="B210" s="3"/>
      <c r="C210" s="3"/>
      <c r="D210" s="3"/>
      <c r="E210" s="3"/>
      <c r="F210" s="3"/>
      <c r="G210" s="3"/>
      <c r="K210" s="5"/>
      <c r="M210" s="6"/>
    </row>
    <row r="211" spans="1:13" ht="12" customHeight="1">
      <c r="A211" s="3"/>
      <c r="B211" s="3"/>
      <c r="C211" s="3"/>
      <c r="D211" s="3"/>
      <c r="E211" s="3"/>
      <c r="F211" s="3"/>
      <c r="G211" s="3"/>
      <c r="K211" s="5"/>
      <c r="M211" s="6"/>
    </row>
    <row r="212" spans="1:13" ht="12" customHeight="1">
      <c r="A212" s="3"/>
      <c r="B212" s="3"/>
      <c r="C212" s="3"/>
      <c r="D212" s="3"/>
      <c r="E212" s="3"/>
      <c r="F212" s="3"/>
      <c r="G212" s="3"/>
      <c r="K212" s="5"/>
      <c r="M212" s="6"/>
    </row>
    <row r="213" spans="1:13" ht="12" customHeight="1">
      <c r="A213" s="3"/>
      <c r="B213" s="3"/>
      <c r="C213" s="3"/>
      <c r="D213" s="3"/>
      <c r="E213" s="3"/>
      <c r="F213" s="3"/>
      <c r="G213" s="3"/>
      <c r="K213" s="5"/>
      <c r="M213" s="6"/>
    </row>
    <row r="214" spans="1:13" ht="12" customHeight="1">
      <c r="A214" s="3"/>
      <c r="B214" s="3"/>
      <c r="C214" s="3"/>
      <c r="D214" s="3"/>
      <c r="E214" s="3"/>
      <c r="F214" s="3"/>
      <c r="G214" s="3"/>
      <c r="K214" s="5"/>
      <c r="M214" s="6"/>
    </row>
    <row r="215" spans="1:13" ht="12" customHeight="1">
      <c r="A215" s="3"/>
      <c r="B215" s="3"/>
      <c r="C215" s="3"/>
      <c r="D215" s="3"/>
      <c r="E215" s="3"/>
      <c r="F215" s="3"/>
      <c r="G215" s="3"/>
      <c r="K215" s="5"/>
      <c r="M215" s="6"/>
    </row>
    <row r="216" spans="1:13" ht="12" customHeight="1">
      <c r="A216" s="3"/>
      <c r="B216" s="3"/>
      <c r="C216" s="3"/>
      <c r="D216" s="3"/>
      <c r="E216" s="3"/>
      <c r="F216" s="3"/>
      <c r="G216" s="3"/>
      <c r="K216" s="5"/>
      <c r="M216" s="6"/>
    </row>
    <row r="217" spans="1:13" ht="12" customHeight="1">
      <c r="A217" s="3"/>
      <c r="B217" s="3"/>
      <c r="C217" s="3"/>
      <c r="D217" s="3"/>
      <c r="E217" s="3"/>
      <c r="F217" s="3"/>
      <c r="G217" s="3"/>
      <c r="K217" s="5"/>
      <c r="M217" s="6"/>
    </row>
    <row r="218" spans="1:13" ht="12" customHeight="1">
      <c r="A218" s="3"/>
      <c r="B218" s="3"/>
      <c r="C218" s="3"/>
      <c r="D218" s="3"/>
      <c r="E218" s="3"/>
      <c r="F218" s="3"/>
      <c r="G218" s="3"/>
      <c r="K218" s="5"/>
      <c r="M218" s="6"/>
    </row>
    <row r="219" spans="1:13" ht="12" customHeight="1">
      <c r="A219" s="3"/>
      <c r="B219" s="3"/>
      <c r="C219" s="3"/>
      <c r="D219" s="3"/>
      <c r="E219" s="3"/>
      <c r="F219" s="3"/>
      <c r="G219" s="3"/>
      <c r="K219" s="5"/>
      <c r="M219" s="6"/>
    </row>
    <row r="220" spans="1:13" ht="12" customHeight="1">
      <c r="A220" s="3"/>
      <c r="B220" s="3"/>
      <c r="C220" s="3"/>
      <c r="D220" s="3"/>
      <c r="E220" s="3"/>
      <c r="F220" s="3"/>
      <c r="G220" s="3"/>
      <c r="K220" s="5"/>
      <c r="M220" s="6"/>
    </row>
    <row r="221" spans="1:13" ht="12" customHeight="1">
      <c r="A221" s="3"/>
      <c r="B221" s="3"/>
      <c r="C221" s="3"/>
      <c r="D221" s="3"/>
      <c r="E221" s="3"/>
      <c r="F221" s="3"/>
      <c r="G221" s="3"/>
      <c r="K221" s="5"/>
      <c r="M221" s="6"/>
    </row>
    <row r="222" spans="1:13" ht="12" customHeight="1">
      <c r="A222" s="3"/>
      <c r="B222" s="3"/>
      <c r="C222" s="3"/>
      <c r="D222" s="3"/>
      <c r="E222" s="3"/>
      <c r="F222" s="3"/>
      <c r="G222" s="3"/>
      <c r="K222" s="5"/>
      <c r="M222" s="6"/>
    </row>
    <row r="223" spans="1:13" ht="12" customHeight="1">
      <c r="A223" s="3"/>
      <c r="B223" s="3"/>
      <c r="C223" s="3"/>
      <c r="D223" s="3"/>
      <c r="E223" s="3"/>
      <c r="F223" s="3"/>
      <c r="G223" s="3"/>
      <c r="K223" s="5"/>
      <c r="M223" s="6"/>
    </row>
    <row r="224" spans="1:13" ht="12" customHeight="1">
      <c r="A224" s="3"/>
      <c r="B224" s="3"/>
      <c r="C224" s="3"/>
      <c r="D224" s="3"/>
      <c r="E224" s="3"/>
      <c r="F224" s="3"/>
      <c r="G224" s="3"/>
      <c r="K224" s="5"/>
      <c r="M224" s="6"/>
    </row>
    <row r="225" spans="1:13" ht="12" customHeight="1">
      <c r="A225" s="3"/>
      <c r="B225" s="3"/>
      <c r="C225" s="3"/>
      <c r="D225" s="3"/>
      <c r="E225" s="3"/>
      <c r="F225" s="3"/>
      <c r="G225" s="3"/>
      <c r="K225" s="5"/>
      <c r="M225" s="6"/>
    </row>
    <row r="226" spans="1:13" ht="12" customHeight="1">
      <c r="A226" s="3"/>
      <c r="B226" s="3"/>
      <c r="C226" s="3"/>
      <c r="D226" s="3"/>
      <c r="E226" s="3"/>
      <c r="F226" s="3"/>
      <c r="G226" s="3"/>
      <c r="K226" s="5"/>
      <c r="M226" s="6"/>
    </row>
    <row r="227" spans="1:13" ht="12" customHeight="1">
      <c r="A227" s="3"/>
      <c r="B227" s="3"/>
      <c r="C227" s="3"/>
      <c r="D227" s="3"/>
      <c r="E227" s="3"/>
      <c r="F227" s="3"/>
      <c r="G227" s="3"/>
      <c r="K227" s="5"/>
      <c r="M227" s="6"/>
    </row>
    <row r="228" spans="1:13" ht="12" customHeight="1">
      <c r="A228" s="3"/>
      <c r="B228" s="3"/>
      <c r="C228" s="3"/>
      <c r="D228" s="3"/>
      <c r="E228" s="3"/>
      <c r="F228" s="3"/>
      <c r="G228" s="3"/>
      <c r="K228" s="5"/>
      <c r="M228" s="6"/>
    </row>
    <row r="229" spans="1:13" ht="12" customHeight="1">
      <c r="A229" s="3"/>
      <c r="B229" s="3"/>
      <c r="C229" s="3"/>
      <c r="D229" s="3"/>
      <c r="E229" s="3"/>
      <c r="F229" s="3"/>
      <c r="G229" s="3"/>
      <c r="K229" s="5"/>
      <c r="M229" s="6"/>
    </row>
    <row r="230" spans="1:13" ht="12" customHeight="1">
      <c r="A230" s="3"/>
      <c r="B230" s="3"/>
      <c r="C230" s="3"/>
      <c r="D230" s="3"/>
      <c r="E230" s="3"/>
      <c r="F230" s="3"/>
      <c r="G230" s="3"/>
      <c r="K230" s="5"/>
      <c r="M230" s="6"/>
    </row>
    <row r="231" spans="1:13" ht="12" customHeight="1">
      <c r="A231" s="3"/>
      <c r="B231" s="3"/>
      <c r="C231" s="3"/>
      <c r="D231" s="3"/>
      <c r="E231" s="3"/>
      <c r="F231" s="3"/>
      <c r="G231" s="3"/>
      <c r="K231" s="5"/>
      <c r="M231" s="6"/>
    </row>
    <row r="232" spans="1:13" ht="12" customHeight="1">
      <c r="A232" s="3"/>
      <c r="B232" s="3"/>
      <c r="C232" s="3"/>
      <c r="D232" s="3"/>
      <c r="E232" s="3"/>
      <c r="F232" s="3"/>
      <c r="G232" s="3"/>
      <c r="K232" s="5"/>
      <c r="M232" s="6"/>
    </row>
    <row r="233" spans="1:13" ht="12" customHeight="1">
      <c r="A233" s="3"/>
      <c r="B233" s="3"/>
      <c r="C233" s="3"/>
      <c r="D233" s="3"/>
      <c r="E233" s="3"/>
      <c r="F233" s="3"/>
      <c r="G233" s="3"/>
      <c r="K233" s="5"/>
      <c r="M233" s="6"/>
    </row>
    <row r="234" spans="1:13" ht="12" customHeight="1">
      <c r="A234" s="3"/>
      <c r="B234" s="3"/>
      <c r="C234" s="3"/>
      <c r="D234" s="3"/>
      <c r="E234" s="3"/>
      <c r="F234" s="3"/>
      <c r="G234" s="3"/>
      <c r="K234" s="5"/>
      <c r="M234" s="6"/>
    </row>
    <row r="235" spans="1:13" ht="12" customHeight="1">
      <c r="A235" s="3"/>
      <c r="B235" s="3"/>
      <c r="C235" s="3"/>
      <c r="D235" s="3"/>
      <c r="E235" s="3"/>
      <c r="F235" s="3"/>
      <c r="G235" s="3"/>
      <c r="K235" s="5"/>
      <c r="M235" s="6"/>
    </row>
    <row r="236" spans="1:13" ht="12" customHeight="1">
      <c r="A236" s="3"/>
      <c r="B236" s="3"/>
      <c r="C236" s="3"/>
      <c r="D236" s="3"/>
      <c r="E236" s="3"/>
      <c r="F236" s="3"/>
      <c r="G236" s="3"/>
      <c r="K236" s="5"/>
      <c r="M236" s="6"/>
    </row>
    <row r="237" spans="1:13" ht="12" customHeight="1">
      <c r="A237" s="3"/>
      <c r="B237" s="3"/>
      <c r="C237" s="3"/>
      <c r="D237" s="3"/>
      <c r="E237" s="3"/>
      <c r="F237" s="3"/>
      <c r="G237" s="3"/>
      <c r="K237" s="5"/>
      <c r="M237" s="6"/>
    </row>
    <row r="238" spans="1:13" ht="12" customHeight="1">
      <c r="A238" s="3"/>
      <c r="B238" s="3"/>
      <c r="C238" s="3"/>
      <c r="D238" s="3"/>
      <c r="E238" s="3"/>
      <c r="F238" s="3"/>
      <c r="G238" s="3"/>
      <c r="K238" s="5"/>
      <c r="M238" s="6"/>
    </row>
    <row r="239" spans="1:13" ht="12" customHeight="1">
      <c r="A239" s="3"/>
      <c r="B239" s="3"/>
      <c r="C239" s="3"/>
      <c r="D239" s="3"/>
      <c r="E239" s="3"/>
      <c r="F239" s="3"/>
      <c r="G239" s="3"/>
      <c r="K239" s="5"/>
      <c r="M239" s="6"/>
    </row>
    <row r="240" spans="1:13" ht="12" customHeight="1">
      <c r="A240" s="3"/>
      <c r="B240" s="3"/>
      <c r="C240" s="3"/>
      <c r="D240" s="3"/>
      <c r="E240" s="3"/>
      <c r="F240" s="3"/>
      <c r="G240" s="3"/>
      <c r="K240" s="5"/>
      <c r="M240" s="6"/>
    </row>
    <row r="241" spans="1:13" ht="12" customHeight="1">
      <c r="A241" s="3"/>
      <c r="B241" s="3"/>
      <c r="C241" s="3"/>
      <c r="D241" s="3"/>
      <c r="E241" s="3"/>
      <c r="F241" s="3"/>
      <c r="G241" s="3"/>
      <c r="K241" s="5"/>
      <c r="M241" s="6"/>
    </row>
    <row r="242" spans="1:13" ht="12" customHeight="1">
      <c r="A242" s="3"/>
      <c r="B242" s="3"/>
      <c r="C242" s="3"/>
      <c r="D242" s="3"/>
      <c r="E242" s="3"/>
      <c r="F242" s="3"/>
      <c r="G242" s="3"/>
      <c r="K242" s="5"/>
      <c r="M242" s="6"/>
    </row>
    <row r="243" spans="1:13" ht="12" customHeight="1">
      <c r="A243" s="3"/>
      <c r="B243" s="3"/>
      <c r="C243" s="3"/>
      <c r="D243" s="3"/>
      <c r="E243" s="3"/>
      <c r="F243" s="3"/>
      <c r="G243" s="3"/>
      <c r="K243" s="5"/>
      <c r="M243" s="6"/>
    </row>
    <row r="244" spans="1:13" ht="12" customHeight="1">
      <c r="A244" s="3"/>
      <c r="B244" s="3"/>
      <c r="C244" s="3"/>
      <c r="D244" s="3"/>
      <c r="E244" s="3"/>
      <c r="F244" s="3"/>
      <c r="G244" s="3"/>
      <c r="K244" s="5"/>
      <c r="M244" s="6"/>
    </row>
    <row r="245" spans="1:13" ht="12" customHeight="1">
      <c r="A245" s="3"/>
      <c r="B245" s="3"/>
      <c r="C245" s="3"/>
      <c r="D245" s="3"/>
      <c r="E245" s="3"/>
      <c r="F245" s="3"/>
      <c r="G245" s="3"/>
      <c r="K245" s="5"/>
      <c r="M245" s="6"/>
    </row>
    <row r="246" spans="1:13" ht="12" customHeight="1">
      <c r="A246" s="3"/>
      <c r="B246" s="3"/>
      <c r="C246" s="3"/>
      <c r="D246" s="3"/>
      <c r="E246" s="3"/>
      <c r="F246" s="3"/>
      <c r="G246" s="3"/>
      <c r="K246" s="5"/>
      <c r="M246" s="6"/>
    </row>
    <row r="247" spans="1:13" ht="12" customHeight="1">
      <c r="A247" s="3"/>
      <c r="B247" s="3"/>
      <c r="C247" s="3"/>
      <c r="D247" s="3"/>
      <c r="E247" s="3"/>
      <c r="F247" s="3"/>
      <c r="G247" s="3"/>
      <c r="K247" s="5"/>
      <c r="M247" s="6"/>
    </row>
    <row r="248" spans="1:13" ht="12" customHeight="1">
      <c r="A248" s="3"/>
      <c r="B248" s="3"/>
      <c r="C248" s="3"/>
      <c r="D248" s="3"/>
      <c r="E248" s="3"/>
      <c r="F248" s="3"/>
      <c r="G248" s="3"/>
      <c r="K248" s="5"/>
      <c r="M248" s="6"/>
    </row>
    <row r="249" spans="1:13" ht="12" customHeight="1">
      <c r="A249" s="3"/>
      <c r="B249" s="3"/>
      <c r="C249" s="3"/>
      <c r="D249" s="3"/>
      <c r="E249" s="3"/>
      <c r="F249" s="3"/>
      <c r="G249" s="3"/>
      <c r="K249" s="5"/>
      <c r="M249" s="6"/>
    </row>
    <row r="250" spans="1:13" ht="12" customHeight="1">
      <c r="A250" s="3"/>
      <c r="B250" s="3"/>
      <c r="C250" s="3"/>
      <c r="D250" s="3"/>
      <c r="E250" s="3"/>
      <c r="F250" s="3"/>
      <c r="G250" s="3"/>
      <c r="K250" s="5"/>
      <c r="M250" s="6"/>
    </row>
    <row r="251" spans="1:13" ht="12" customHeight="1">
      <c r="A251" s="3"/>
      <c r="B251" s="3"/>
      <c r="C251" s="3"/>
      <c r="D251" s="3"/>
      <c r="E251" s="3"/>
      <c r="F251" s="3"/>
      <c r="G251" s="3"/>
      <c r="K251" s="5"/>
      <c r="M251" s="6"/>
    </row>
    <row r="252" spans="1:13" ht="12" customHeight="1">
      <c r="A252" s="3"/>
      <c r="B252" s="3"/>
      <c r="C252" s="3"/>
      <c r="D252" s="3"/>
      <c r="E252" s="3"/>
      <c r="F252" s="3"/>
      <c r="G252" s="3"/>
      <c r="K252" s="5"/>
      <c r="M252" s="6"/>
    </row>
    <row r="253" spans="1:13" ht="12" customHeight="1">
      <c r="A253" s="3"/>
      <c r="B253" s="3"/>
      <c r="C253" s="3"/>
      <c r="D253" s="3"/>
      <c r="E253" s="3"/>
      <c r="F253" s="3"/>
      <c r="G253" s="3"/>
      <c r="K253" s="5"/>
      <c r="M253" s="6"/>
    </row>
    <row r="254" spans="1:13" ht="12" customHeight="1">
      <c r="A254" s="3"/>
      <c r="B254" s="3"/>
      <c r="C254" s="3"/>
      <c r="D254" s="3"/>
      <c r="E254" s="3"/>
      <c r="F254" s="3"/>
      <c r="G254" s="3"/>
      <c r="K254" s="5"/>
      <c r="M254" s="6"/>
    </row>
    <row r="255" spans="1:13" ht="12" customHeight="1">
      <c r="A255" s="3"/>
      <c r="B255" s="3"/>
      <c r="C255" s="3"/>
      <c r="D255" s="3"/>
      <c r="E255" s="3"/>
      <c r="F255" s="3"/>
      <c r="G255" s="3"/>
      <c r="K255" s="5"/>
      <c r="M255" s="6"/>
    </row>
    <row r="256" spans="1:13" ht="12" customHeight="1">
      <c r="A256" s="3"/>
      <c r="B256" s="3"/>
      <c r="C256" s="3"/>
      <c r="D256" s="3"/>
      <c r="E256" s="3"/>
      <c r="F256" s="3"/>
      <c r="G256" s="3"/>
      <c r="K256" s="5"/>
      <c r="M256" s="6"/>
    </row>
    <row r="257" spans="1:13" ht="12" customHeight="1">
      <c r="A257" s="3"/>
      <c r="B257" s="3"/>
      <c r="C257" s="3"/>
      <c r="D257" s="3"/>
      <c r="E257" s="3"/>
      <c r="F257" s="3"/>
      <c r="G257" s="3"/>
      <c r="K257" s="5"/>
      <c r="M257" s="6"/>
    </row>
    <row r="258" spans="1:13" ht="12" customHeight="1">
      <c r="A258" s="3"/>
      <c r="B258" s="3"/>
      <c r="C258" s="3"/>
      <c r="D258" s="3"/>
      <c r="E258" s="3"/>
      <c r="F258" s="3"/>
      <c r="G258" s="3"/>
      <c r="K258" s="5"/>
      <c r="M258" s="6"/>
    </row>
    <row r="259" spans="1:13" ht="12" customHeight="1">
      <c r="A259" s="3"/>
      <c r="B259" s="3"/>
      <c r="C259" s="3"/>
      <c r="D259" s="3"/>
      <c r="E259" s="3"/>
      <c r="F259" s="3"/>
      <c r="G259" s="3"/>
      <c r="K259" s="5"/>
      <c r="M259" s="6"/>
    </row>
    <row r="260" spans="1:13" ht="12" customHeight="1">
      <c r="A260" s="3"/>
      <c r="B260" s="3"/>
      <c r="C260" s="3"/>
      <c r="D260" s="3"/>
      <c r="E260" s="3"/>
      <c r="F260" s="3"/>
      <c r="G260" s="3"/>
      <c r="K260" s="5"/>
      <c r="M260" s="6"/>
    </row>
    <row r="261" spans="1:13" ht="12" customHeight="1">
      <c r="A261" s="3"/>
      <c r="B261" s="3"/>
      <c r="C261" s="3"/>
      <c r="D261" s="3"/>
      <c r="E261" s="3"/>
      <c r="F261" s="3"/>
      <c r="G261" s="3"/>
      <c r="K261" s="5"/>
      <c r="M261" s="6"/>
    </row>
    <row r="262" spans="1:13" ht="12" customHeight="1">
      <c r="A262" s="3"/>
      <c r="B262" s="3"/>
      <c r="C262" s="3"/>
      <c r="D262" s="3"/>
      <c r="E262" s="3"/>
      <c r="F262" s="3"/>
      <c r="G262" s="3"/>
      <c r="K262" s="5"/>
      <c r="M262" s="6"/>
    </row>
    <row r="263" spans="1:13" ht="12" customHeight="1">
      <c r="A263" s="3"/>
      <c r="B263" s="3"/>
      <c r="C263" s="3"/>
      <c r="D263" s="3"/>
      <c r="E263" s="3"/>
      <c r="F263" s="3"/>
      <c r="G263" s="3"/>
      <c r="K263" s="5"/>
      <c r="M263" s="6"/>
    </row>
    <row r="264" spans="1:13" ht="12" customHeight="1">
      <c r="A264" s="3"/>
      <c r="B264" s="3"/>
      <c r="C264" s="3"/>
      <c r="D264" s="3"/>
      <c r="E264" s="3"/>
      <c r="F264" s="3"/>
      <c r="G264" s="3"/>
      <c r="K264" s="5"/>
      <c r="M264" s="6"/>
    </row>
    <row r="265" spans="1:13" ht="12" customHeight="1">
      <c r="A265" s="3"/>
      <c r="B265" s="3"/>
      <c r="C265" s="3"/>
      <c r="D265" s="3"/>
      <c r="E265" s="3"/>
      <c r="F265" s="3"/>
      <c r="G265" s="3"/>
      <c r="K265" s="5"/>
      <c r="M265" s="6"/>
    </row>
    <row r="266" spans="1:13" ht="12" customHeight="1">
      <c r="A266" s="3"/>
      <c r="B266" s="3"/>
      <c r="C266" s="3"/>
      <c r="D266" s="3"/>
      <c r="E266" s="3"/>
      <c r="F266" s="3"/>
      <c r="G266" s="3"/>
      <c r="K266" s="5"/>
      <c r="M266" s="6"/>
    </row>
    <row r="267" spans="1:13" ht="12" customHeight="1">
      <c r="A267" s="3"/>
      <c r="B267" s="3"/>
      <c r="C267" s="3"/>
      <c r="D267" s="3"/>
      <c r="E267" s="3"/>
      <c r="F267" s="3"/>
      <c r="G267" s="3"/>
      <c r="K267" s="5"/>
      <c r="M267" s="6"/>
    </row>
    <row r="268" spans="1:13" ht="12" customHeight="1">
      <c r="A268" s="3"/>
      <c r="B268" s="3"/>
      <c r="C268" s="3"/>
      <c r="D268" s="3"/>
      <c r="E268" s="3"/>
      <c r="F268" s="3"/>
      <c r="G268" s="3"/>
      <c r="K268" s="5"/>
      <c r="M268" s="6"/>
    </row>
    <row r="269" spans="1:13" ht="12" customHeight="1">
      <c r="A269" s="3"/>
      <c r="B269" s="3"/>
      <c r="C269" s="3"/>
      <c r="D269" s="3"/>
      <c r="E269" s="3"/>
      <c r="F269" s="3"/>
      <c r="G269" s="3"/>
      <c r="K269" s="5"/>
      <c r="M269" s="6"/>
    </row>
    <row r="270" spans="1:13" ht="12" customHeight="1">
      <c r="A270" s="3"/>
      <c r="B270" s="3"/>
      <c r="C270" s="3"/>
      <c r="D270" s="3"/>
      <c r="E270" s="3"/>
      <c r="F270" s="3"/>
      <c r="G270" s="3"/>
      <c r="K270" s="5"/>
      <c r="M270" s="6"/>
    </row>
    <row r="271" spans="1:13" ht="12" customHeight="1">
      <c r="A271" s="3"/>
      <c r="B271" s="3"/>
      <c r="C271" s="3"/>
      <c r="D271" s="3"/>
      <c r="E271" s="3"/>
      <c r="F271" s="3"/>
      <c r="G271" s="3"/>
      <c r="K271" s="5"/>
      <c r="M271" s="6"/>
    </row>
    <row r="272" spans="1:13" ht="12" customHeight="1">
      <c r="A272" s="3"/>
      <c r="B272" s="3"/>
      <c r="C272" s="3"/>
      <c r="D272" s="3"/>
      <c r="E272" s="3"/>
      <c r="F272" s="3"/>
      <c r="G272" s="3"/>
      <c r="K272" s="5"/>
      <c r="M272" s="6"/>
    </row>
    <row r="273" spans="1:13" ht="12" customHeight="1">
      <c r="A273" s="3"/>
      <c r="B273" s="3"/>
      <c r="C273" s="3"/>
      <c r="D273" s="3"/>
      <c r="E273" s="3"/>
      <c r="F273" s="3"/>
      <c r="G273" s="3"/>
      <c r="K273" s="5"/>
      <c r="M273" s="6"/>
    </row>
    <row r="274" spans="1:13" ht="12" customHeight="1">
      <c r="A274" s="3"/>
      <c r="B274" s="3"/>
      <c r="C274" s="3"/>
      <c r="D274" s="3"/>
      <c r="E274" s="3"/>
      <c r="F274" s="3"/>
      <c r="G274" s="3"/>
      <c r="K274" s="5"/>
      <c r="M274" s="6"/>
    </row>
    <row r="275" spans="1:13" ht="12" customHeight="1">
      <c r="A275" s="3"/>
      <c r="B275" s="3"/>
      <c r="C275" s="3"/>
      <c r="D275" s="3"/>
      <c r="E275" s="3"/>
      <c r="F275" s="3"/>
      <c r="G275" s="3"/>
      <c r="K275" s="5"/>
      <c r="M275" s="6"/>
    </row>
    <row r="276" spans="1:13" ht="12" customHeight="1">
      <c r="A276" s="3"/>
      <c r="B276" s="3"/>
      <c r="C276" s="3"/>
      <c r="D276" s="3"/>
      <c r="E276" s="3"/>
      <c r="F276" s="3"/>
      <c r="G276" s="3"/>
      <c r="K276" s="5"/>
      <c r="M276" s="6"/>
    </row>
    <row r="277" spans="1:13" ht="12" customHeight="1">
      <c r="A277" s="3"/>
      <c r="B277" s="3"/>
      <c r="C277" s="3"/>
      <c r="D277" s="3"/>
      <c r="E277" s="3"/>
      <c r="F277" s="3"/>
      <c r="G277" s="3"/>
      <c r="K277" s="5"/>
      <c r="M277" s="6"/>
    </row>
    <row r="278" spans="1:13" ht="12" customHeight="1">
      <c r="A278" s="3"/>
      <c r="B278" s="3"/>
      <c r="C278" s="3"/>
      <c r="D278" s="3"/>
      <c r="E278" s="3"/>
      <c r="F278" s="3"/>
      <c r="G278" s="3"/>
      <c r="K278" s="5"/>
      <c r="M278" s="6"/>
    </row>
    <row r="279" spans="1:13" ht="12" customHeight="1">
      <c r="A279" s="3"/>
      <c r="B279" s="3"/>
      <c r="C279" s="3"/>
      <c r="D279" s="3"/>
      <c r="E279" s="3"/>
      <c r="F279" s="3"/>
      <c r="G279" s="3"/>
      <c r="K279" s="5"/>
      <c r="M279" s="6"/>
    </row>
    <row r="280" spans="1:13" ht="12" customHeight="1">
      <c r="A280" s="3"/>
      <c r="B280" s="3"/>
      <c r="C280" s="3"/>
      <c r="D280" s="3"/>
      <c r="E280" s="3"/>
      <c r="F280" s="3"/>
      <c r="G280" s="3"/>
      <c r="K280" s="5"/>
      <c r="M280" s="6"/>
    </row>
    <row r="281" spans="1:13" ht="12" customHeight="1">
      <c r="A281" s="3"/>
      <c r="B281" s="3"/>
      <c r="C281" s="3"/>
      <c r="D281" s="3"/>
      <c r="E281" s="3"/>
      <c r="F281" s="3"/>
      <c r="G281" s="3"/>
      <c r="K281" s="5"/>
      <c r="M281" s="6"/>
    </row>
    <row r="282" spans="1:13" ht="12" customHeight="1">
      <c r="A282" s="3"/>
      <c r="B282" s="3"/>
      <c r="C282" s="3"/>
      <c r="D282" s="3"/>
      <c r="E282" s="3"/>
      <c r="F282" s="3"/>
      <c r="G282" s="3"/>
      <c r="K282" s="5"/>
      <c r="M282" s="6"/>
    </row>
    <row r="283" spans="1:13" ht="12" customHeight="1">
      <c r="A283" s="3"/>
      <c r="B283" s="3"/>
      <c r="C283" s="3"/>
      <c r="D283" s="3"/>
      <c r="E283" s="3"/>
      <c r="F283" s="3"/>
      <c r="G283" s="3"/>
      <c r="K283" s="5"/>
      <c r="M283" s="6"/>
    </row>
    <row r="284" spans="1:13" ht="12" customHeight="1">
      <c r="A284" s="3"/>
      <c r="B284" s="3"/>
      <c r="C284" s="3"/>
      <c r="D284" s="3"/>
      <c r="E284" s="3"/>
      <c r="F284" s="3"/>
      <c r="G284" s="3"/>
      <c r="K284" s="5"/>
      <c r="M284" s="6"/>
    </row>
    <row r="285" spans="1:13" ht="12" customHeight="1">
      <c r="A285" s="3"/>
      <c r="B285" s="3"/>
      <c r="C285" s="3"/>
      <c r="D285" s="3"/>
      <c r="E285" s="3"/>
      <c r="F285" s="3"/>
      <c r="G285" s="3"/>
      <c r="K285" s="5"/>
      <c r="M285" s="6"/>
    </row>
    <row r="286" spans="1:13" ht="12" customHeight="1">
      <c r="A286" s="3"/>
      <c r="B286" s="3"/>
      <c r="C286" s="3"/>
      <c r="D286" s="3"/>
      <c r="E286" s="3"/>
      <c r="F286" s="3"/>
      <c r="G286" s="3"/>
      <c r="K286" s="5"/>
      <c r="M286" s="6"/>
    </row>
    <row r="287" spans="1:13" ht="12" customHeight="1">
      <c r="A287" s="3"/>
      <c r="B287" s="3"/>
      <c r="C287" s="3"/>
      <c r="D287" s="3"/>
      <c r="E287" s="3"/>
      <c r="F287" s="3"/>
      <c r="G287" s="3"/>
      <c r="K287" s="5"/>
      <c r="M287" s="6"/>
    </row>
    <row r="288" spans="1:13" ht="12" customHeight="1">
      <c r="A288" s="3"/>
      <c r="B288" s="3"/>
      <c r="C288" s="3"/>
      <c r="D288" s="3"/>
      <c r="E288" s="3"/>
      <c r="F288" s="3"/>
      <c r="G288" s="3"/>
      <c r="K288" s="5"/>
      <c r="M288" s="6"/>
    </row>
    <row r="289" spans="1:13" ht="12" customHeight="1">
      <c r="A289" s="3"/>
      <c r="B289" s="3"/>
      <c r="C289" s="3"/>
      <c r="D289" s="3"/>
      <c r="E289" s="3"/>
      <c r="F289" s="3"/>
      <c r="G289" s="3"/>
      <c r="K289" s="5"/>
      <c r="M289" s="6"/>
    </row>
    <row r="290" spans="1:13" ht="12" customHeight="1">
      <c r="A290" s="3"/>
      <c r="B290" s="3"/>
      <c r="C290" s="3"/>
      <c r="D290" s="3"/>
      <c r="E290" s="3"/>
      <c r="F290" s="3"/>
      <c r="G290" s="3"/>
      <c r="K290" s="5"/>
      <c r="M290" s="6"/>
    </row>
    <row r="291" spans="1:13" ht="12" customHeight="1">
      <c r="A291" s="3"/>
      <c r="B291" s="3"/>
      <c r="C291" s="3"/>
      <c r="D291" s="3"/>
      <c r="E291" s="3"/>
      <c r="F291" s="3"/>
      <c r="G291" s="3"/>
      <c r="K291" s="5"/>
      <c r="M291" s="6"/>
    </row>
    <row r="292" spans="1:13" ht="12" customHeight="1">
      <c r="A292" s="3"/>
      <c r="B292" s="3"/>
      <c r="C292" s="3"/>
      <c r="D292" s="3"/>
      <c r="E292" s="3"/>
      <c r="F292" s="3"/>
      <c r="G292" s="3"/>
      <c r="K292" s="5"/>
      <c r="M292" s="6"/>
    </row>
    <row r="293" spans="1:13" ht="12" customHeight="1">
      <c r="A293" s="3"/>
      <c r="B293" s="3"/>
      <c r="C293" s="3"/>
      <c r="D293" s="3"/>
      <c r="E293" s="3"/>
      <c r="F293" s="3"/>
      <c r="G293" s="3"/>
      <c r="K293" s="5"/>
      <c r="M293" s="6"/>
    </row>
    <row r="294" spans="1:13" ht="15.75" customHeight="1">
      <c r="A294" s="3"/>
      <c r="B294" s="3"/>
      <c r="C294" s="3"/>
      <c r="D294" s="3"/>
      <c r="E294" s="3"/>
      <c r="F294" s="3"/>
      <c r="G294" s="3"/>
    </row>
    <row r="295" spans="1:13" ht="15.75" customHeight="1">
      <c r="A295" s="3"/>
      <c r="B295" s="3"/>
      <c r="C295" s="3"/>
      <c r="D295" s="3"/>
      <c r="E295" s="3"/>
      <c r="F295" s="3"/>
      <c r="G295" s="3"/>
    </row>
    <row r="296" spans="1:13" ht="15.75" customHeight="1">
      <c r="A296" s="3"/>
      <c r="B296" s="3"/>
      <c r="C296" s="3"/>
      <c r="D296" s="3"/>
      <c r="E296" s="3"/>
      <c r="F296" s="3"/>
      <c r="G296" s="3"/>
    </row>
    <row r="297" spans="1:13" ht="15.75" customHeight="1">
      <c r="A297" s="3"/>
      <c r="B297" s="3"/>
      <c r="C297" s="3"/>
      <c r="D297" s="3"/>
      <c r="E297" s="3"/>
      <c r="F297" s="3"/>
      <c r="G297" s="3"/>
    </row>
    <row r="298" spans="1:13" ht="15.75" customHeight="1">
      <c r="A298" s="3"/>
      <c r="B298" s="3"/>
      <c r="C298" s="3"/>
      <c r="D298" s="3"/>
      <c r="E298" s="3"/>
      <c r="F298" s="3"/>
      <c r="G298" s="3"/>
    </row>
    <row r="299" spans="1:13" ht="15.75" customHeight="1">
      <c r="A299" s="3"/>
      <c r="B299" s="3"/>
      <c r="C299" s="3"/>
      <c r="D299" s="3"/>
      <c r="E299" s="3"/>
      <c r="F299" s="3"/>
      <c r="G299" s="3"/>
    </row>
    <row r="300" spans="1:13" ht="15.75" customHeight="1">
      <c r="A300" s="3"/>
      <c r="B300" s="3"/>
      <c r="C300" s="3"/>
      <c r="D300" s="3"/>
      <c r="E300" s="3"/>
      <c r="F300" s="3"/>
      <c r="G300" s="3"/>
    </row>
    <row r="301" spans="1:13" ht="15.75" customHeight="1">
      <c r="A301" s="3"/>
      <c r="B301" s="3"/>
      <c r="C301" s="3"/>
      <c r="D301" s="3"/>
      <c r="E301" s="3"/>
      <c r="F301" s="3"/>
      <c r="G301" s="3"/>
    </row>
    <row r="302" spans="1:13" ht="15.75" customHeight="1">
      <c r="A302" s="3"/>
      <c r="B302" s="3"/>
      <c r="C302" s="3"/>
      <c r="D302" s="3"/>
      <c r="E302" s="3"/>
      <c r="F302" s="3"/>
      <c r="G302" s="3"/>
    </row>
    <row r="303" spans="1:13" ht="15.75" customHeight="1">
      <c r="A303" s="3"/>
      <c r="B303" s="3"/>
      <c r="C303" s="3"/>
      <c r="D303" s="3"/>
      <c r="E303" s="3"/>
      <c r="F303" s="3"/>
      <c r="G303" s="3"/>
    </row>
    <row r="304" spans="1:13" ht="15.75" customHeight="1">
      <c r="A304" s="3"/>
      <c r="B304" s="3"/>
      <c r="C304" s="3"/>
      <c r="D304" s="3"/>
      <c r="E304" s="3"/>
      <c r="F304" s="3"/>
      <c r="G304" s="3"/>
    </row>
    <row r="305" spans="1:7" ht="15.75" customHeight="1">
      <c r="A305" s="3"/>
      <c r="B305" s="3"/>
      <c r="C305" s="3"/>
      <c r="D305" s="3"/>
      <c r="E305" s="3"/>
      <c r="F305" s="3"/>
      <c r="G305" s="3"/>
    </row>
    <row r="306" spans="1:7" ht="15.75" customHeight="1">
      <c r="A306" s="3"/>
      <c r="B306" s="3"/>
      <c r="C306" s="3"/>
      <c r="D306" s="3"/>
      <c r="E306" s="3"/>
      <c r="F306" s="3"/>
      <c r="G306" s="3"/>
    </row>
    <row r="307" spans="1:7" ht="15.75" customHeight="1">
      <c r="A307" s="3"/>
      <c r="B307" s="3"/>
      <c r="C307" s="3"/>
      <c r="D307" s="3"/>
      <c r="E307" s="3"/>
      <c r="F307" s="3"/>
      <c r="G307" s="3"/>
    </row>
    <row r="308" spans="1:7" ht="15.75" customHeight="1">
      <c r="A308" s="3"/>
      <c r="B308" s="3"/>
      <c r="C308" s="3"/>
      <c r="D308" s="3"/>
      <c r="E308" s="3"/>
      <c r="F308" s="3"/>
      <c r="G308" s="3"/>
    </row>
    <row r="309" spans="1:7" ht="15.75" customHeight="1">
      <c r="A309" s="3"/>
      <c r="B309" s="3"/>
      <c r="C309" s="3"/>
      <c r="D309" s="3"/>
      <c r="E309" s="3"/>
      <c r="F309" s="3"/>
      <c r="G309" s="3"/>
    </row>
    <row r="310" spans="1:7" ht="15.75" customHeight="1">
      <c r="A310" s="3"/>
      <c r="B310" s="3"/>
      <c r="C310" s="3"/>
      <c r="D310" s="3"/>
      <c r="E310" s="3"/>
      <c r="F310" s="3"/>
      <c r="G310" s="3"/>
    </row>
    <row r="311" spans="1:7" ht="15.75" customHeight="1">
      <c r="A311" s="3"/>
      <c r="B311" s="3"/>
      <c r="C311" s="3"/>
      <c r="D311" s="3"/>
      <c r="E311" s="3"/>
      <c r="F311" s="3"/>
      <c r="G311" s="3"/>
    </row>
    <row r="312" spans="1:7" ht="15.75" customHeight="1">
      <c r="A312" s="3"/>
      <c r="B312" s="3"/>
      <c r="C312" s="3"/>
      <c r="D312" s="3"/>
      <c r="E312" s="3"/>
      <c r="F312" s="3"/>
      <c r="G312" s="3"/>
    </row>
    <row r="313" spans="1:7" ht="15.75" customHeight="1">
      <c r="A313" s="3"/>
      <c r="B313" s="3"/>
      <c r="C313" s="3"/>
      <c r="D313" s="3"/>
      <c r="E313" s="3"/>
      <c r="F313" s="3"/>
      <c r="G313" s="3"/>
    </row>
    <row r="314" spans="1:7" ht="15.75" customHeight="1">
      <c r="A314" s="3"/>
      <c r="B314" s="3"/>
      <c r="C314" s="3"/>
      <c r="D314" s="3"/>
      <c r="E314" s="3"/>
      <c r="F314" s="3"/>
      <c r="G314" s="3"/>
    </row>
    <row r="315" spans="1:7" ht="15.75" customHeight="1">
      <c r="A315" s="3"/>
      <c r="B315" s="3"/>
      <c r="C315" s="3"/>
      <c r="D315" s="3"/>
      <c r="E315" s="3"/>
      <c r="F315" s="3"/>
      <c r="G315" s="3"/>
    </row>
    <row r="316" spans="1:7" ht="15.75" customHeight="1">
      <c r="A316" s="3"/>
      <c r="B316" s="3"/>
      <c r="C316" s="3"/>
      <c r="D316" s="3"/>
      <c r="E316" s="3"/>
      <c r="F316" s="3"/>
      <c r="G316" s="3"/>
    </row>
    <row r="317" spans="1:7" ht="15.75" customHeight="1">
      <c r="A317" s="3"/>
      <c r="B317" s="3"/>
      <c r="C317" s="3"/>
      <c r="D317" s="3"/>
      <c r="E317" s="3"/>
      <c r="F317" s="3"/>
      <c r="G317" s="3"/>
    </row>
    <row r="318" spans="1:7" ht="15.75" customHeight="1">
      <c r="A318" s="3"/>
      <c r="B318" s="3"/>
      <c r="C318" s="3"/>
      <c r="D318" s="3"/>
      <c r="E318" s="3"/>
      <c r="F318" s="3"/>
      <c r="G318" s="3"/>
    </row>
    <row r="319" spans="1:7" ht="15.75" customHeight="1">
      <c r="A319" s="3"/>
      <c r="B319" s="3"/>
      <c r="C319" s="3"/>
      <c r="D319" s="3"/>
      <c r="E319" s="3"/>
      <c r="F319" s="3"/>
      <c r="G319" s="3"/>
    </row>
    <row r="320" spans="1:7" ht="15.75" customHeight="1">
      <c r="A320" s="3"/>
      <c r="B320" s="3"/>
      <c r="C320" s="3"/>
      <c r="D320" s="3"/>
      <c r="E320" s="3"/>
      <c r="F320" s="3"/>
      <c r="G320" s="3"/>
    </row>
    <row r="321" spans="1:7" ht="15.75" customHeight="1">
      <c r="A321" s="3"/>
      <c r="B321" s="3"/>
      <c r="C321" s="3"/>
      <c r="D321" s="3"/>
      <c r="E321" s="3"/>
      <c r="F321" s="3"/>
      <c r="G321" s="3"/>
    </row>
    <row r="322" spans="1:7" ht="15.75" customHeight="1">
      <c r="A322" s="3"/>
      <c r="B322" s="3"/>
      <c r="C322" s="3"/>
      <c r="D322" s="3"/>
      <c r="E322" s="3"/>
      <c r="F322" s="3"/>
      <c r="G322" s="3"/>
    </row>
    <row r="323" spans="1:7" ht="15.75" customHeight="1">
      <c r="A323" s="3"/>
      <c r="B323" s="3"/>
      <c r="C323" s="3"/>
      <c r="D323" s="3"/>
      <c r="E323" s="3"/>
      <c r="F323" s="3"/>
      <c r="G323" s="3"/>
    </row>
    <row r="324" spans="1:7" ht="15.75" customHeight="1">
      <c r="A324" s="3"/>
      <c r="B324" s="3"/>
      <c r="C324" s="3"/>
      <c r="D324" s="3"/>
      <c r="E324" s="3"/>
      <c r="F324" s="3"/>
      <c r="G324" s="3"/>
    </row>
    <row r="325" spans="1:7" ht="15.75" customHeight="1">
      <c r="A325" s="3"/>
      <c r="B325" s="3"/>
      <c r="C325" s="3"/>
      <c r="D325" s="3"/>
      <c r="E325" s="3"/>
      <c r="F325" s="3"/>
      <c r="G325" s="3"/>
    </row>
    <row r="326" spans="1:7" ht="15.75" customHeight="1">
      <c r="A326" s="3"/>
      <c r="B326" s="3"/>
      <c r="C326" s="3"/>
      <c r="D326" s="3"/>
      <c r="E326" s="3"/>
      <c r="F326" s="3"/>
      <c r="G326" s="3"/>
    </row>
    <row r="327" spans="1:7" ht="15.75" customHeight="1">
      <c r="A327" s="3"/>
      <c r="B327" s="3"/>
      <c r="C327" s="3"/>
      <c r="D327" s="3"/>
      <c r="E327" s="3"/>
      <c r="F327" s="3"/>
      <c r="G327" s="3"/>
    </row>
    <row r="328" spans="1:7" ht="15.75" customHeight="1">
      <c r="A328" s="3"/>
      <c r="B328" s="3"/>
      <c r="C328" s="3"/>
      <c r="D328" s="3"/>
      <c r="E328" s="3"/>
      <c r="F328" s="3"/>
      <c r="G328" s="3"/>
    </row>
    <row r="329" spans="1:7" ht="15.75" customHeight="1">
      <c r="A329" s="3"/>
      <c r="B329" s="3"/>
      <c r="C329" s="3"/>
      <c r="D329" s="3"/>
      <c r="E329" s="3"/>
      <c r="F329" s="3"/>
      <c r="G329" s="3"/>
    </row>
    <row r="330" spans="1:7" ht="15.75" customHeight="1">
      <c r="A330" s="3"/>
      <c r="B330" s="3"/>
      <c r="C330" s="3"/>
      <c r="D330" s="3"/>
      <c r="E330" s="3"/>
      <c r="F330" s="3"/>
      <c r="G330" s="3"/>
    </row>
    <row r="331" spans="1:7" ht="15.75" customHeight="1">
      <c r="A331" s="3"/>
      <c r="B331" s="3"/>
      <c r="C331" s="3"/>
      <c r="D331" s="3"/>
      <c r="E331" s="3"/>
      <c r="F331" s="3"/>
      <c r="G331" s="3"/>
    </row>
    <row r="332" spans="1:7" ht="15.75" customHeight="1">
      <c r="A332" s="3"/>
      <c r="B332" s="3"/>
      <c r="C332" s="3"/>
      <c r="D332" s="3"/>
      <c r="E332" s="3"/>
      <c r="F332" s="3"/>
      <c r="G332" s="3"/>
    </row>
    <row r="333" spans="1:7" ht="15.75" customHeight="1">
      <c r="A333" s="3"/>
      <c r="B333" s="3"/>
      <c r="C333" s="3"/>
      <c r="D333" s="3"/>
      <c r="E333" s="3"/>
      <c r="F333" s="3"/>
      <c r="G333" s="3"/>
    </row>
    <row r="334" spans="1:7" ht="15.75" customHeight="1">
      <c r="A334" s="3"/>
      <c r="B334" s="3"/>
      <c r="C334" s="3"/>
      <c r="D334" s="3"/>
      <c r="E334" s="3"/>
      <c r="F334" s="3"/>
      <c r="G334" s="3"/>
    </row>
    <row r="335" spans="1:7" ht="15.75" customHeight="1">
      <c r="A335" s="3"/>
      <c r="B335" s="3"/>
      <c r="C335" s="3"/>
      <c r="D335" s="3"/>
      <c r="E335" s="3"/>
      <c r="F335" s="3"/>
      <c r="G335" s="3"/>
    </row>
    <row r="336" spans="1:7" ht="15.75" customHeight="1">
      <c r="A336" s="3"/>
      <c r="B336" s="3"/>
      <c r="C336" s="3"/>
      <c r="D336" s="3"/>
      <c r="E336" s="3"/>
      <c r="F336" s="3"/>
      <c r="G336" s="3"/>
    </row>
    <row r="337" spans="1:7" ht="15.75" customHeight="1">
      <c r="A337" s="3"/>
      <c r="B337" s="3"/>
      <c r="C337" s="3"/>
      <c r="D337" s="3"/>
      <c r="E337" s="3"/>
      <c r="F337" s="3"/>
      <c r="G337" s="3"/>
    </row>
    <row r="338" spans="1:7" ht="15.75" customHeight="1">
      <c r="A338" s="3"/>
      <c r="B338" s="3"/>
      <c r="C338" s="3"/>
      <c r="D338" s="3"/>
      <c r="E338" s="3"/>
      <c r="F338" s="3"/>
      <c r="G338" s="3"/>
    </row>
    <row r="339" spans="1:7" ht="15.75" customHeight="1">
      <c r="A339" s="3"/>
      <c r="B339" s="3"/>
      <c r="C339" s="3"/>
      <c r="D339" s="3"/>
      <c r="E339" s="3"/>
      <c r="F339" s="3"/>
      <c r="G339" s="3"/>
    </row>
    <row r="340" spans="1:7" ht="15.75" customHeight="1">
      <c r="A340" s="3"/>
      <c r="B340" s="3"/>
      <c r="C340" s="3"/>
      <c r="D340" s="3"/>
      <c r="E340" s="3"/>
      <c r="F340" s="3"/>
      <c r="G340" s="3"/>
    </row>
    <row r="341" spans="1:7" ht="15.75" customHeight="1">
      <c r="A341" s="3"/>
      <c r="B341" s="3"/>
      <c r="C341" s="3"/>
      <c r="D341" s="3"/>
      <c r="E341" s="3"/>
      <c r="F341" s="3"/>
      <c r="G341" s="3"/>
    </row>
    <row r="342" spans="1:7" ht="15.75" customHeight="1">
      <c r="A342" s="3"/>
      <c r="B342" s="3"/>
      <c r="C342" s="3"/>
      <c r="D342" s="3"/>
      <c r="E342" s="3"/>
      <c r="F342" s="3"/>
      <c r="G342" s="3"/>
    </row>
    <row r="343" spans="1:7" ht="15.75" customHeight="1">
      <c r="A343" s="3"/>
      <c r="B343" s="3"/>
      <c r="C343" s="3"/>
      <c r="D343" s="3"/>
      <c r="E343" s="3"/>
      <c r="F343" s="3"/>
      <c r="G343" s="3"/>
    </row>
    <row r="344" spans="1:7" ht="15.75" customHeight="1">
      <c r="A344" s="3"/>
      <c r="B344" s="3"/>
      <c r="C344" s="3"/>
      <c r="D344" s="3"/>
      <c r="E344" s="3"/>
      <c r="F344" s="3"/>
      <c r="G344" s="3"/>
    </row>
    <row r="345" spans="1:7" ht="15.75" customHeight="1">
      <c r="A345" s="3"/>
      <c r="B345" s="3"/>
      <c r="C345" s="3"/>
      <c r="D345" s="3"/>
      <c r="E345" s="3"/>
      <c r="F345" s="3"/>
      <c r="G345" s="3"/>
    </row>
    <row r="346" spans="1:7" ht="15.75" customHeight="1">
      <c r="A346" s="3"/>
      <c r="B346" s="3"/>
      <c r="C346" s="3"/>
      <c r="D346" s="3"/>
      <c r="E346" s="3"/>
      <c r="F346" s="3"/>
      <c r="G346" s="3"/>
    </row>
    <row r="347" spans="1:7" ht="15.75" customHeight="1">
      <c r="A347" s="3"/>
      <c r="B347" s="3"/>
      <c r="C347" s="3"/>
      <c r="D347" s="3"/>
      <c r="E347" s="3"/>
      <c r="F347" s="3"/>
      <c r="G347" s="3"/>
    </row>
    <row r="348" spans="1:7" ht="15.75" customHeight="1">
      <c r="A348" s="3"/>
      <c r="B348" s="3"/>
      <c r="C348" s="3"/>
      <c r="D348" s="3"/>
      <c r="E348" s="3"/>
      <c r="F348" s="3"/>
      <c r="G348" s="3"/>
    </row>
    <row r="349" spans="1:7" ht="15.75" customHeight="1">
      <c r="A349" s="3"/>
      <c r="B349" s="3"/>
      <c r="C349" s="3"/>
      <c r="D349" s="3"/>
      <c r="E349" s="3"/>
      <c r="F349" s="3"/>
      <c r="G349" s="3"/>
    </row>
    <row r="350" spans="1:7" ht="15.75" customHeight="1">
      <c r="A350" s="3"/>
      <c r="B350" s="3"/>
      <c r="C350" s="3"/>
      <c r="D350" s="3"/>
      <c r="E350" s="3"/>
      <c r="F350" s="3"/>
      <c r="G350" s="3"/>
    </row>
    <row r="351" spans="1:7" ht="15.75" customHeight="1">
      <c r="A351" s="3"/>
      <c r="B351" s="3"/>
      <c r="C351" s="3"/>
      <c r="D351" s="3"/>
      <c r="E351" s="3"/>
      <c r="F351" s="3"/>
      <c r="G351" s="3"/>
    </row>
    <row r="352" spans="1:7" ht="15.75" customHeight="1">
      <c r="A352" s="3"/>
      <c r="B352" s="3"/>
      <c r="C352" s="3"/>
      <c r="D352" s="3"/>
      <c r="E352" s="3"/>
      <c r="F352" s="3"/>
      <c r="G352" s="3"/>
    </row>
    <row r="353" spans="1:7" ht="15.75" customHeight="1">
      <c r="A353" s="3"/>
      <c r="B353" s="3"/>
      <c r="C353" s="3"/>
      <c r="D353" s="3"/>
      <c r="E353" s="3"/>
      <c r="F353" s="3"/>
      <c r="G353" s="3"/>
    </row>
    <row r="354" spans="1:7" ht="15.75" customHeight="1">
      <c r="A354" s="3"/>
      <c r="B354" s="3"/>
      <c r="C354" s="3"/>
      <c r="D354" s="3"/>
      <c r="E354" s="3"/>
      <c r="F354" s="3"/>
      <c r="G354" s="3"/>
    </row>
    <row r="355" spans="1:7" ht="15.75" customHeight="1">
      <c r="A355" s="3"/>
      <c r="B355" s="3"/>
      <c r="C355" s="3"/>
      <c r="D355" s="3"/>
      <c r="E355" s="3"/>
      <c r="F355" s="3"/>
      <c r="G355" s="3"/>
    </row>
    <row r="356" spans="1:7" ht="15.75" customHeight="1">
      <c r="A356" s="3"/>
      <c r="B356" s="3"/>
      <c r="C356" s="3"/>
      <c r="D356" s="3"/>
      <c r="E356" s="3"/>
      <c r="F356" s="3"/>
      <c r="G356" s="3"/>
    </row>
    <row r="357" spans="1:7" ht="15.75" customHeight="1">
      <c r="A357" s="3"/>
      <c r="B357" s="3"/>
      <c r="C357" s="3"/>
      <c r="D357" s="3"/>
      <c r="E357" s="3"/>
      <c r="F357" s="3"/>
      <c r="G357" s="3"/>
    </row>
    <row r="358" spans="1:7" ht="15.75" customHeight="1">
      <c r="A358" s="3"/>
      <c r="B358" s="3"/>
      <c r="C358" s="3"/>
      <c r="D358" s="3"/>
      <c r="E358" s="3"/>
      <c r="F358" s="3"/>
      <c r="G358" s="3"/>
    </row>
    <row r="359" spans="1:7" ht="15.75" customHeight="1">
      <c r="A359" s="3"/>
      <c r="B359" s="3"/>
      <c r="C359" s="3"/>
      <c r="D359" s="3"/>
      <c r="E359" s="3"/>
      <c r="F359" s="3"/>
      <c r="G359" s="3"/>
    </row>
    <row r="360" spans="1:7" ht="15.75" customHeight="1">
      <c r="A360" s="3"/>
      <c r="B360" s="3"/>
      <c r="C360" s="3"/>
      <c r="D360" s="3"/>
      <c r="E360" s="3"/>
      <c r="F360" s="3"/>
      <c r="G360" s="3"/>
    </row>
    <row r="361" spans="1:7" ht="15.75" customHeight="1">
      <c r="A361" s="3"/>
      <c r="B361" s="3"/>
      <c r="C361" s="3"/>
      <c r="D361" s="3"/>
      <c r="E361" s="3"/>
      <c r="F361" s="3"/>
      <c r="G361" s="3"/>
    </row>
    <row r="362" spans="1:7" ht="15.75" customHeight="1">
      <c r="A362" s="3"/>
      <c r="B362" s="3"/>
      <c r="C362" s="3"/>
      <c r="D362" s="3"/>
      <c r="E362" s="3"/>
      <c r="F362" s="3"/>
      <c r="G362" s="3"/>
    </row>
    <row r="363" spans="1:7" ht="15.75" customHeight="1">
      <c r="A363" s="3"/>
      <c r="B363" s="3"/>
      <c r="C363" s="3"/>
      <c r="D363" s="3"/>
      <c r="E363" s="3"/>
      <c r="F363" s="3"/>
      <c r="G363" s="3"/>
    </row>
    <row r="364" spans="1:7" ht="15.75" customHeight="1">
      <c r="A364" s="3"/>
      <c r="B364" s="3"/>
      <c r="C364" s="3"/>
      <c r="D364" s="3"/>
      <c r="E364" s="3"/>
      <c r="F364" s="3"/>
      <c r="G364" s="3"/>
    </row>
    <row r="365" spans="1:7" ht="15.75" customHeight="1">
      <c r="A365" s="3"/>
      <c r="B365" s="3"/>
      <c r="C365" s="3"/>
      <c r="D365" s="3"/>
      <c r="E365" s="3"/>
      <c r="F365" s="3"/>
      <c r="G365" s="3"/>
    </row>
    <row r="366" spans="1:7" ht="15.75" customHeight="1">
      <c r="A366" s="3"/>
      <c r="B366" s="3"/>
      <c r="C366" s="3"/>
      <c r="D366" s="3"/>
      <c r="E366" s="3"/>
      <c r="F366" s="3"/>
      <c r="G366" s="3"/>
    </row>
    <row r="367" spans="1:7" ht="15.75" customHeight="1">
      <c r="A367" s="3"/>
      <c r="B367" s="3"/>
      <c r="C367" s="3"/>
      <c r="D367" s="3"/>
      <c r="E367" s="3"/>
      <c r="F367" s="3"/>
      <c r="G367" s="3"/>
    </row>
    <row r="368" spans="1:7" ht="15.75" customHeight="1">
      <c r="A368" s="3"/>
      <c r="B368" s="3"/>
      <c r="C368" s="3"/>
      <c r="D368" s="3"/>
      <c r="E368" s="3"/>
      <c r="F368" s="3"/>
      <c r="G368" s="3"/>
    </row>
    <row r="369" spans="1:7" ht="15.75" customHeight="1">
      <c r="A369" s="3"/>
      <c r="B369" s="3"/>
      <c r="C369" s="3"/>
      <c r="D369" s="3"/>
      <c r="E369" s="3"/>
      <c r="F369" s="3"/>
      <c r="G369" s="3"/>
    </row>
    <row r="370" spans="1:7" ht="15.75" customHeight="1">
      <c r="A370" s="3"/>
      <c r="B370" s="3"/>
      <c r="C370" s="3"/>
      <c r="D370" s="3"/>
      <c r="E370" s="3"/>
      <c r="F370" s="3"/>
      <c r="G370" s="3"/>
    </row>
    <row r="371" spans="1:7" ht="15.75" customHeight="1">
      <c r="A371" s="3"/>
      <c r="B371" s="3"/>
      <c r="C371" s="3"/>
      <c r="D371" s="3"/>
      <c r="E371" s="3"/>
      <c r="F371" s="3"/>
      <c r="G371" s="3"/>
    </row>
    <row r="372" spans="1:7" ht="15.75" customHeight="1">
      <c r="A372" s="3"/>
      <c r="B372" s="3"/>
      <c r="C372" s="3"/>
      <c r="D372" s="3"/>
      <c r="E372" s="3"/>
      <c r="F372" s="3"/>
      <c r="G372" s="3"/>
    </row>
    <row r="373" spans="1:7" ht="15.75" customHeight="1">
      <c r="A373" s="3"/>
      <c r="B373" s="3"/>
      <c r="C373" s="3"/>
      <c r="D373" s="3"/>
      <c r="E373" s="3"/>
      <c r="F373" s="3"/>
      <c r="G373" s="3"/>
    </row>
    <row r="374" spans="1:7" ht="15.75" customHeight="1">
      <c r="A374" s="3"/>
      <c r="B374" s="3"/>
      <c r="C374" s="3"/>
      <c r="D374" s="3"/>
      <c r="E374" s="3"/>
      <c r="F374" s="3"/>
      <c r="G374" s="3"/>
    </row>
    <row r="375" spans="1:7" ht="15.75" customHeight="1">
      <c r="A375" s="3"/>
      <c r="B375" s="3"/>
      <c r="C375" s="3"/>
      <c r="D375" s="3"/>
      <c r="E375" s="3"/>
      <c r="F375" s="3"/>
      <c r="G375" s="3"/>
    </row>
    <row r="376" spans="1:7" ht="15.75" customHeight="1">
      <c r="A376" s="3"/>
      <c r="B376" s="3"/>
      <c r="C376" s="3"/>
      <c r="D376" s="3"/>
      <c r="E376" s="3"/>
      <c r="F376" s="3"/>
      <c r="G376" s="3"/>
    </row>
    <row r="377" spans="1:7" ht="15.75" customHeight="1">
      <c r="A377" s="3"/>
      <c r="B377" s="3"/>
      <c r="C377" s="3"/>
      <c r="D377" s="3"/>
      <c r="E377" s="3"/>
      <c r="F377" s="3"/>
      <c r="G377" s="3"/>
    </row>
    <row r="378" spans="1:7" ht="15.75" customHeight="1">
      <c r="A378" s="3"/>
      <c r="B378" s="3"/>
      <c r="C378" s="3"/>
      <c r="D378" s="3"/>
      <c r="E378" s="3"/>
      <c r="F378" s="3"/>
      <c r="G378" s="3"/>
    </row>
    <row r="379" spans="1:7" ht="15.75" customHeight="1">
      <c r="A379" s="3"/>
      <c r="B379" s="3"/>
      <c r="C379" s="3"/>
      <c r="D379" s="3"/>
      <c r="E379" s="3"/>
      <c r="F379" s="3"/>
      <c r="G379" s="3"/>
    </row>
    <row r="380" spans="1:7" ht="15.75" customHeight="1">
      <c r="A380" s="3"/>
      <c r="B380" s="3"/>
      <c r="C380" s="3"/>
      <c r="D380" s="3"/>
      <c r="E380" s="3"/>
      <c r="F380" s="3"/>
      <c r="G380" s="3"/>
    </row>
    <row r="381" spans="1:7" ht="15.75" customHeight="1">
      <c r="A381" s="3"/>
      <c r="B381" s="3"/>
      <c r="C381" s="3"/>
      <c r="D381" s="3"/>
      <c r="E381" s="3"/>
      <c r="F381" s="3"/>
      <c r="G381" s="3"/>
    </row>
    <row r="382" spans="1:7" ht="15.75" customHeight="1">
      <c r="A382" s="3"/>
      <c r="B382" s="3"/>
      <c r="C382" s="3"/>
      <c r="D382" s="3"/>
      <c r="E382" s="3"/>
      <c r="F382" s="3"/>
      <c r="G382" s="3"/>
    </row>
    <row r="383" spans="1:7" ht="15.75" customHeight="1">
      <c r="A383" s="3"/>
      <c r="B383" s="3"/>
      <c r="C383" s="3"/>
      <c r="D383" s="3"/>
      <c r="E383" s="3"/>
      <c r="F383" s="3"/>
      <c r="G383" s="3"/>
    </row>
    <row r="384" spans="1:7" ht="15.75" customHeight="1">
      <c r="A384" s="3"/>
      <c r="B384" s="3"/>
      <c r="C384" s="3"/>
      <c r="D384" s="3"/>
      <c r="E384" s="3"/>
      <c r="F384" s="3"/>
      <c r="G384" s="3"/>
    </row>
    <row r="385" spans="1:7" ht="15.75" customHeight="1">
      <c r="A385" s="3"/>
      <c r="B385" s="3"/>
      <c r="C385" s="3"/>
      <c r="D385" s="3"/>
      <c r="E385" s="3"/>
      <c r="F385" s="3"/>
      <c r="G385" s="3"/>
    </row>
    <row r="386" spans="1:7" ht="15.75" customHeight="1">
      <c r="A386" s="3"/>
      <c r="B386" s="3"/>
      <c r="C386" s="3"/>
      <c r="D386" s="3"/>
      <c r="E386" s="3"/>
      <c r="F386" s="3"/>
      <c r="G386" s="3"/>
    </row>
    <row r="387" spans="1:7" ht="15.75" customHeight="1">
      <c r="A387" s="3"/>
      <c r="B387" s="3"/>
      <c r="C387" s="3"/>
      <c r="D387" s="3"/>
      <c r="E387" s="3"/>
      <c r="F387" s="3"/>
      <c r="G387" s="3"/>
    </row>
    <row r="388" spans="1:7" ht="15.75" customHeight="1">
      <c r="A388" s="3"/>
      <c r="B388" s="3"/>
      <c r="C388" s="3"/>
      <c r="D388" s="3"/>
      <c r="E388" s="3"/>
      <c r="F388" s="3"/>
      <c r="G388" s="3"/>
    </row>
    <row r="389" spans="1:7" ht="15.75" customHeight="1">
      <c r="A389" s="3"/>
      <c r="B389" s="3"/>
      <c r="C389" s="3"/>
      <c r="D389" s="3"/>
      <c r="E389" s="3"/>
      <c r="F389" s="3"/>
      <c r="G389" s="3"/>
    </row>
    <row r="390" spans="1:7" ht="15.75" customHeight="1">
      <c r="A390" s="3"/>
      <c r="B390" s="3"/>
      <c r="C390" s="3"/>
      <c r="D390" s="3"/>
      <c r="E390" s="3"/>
      <c r="F390" s="3"/>
      <c r="G390" s="3"/>
    </row>
    <row r="391" spans="1:7" ht="15.75" customHeight="1">
      <c r="A391" s="3"/>
      <c r="B391" s="3"/>
      <c r="C391" s="3"/>
      <c r="D391" s="3"/>
      <c r="E391" s="3"/>
      <c r="F391" s="3"/>
      <c r="G391" s="3"/>
    </row>
    <row r="392" spans="1:7" ht="15.75" customHeight="1">
      <c r="A392" s="3"/>
      <c r="B392" s="3"/>
      <c r="C392" s="3"/>
      <c r="D392" s="3"/>
      <c r="E392" s="3"/>
      <c r="F392" s="3"/>
      <c r="G392" s="3"/>
    </row>
    <row r="393" spans="1:7" ht="15.75" customHeight="1">
      <c r="A393" s="3"/>
      <c r="B393" s="3"/>
      <c r="C393" s="3"/>
      <c r="D393" s="3"/>
      <c r="E393" s="3"/>
      <c r="F393" s="3"/>
      <c r="G393" s="3"/>
    </row>
    <row r="394" spans="1:7" ht="15.75" customHeight="1">
      <c r="A394" s="3"/>
      <c r="B394" s="3"/>
      <c r="C394" s="3"/>
      <c r="D394" s="3"/>
      <c r="E394" s="3"/>
      <c r="F394" s="3"/>
      <c r="G394" s="3"/>
    </row>
    <row r="395" spans="1:7" ht="15.75" customHeight="1">
      <c r="A395" s="3"/>
      <c r="B395" s="3"/>
      <c r="C395" s="3"/>
      <c r="D395" s="3"/>
      <c r="E395" s="3"/>
      <c r="F395" s="3"/>
      <c r="G395" s="3"/>
    </row>
    <row r="396" spans="1:7" ht="15.75" customHeight="1">
      <c r="A396" s="3"/>
      <c r="B396" s="3"/>
      <c r="C396" s="3"/>
      <c r="D396" s="3"/>
      <c r="E396" s="3"/>
      <c r="F396" s="3"/>
      <c r="G396" s="3"/>
    </row>
    <row r="397" spans="1:7" ht="15.75" customHeight="1">
      <c r="A397" s="3"/>
      <c r="B397" s="3"/>
      <c r="C397" s="3"/>
      <c r="D397" s="3"/>
      <c r="E397" s="3"/>
      <c r="F397" s="3"/>
      <c r="G397" s="3"/>
    </row>
    <row r="398" spans="1:7" ht="15.75" customHeight="1">
      <c r="A398" s="3"/>
      <c r="B398" s="3"/>
      <c r="C398" s="3"/>
      <c r="D398" s="3"/>
      <c r="E398" s="3"/>
      <c r="F398" s="3"/>
      <c r="G398" s="3"/>
    </row>
    <row r="399" spans="1:7" ht="15.75" customHeight="1">
      <c r="A399" s="3"/>
      <c r="B399" s="3"/>
      <c r="C399" s="3"/>
      <c r="D399" s="3"/>
      <c r="E399" s="3"/>
      <c r="F399" s="3"/>
      <c r="G399" s="3"/>
    </row>
    <row r="400" spans="1:7" ht="15.75" customHeight="1">
      <c r="A400" s="3"/>
      <c r="B400" s="3"/>
      <c r="C400" s="3"/>
      <c r="D400" s="3"/>
      <c r="E400" s="3"/>
      <c r="F400" s="3"/>
      <c r="G400" s="3"/>
    </row>
    <row r="401" spans="1:7" ht="15.75" customHeight="1">
      <c r="A401" s="3"/>
      <c r="B401" s="3"/>
      <c r="C401" s="3"/>
      <c r="D401" s="3"/>
      <c r="E401" s="3"/>
      <c r="F401" s="3"/>
      <c r="G401" s="3"/>
    </row>
    <row r="402" spans="1:7" ht="15.75" customHeight="1">
      <c r="A402" s="3"/>
      <c r="B402" s="3"/>
      <c r="C402" s="3"/>
      <c r="D402" s="3"/>
      <c r="E402" s="3"/>
      <c r="F402" s="3"/>
      <c r="G402" s="3"/>
    </row>
    <row r="403" spans="1:7" ht="15.75" customHeight="1">
      <c r="A403" s="3"/>
      <c r="B403" s="3"/>
      <c r="C403" s="3"/>
      <c r="D403" s="3"/>
      <c r="E403" s="3"/>
      <c r="F403" s="3"/>
      <c r="G403" s="3"/>
    </row>
    <row r="404" spans="1:7" ht="15.75" customHeight="1">
      <c r="A404" s="3"/>
      <c r="B404" s="3"/>
      <c r="C404" s="3"/>
      <c r="D404" s="3"/>
      <c r="E404" s="3"/>
      <c r="F404" s="3"/>
      <c r="G404" s="3"/>
    </row>
    <row r="405" spans="1:7" ht="15.75" customHeight="1">
      <c r="A405" s="3"/>
      <c r="B405" s="3"/>
      <c r="C405" s="3"/>
      <c r="D405" s="3"/>
      <c r="E405" s="3"/>
      <c r="F405" s="3"/>
      <c r="G405" s="3"/>
    </row>
    <row r="406" spans="1:7" ht="15.75" customHeight="1">
      <c r="A406" s="3"/>
      <c r="B406" s="3"/>
      <c r="C406" s="3"/>
      <c r="D406" s="3"/>
      <c r="E406" s="3"/>
      <c r="F406" s="3"/>
      <c r="G406" s="3"/>
    </row>
    <row r="407" spans="1:7" ht="15.75" customHeight="1">
      <c r="A407" s="3"/>
      <c r="B407" s="3"/>
      <c r="C407" s="3"/>
      <c r="D407" s="3"/>
      <c r="E407" s="3"/>
      <c r="F407" s="3"/>
      <c r="G407" s="3"/>
    </row>
    <row r="408" spans="1:7" ht="15.75" customHeight="1">
      <c r="A408" s="3"/>
      <c r="B408" s="3"/>
      <c r="C408" s="3"/>
      <c r="D408" s="3"/>
      <c r="E408" s="3"/>
      <c r="F408" s="3"/>
      <c r="G408" s="3"/>
    </row>
    <row r="409" spans="1:7" ht="15.75" customHeight="1">
      <c r="A409" s="3"/>
      <c r="B409" s="3"/>
      <c r="C409" s="3"/>
      <c r="D409" s="3"/>
      <c r="E409" s="3"/>
      <c r="F409" s="3"/>
      <c r="G409" s="3"/>
    </row>
    <row r="410" spans="1:7" ht="15.75" customHeight="1">
      <c r="A410" s="3"/>
      <c r="B410" s="3"/>
      <c r="C410" s="3"/>
      <c r="D410" s="3"/>
      <c r="E410" s="3"/>
      <c r="F410" s="3"/>
      <c r="G410" s="3"/>
    </row>
    <row r="411" spans="1:7" ht="15.75" customHeight="1">
      <c r="A411" s="3"/>
      <c r="B411" s="3"/>
      <c r="C411" s="3"/>
      <c r="D411" s="3"/>
      <c r="E411" s="3"/>
      <c r="F411" s="3"/>
      <c r="G411" s="3"/>
    </row>
    <row r="412" spans="1:7" ht="15.75" customHeight="1">
      <c r="A412" s="3"/>
      <c r="B412" s="3"/>
      <c r="C412" s="3"/>
      <c r="D412" s="3"/>
      <c r="E412" s="3"/>
      <c r="F412" s="3"/>
      <c r="G412" s="3"/>
    </row>
    <row r="413" spans="1:7" ht="15.75" customHeight="1">
      <c r="A413" s="3"/>
      <c r="B413" s="3"/>
      <c r="C413" s="3"/>
      <c r="D413" s="3"/>
      <c r="E413" s="3"/>
      <c r="F413" s="3"/>
      <c r="G413" s="3"/>
    </row>
    <row r="414" spans="1:7" ht="15.75" customHeight="1">
      <c r="A414" s="3"/>
      <c r="B414" s="3"/>
      <c r="C414" s="3"/>
      <c r="D414" s="3"/>
      <c r="E414" s="3"/>
      <c r="F414" s="3"/>
      <c r="G414" s="3"/>
    </row>
    <row r="415" spans="1:7" ht="15.75" customHeight="1">
      <c r="A415" s="3"/>
      <c r="B415" s="3"/>
      <c r="C415" s="3"/>
      <c r="D415" s="3"/>
      <c r="E415" s="3"/>
      <c r="F415" s="3"/>
      <c r="G415" s="3"/>
    </row>
    <row r="416" spans="1:7" ht="15.75" customHeight="1">
      <c r="A416" s="3"/>
      <c r="B416" s="3"/>
      <c r="C416" s="3"/>
      <c r="D416" s="3"/>
      <c r="E416" s="3"/>
      <c r="F416" s="3"/>
      <c r="G416" s="3"/>
    </row>
    <row r="417" spans="1:7" ht="15.75" customHeight="1">
      <c r="A417" s="3"/>
      <c r="B417" s="3"/>
      <c r="C417" s="3"/>
      <c r="D417" s="3"/>
      <c r="E417" s="3"/>
      <c r="F417" s="3"/>
      <c r="G417" s="3"/>
    </row>
    <row r="418" spans="1:7" ht="15.75" customHeight="1">
      <c r="A418" s="3"/>
      <c r="B418" s="3"/>
      <c r="C418" s="3"/>
      <c r="D418" s="3"/>
      <c r="E418" s="3"/>
      <c r="F418" s="3"/>
      <c r="G418" s="3"/>
    </row>
    <row r="419" spans="1:7" ht="15.75" customHeight="1">
      <c r="A419" s="3"/>
      <c r="B419" s="3"/>
      <c r="C419" s="3"/>
      <c r="D419" s="3"/>
      <c r="E419" s="3"/>
      <c r="F419" s="3"/>
      <c r="G419" s="3"/>
    </row>
    <row r="420" spans="1:7" ht="15.75" customHeight="1">
      <c r="A420" s="3"/>
      <c r="B420" s="3"/>
      <c r="C420" s="3"/>
      <c r="D420" s="3"/>
      <c r="E420" s="3"/>
      <c r="F420" s="3"/>
      <c r="G420" s="3"/>
    </row>
    <row r="421" spans="1:7" ht="15.75" customHeight="1">
      <c r="A421" s="3"/>
      <c r="B421" s="3"/>
      <c r="C421" s="3"/>
      <c r="D421" s="3"/>
      <c r="E421" s="3"/>
      <c r="F421" s="3"/>
      <c r="G421" s="3"/>
    </row>
    <row r="422" spans="1:7" ht="15.75" customHeight="1">
      <c r="A422" s="3"/>
      <c r="B422" s="3"/>
      <c r="C422" s="3"/>
      <c r="D422" s="3"/>
      <c r="E422" s="3"/>
      <c r="F422" s="3"/>
      <c r="G422" s="3"/>
    </row>
    <row r="423" spans="1:7" ht="15.75" customHeight="1">
      <c r="A423" s="3"/>
      <c r="B423" s="3"/>
      <c r="C423" s="3"/>
      <c r="D423" s="3"/>
      <c r="E423" s="3"/>
      <c r="F423" s="3"/>
      <c r="G423" s="3"/>
    </row>
    <row r="424" spans="1:7" ht="15.75" customHeight="1">
      <c r="A424" s="3"/>
      <c r="B424" s="3"/>
      <c r="C424" s="3"/>
      <c r="D424" s="3"/>
      <c r="E424" s="3"/>
      <c r="F424" s="3"/>
      <c r="G424" s="3"/>
    </row>
    <row r="425" spans="1:7" ht="15.75" customHeight="1">
      <c r="A425" s="3"/>
      <c r="B425" s="3"/>
      <c r="C425" s="3"/>
      <c r="D425" s="3"/>
      <c r="E425" s="3"/>
      <c r="F425" s="3"/>
      <c r="G425" s="3"/>
    </row>
    <row r="426" spans="1:7" ht="15.75" customHeight="1">
      <c r="A426" s="3"/>
      <c r="B426" s="3"/>
      <c r="C426" s="3"/>
      <c r="D426" s="3"/>
      <c r="E426" s="3"/>
      <c r="F426" s="3"/>
      <c r="G426" s="3"/>
    </row>
    <row r="427" spans="1:7" ht="15.75" customHeight="1">
      <c r="A427" s="3"/>
      <c r="B427" s="3"/>
      <c r="C427" s="3"/>
      <c r="D427" s="3"/>
      <c r="E427" s="3"/>
      <c r="F427" s="3"/>
      <c r="G427" s="3"/>
    </row>
    <row r="428" spans="1:7" ht="15.75" customHeight="1">
      <c r="A428" s="3"/>
      <c r="B428" s="3"/>
      <c r="C428" s="3"/>
      <c r="D428" s="3"/>
      <c r="E428" s="3"/>
      <c r="F428" s="3"/>
      <c r="G428" s="3"/>
    </row>
    <row r="429" spans="1:7" ht="15.75" customHeight="1">
      <c r="A429" s="3"/>
      <c r="B429" s="3"/>
      <c r="C429" s="3"/>
      <c r="D429" s="3"/>
      <c r="E429" s="3"/>
      <c r="F429" s="3"/>
      <c r="G429" s="3"/>
    </row>
    <row r="430" spans="1:7" ht="15.75" customHeight="1">
      <c r="A430" s="3"/>
      <c r="B430" s="3"/>
      <c r="C430" s="3"/>
      <c r="D430" s="3"/>
      <c r="E430" s="3"/>
      <c r="F430" s="3"/>
      <c r="G430" s="3"/>
    </row>
    <row r="431" spans="1:7" ht="15.75" customHeight="1">
      <c r="A431" s="3"/>
      <c r="B431" s="3"/>
      <c r="C431" s="3"/>
      <c r="D431" s="3"/>
      <c r="E431" s="3"/>
      <c r="F431" s="3"/>
      <c r="G431" s="3"/>
    </row>
    <row r="432" spans="1:7" ht="15.75" customHeight="1">
      <c r="A432" s="3"/>
      <c r="B432" s="3"/>
      <c r="C432" s="3"/>
      <c r="D432" s="3"/>
      <c r="E432" s="3"/>
      <c r="F432" s="3"/>
      <c r="G432" s="3"/>
    </row>
    <row r="433" spans="1:7" ht="15.75" customHeight="1">
      <c r="A433" s="3"/>
      <c r="B433" s="3"/>
      <c r="C433" s="3"/>
      <c r="D433" s="3"/>
      <c r="E433" s="3"/>
      <c r="F433" s="3"/>
      <c r="G433" s="3"/>
    </row>
    <row r="434" spans="1:7" ht="15.75" customHeight="1">
      <c r="A434" s="3"/>
      <c r="B434" s="3"/>
      <c r="C434" s="3"/>
      <c r="D434" s="3"/>
      <c r="E434" s="3"/>
      <c r="F434" s="3"/>
      <c r="G434" s="3"/>
    </row>
    <row r="435" spans="1:7" ht="15.75" customHeight="1">
      <c r="A435" s="3"/>
      <c r="B435" s="3"/>
      <c r="C435" s="3"/>
      <c r="D435" s="3"/>
      <c r="E435" s="3"/>
      <c r="F435" s="3"/>
      <c r="G435" s="3"/>
    </row>
    <row r="436" spans="1:7" ht="15.75" customHeight="1">
      <c r="A436" s="3"/>
      <c r="B436" s="3"/>
      <c r="C436" s="3"/>
      <c r="D436" s="3"/>
      <c r="E436" s="3"/>
      <c r="F436" s="3"/>
      <c r="G436" s="3"/>
    </row>
    <row r="437" spans="1:7" ht="15.75" customHeight="1">
      <c r="A437" s="3"/>
      <c r="B437" s="3"/>
      <c r="C437" s="3"/>
      <c r="D437" s="3"/>
      <c r="E437" s="3"/>
      <c r="F437" s="3"/>
      <c r="G437" s="3"/>
    </row>
    <row r="438" spans="1:7" ht="15.75" customHeight="1">
      <c r="A438" s="3"/>
      <c r="B438" s="3"/>
      <c r="C438" s="3"/>
      <c r="D438" s="3"/>
      <c r="E438" s="3"/>
      <c r="F438" s="3"/>
      <c r="G438" s="3"/>
    </row>
    <row r="439" spans="1:7" ht="15.75" customHeight="1">
      <c r="A439" s="3"/>
      <c r="B439" s="3"/>
      <c r="C439" s="3"/>
      <c r="D439" s="3"/>
      <c r="E439" s="3"/>
      <c r="F439" s="3"/>
      <c r="G439" s="3"/>
    </row>
    <row r="440" spans="1:7" ht="15.75" customHeight="1">
      <c r="A440" s="3"/>
      <c r="B440" s="3"/>
      <c r="C440" s="3"/>
      <c r="D440" s="3"/>
      <c r="E440" s="3"/>
      <c r="F440" s="3"/>
      <c r="G440" s="3"/>
    </row>
    <row r="441" spans="1:7" ht="15.75" customHeight="1">
      <c r="A441" s="3"/>
      <c r="B441" s="3"/>
      <c r="C441" s="3"/>
      <c r="D441" s="3"/>
      <c r="E441" s="3"/>
      <c r="F441" s="3"/>
      <c r="G441" s="3"/>
    </row>
    <row r="442" spans="1:7" ht="15.75" customHeight="1">
      <c r="A442" s="3"/>
      <c r="B442" s="3"/>
      <c r="C442" s="3"/>
      <c r="D442" s="3"/>
      <c r="E442" s="3"/>
      <c r="F442" s="3"/>
      <c r="G442" s="3"/>
    </row>
    <row r="443" spans="1:7" ht="15.75" customHeight="1">
      <c r="A443" s="3"/>
      <c r="B443" s="3"/>
      <c r="C443" s="3"/>
      <c r="D443" s="3"/>
      <c r="E443" s="3"/>
      <c r="F443" s="3"/>
      <c r="G443" s="3"/>
    </row>
    <row r="444" spans="1:7" ht="15.75" customHeight="1">
      <c r="A444" s="3"/>
      <c r="B444" s="3"/>
      <c r="C444" s="3"/>
      <c r="D444" s="3"/>
      <c r="E444" s="3"/>
      <c r="F444" s="3"/>
      <c r="G444" s="3"/>
    </row>
    <row r="445" spans="1:7" ht="15.75" customHeight="1">
      <c r="A445" s="3"/>
      <c r="B445" s="3"/>
      <c r="C445" s="3"/>
      <c r="D445" s="3"/>
      <c r="E445" s="3"/>
      <c r="F445" s="3"/>
      <c r="G445" s="3"/>
    </row>
    <row r="446" spans="1:7" ht="15.75" customHeight="1">
      <c r="A446" s="3"/>
      <c r="B446" s="3"/>
      <c r="C446" s="3"/>
      <c r="D446" s="3"/>
      <c r="E446" s="3"/>
      <c r="F446" s="3"/>
      <c r="G446" s="3"/>
    </row>
    <row r="447" spans="1:7" ht="15.75" customHeight="1">
      <c r="A447" s="3"/>
      <c r="B447" s="3"/>
      <c r="C447" s="3"/>
      <c r="D447" s="3"/>
      <c r="E447" s="3"/>
      <c r="F447" s="3"/>
      <c r="G447" s="3"/>
    </row>
    <row r="448" spans="1:7" ht="15.75" customHeight="1">
      <c r="A448" s="3"/>
      <c r="B448" s="3"/>
      <c r="C448" s="3"/>
      <c r="D448" s="3"/>
      <c r="E448" s="3"/>
      <c r="F448" s="3"/>
      <c r="G448" s="3"/>
    </row>
    <row r="449" spans="1:7" ht="15.75" customHeight="1">
      <c r="A449" s="3"/>
      <c r="B449" s="3"/>
      <c r="C449" s="3"/>
      <c r="D449" s="3"/>
      <c r="E449" s="3"/>
      <c r="F449" s="3"/>
      <c r="G449" s="3"/>
    </row>
    <row r="450" spans="1:7" ht="15.75" customHeight="1">
      <c r="A450" s="3"/>
      <c r="B450" s="3"/>
      <c r="C450" s="3"/>
      <c r="D450" s="3"/>
      <c r="E450" s="3"/>
      <c r="F450" s="3"/>
      <c r="G450" s="3"/>
    </row>
    <row r="451" spans="1:7" ht="15.75" customHeight="1">
      <c r="A451" s="3"/>
      <c r="B451" s="3"/>
      <c r="C451" s="3"/>
      <c r="D451" s="3"/>
      <c r="E451" s="3"/>
      <c r="F451" s="3"/>
      <c r="G451" s="3"/>
    </row>
    <row r="452" spans="1:7" ht="15.75" customHeight="1">
      <c r="A452" s="3"/>
      <c r="B452" s="3"/>
      <c r="C452" s="3"/>
      <c r="D452" s="3"/>
      <c r="E452" s="3"/>
      <c r="F452" s="3"/>
      <c r="G452" s="3"/>
    </row>
    <row r="453" spans="1:7" ht="15.75" customHeight="1">
      <c r="A453" s="3"/>
      <c r="B453" s="3"/>
      <c r="C453" s="3"/>
      <c r="D453" s="3"/>
      <c r="E453" s="3"/>
      <c r="F453" s="3"/>
      <c r="G453" s="3"/>
    </row>
    <row r="454" spans="1:7" ht="15.75" customHeight="1">
      <c r="A454" s="3"/>
      <c r="B454" s="3"/>
      <c r="C454" s="3"/>
      <c r="D454" s="3"/>
      <c r="E454" s="3"/>
      <c r="F454" s="3"/>
      <c r="G454" s="3"/>
    </row>
    <row r="455" spans="1:7" ht="15.75" customHeight="1">
      <c r="A455" s="3"/>
      <c r="B455" s="3"/>
      <c r="C455" s="3"/>
      <c r="D455" s="3"/>
      <c r="E455" s="3"/>
      <c r="F455" s="3"/>
      <c r="G455" s="3"/>
    </row>
    <row r="456" spans="1:7" ht="15.75" customHeight="1">
      <c r="A456" s="3"/>
      <c r="B456" s="3"/>
      <c r="C456" s="3"/>
      <c r="D456" s="3"/>
      <c r="E456" s="3"/>
      <c r="F456" s="3"/>
      <c r="G456" s="3"/>
    </row>
    <row r="457" spans="1:7" ht="15.75" customHeight="1">
      <c r="A457" s="3"/>
      <c r="B457" s="3"/>
      <c r="C457" s="3"/>
      <c r="D457" s="3"/>
      <c r="E457" s="3"/>
      <c r="F457" s="3"/>
      <c r="G457" s="3"/>
    </row>
    <row r="458" spans="1:7" ht="15.75" customHeight="1">
      <c r="A458" s="3"/>
      <c r="B458" s="3"/>
      <c r="C458" s="3"/>
      <c r="D458" s="3"/>
      <c r="E458" s="3"/>
      <c r="F458" s="3"/>
      <c r="G458" s="3"/>
    </row>
    <row r="459" spans="1:7" ht="15.75" customHeight="1">
      <c r="A459" s="3"/>
      <c r="B459" s="3"/>
      <c r="C459" s="3"/>
      <c r="D459" s="3"/>
      <c r="E459" s="3"/>
      <c r="F459" s="3"/>
      <c r="G459" s="3"/>
    </row>
    <row r="460" spans="1:7" ht="15.75" customHeight="1">
      <c r="A460" s="3"/>
      <c r="B460" s="3"/>
      <c r="C460" s="3"/>
      <c r="D460" s="3"/>
      <c r="E460" s="3"/>
      <c r="F460" s="3"/>
      <c r="G460" s="3"/>
    </row>
    <row r="461" spans="1:7" ht="15.75" customHeight="1">
      <c r="A461" s="3"/>
      <c r="B461" s="3"/>
      <c r="C461" s="3"/>
      <c r="D461" s="3"/>
      <c r="E461" s="3"/>
      <c r="F461" s="3"/>
      <c r="G461" s="3"/>
    </row>
    <row r="462" spans="1:7" ht="15.75" customHeight="1">
      <c r="A462" s="3"/>
      <c r="B462" s="3"/>
      <c r="C462" s="3"/>
      <c r="D462" s="3"/>
      <c r="E462" s="3"/>
      <c r="F462" s="3"/>
      <c r="G462" s="3"/>
    </row>
    <row r="463" spans="1:7" ht="15.75" customHeight="1">
      <c r="A463" s="3"/>
      <c r="B463" s="3"/>
      <c r="C463" s="3"/>
      <c r="D463" s="3"/>
      <c r="E463" s="3"/>
      <c r="F463" s="3"/>
      <c r="G463" s="3"/>
    </row>
    <row r="464" spans="1:7" ht="15.75" customHeight="1">
      <c r="A464" s="3"/>
      <c r="B464" s="3"/>
      <c r="C464" s="3"/>
      <c r="D464" s="3"/>
      <c r="E464" s="3"/>
      <c r="F464" s="3"/>
      <c r="G464" s="3"/>
    </row>
    <row r="465" spans="1:7" ht="15.75" customHeight="1">
      <c r="A465" s="3"/>
      <c r="B465" s="3"/>
      <c r="C465" s="3"/>
      <c r="D465" s="3"/>
      <c r="E465" s="3"/>
      <c r="F465" s="3"/>
      <c r="G465" s="3"/>
    </row>
    <row r="466" spans="1:7" ht="15.75" customHeight="1">
      <c r="A466" s="3"/>
      <c r="B466" s="3"/>
      <c r="C466" s="3"/>
      <c r="D466" s="3"/>
      <c r="E466" s="3"/>
      <c r="F466" s="3"/>
      <c r="G466" s="3"/>
    </row>
    <row r="467" spans="1:7" ht="15.75" customHeight="1">
      <c r="A467" s="3"/>
      <c r="B467" s="3"/>
      <c r="C467" s="3"/>
      <c r="D467" s="3"/>
      <c r="E467" s="3"/>
      <c r="F467" s="3"/>
      <c r="G467" s="3"/>
    </row>
    <row r="468" spans="1:7" ht="15.75" customHeight="1">
      <c r="A468" s="3"/>
      <c r="B468" s="3"/>
      <c r="C468" s="3"/>
      <c r="D468" s="3"/>
      <c r="E468" s="3"/>
      <c r="F468" s="3"/>
      <c r="G468" s="3"/>
    </row>
    <row r="469" spans="1:7" ht="15.75" customHeight="1">
      <c r="A469" s="3"/>
      <c r="B469" s="3"/>
      <c r="C469" s="3"/>
      <c r="D469" s="3"/>
      <c r="E469" s="3"/>
      <c r="F469" s="3"/>
      <c r="G469" s="3"/>
    </row>
    <row r="470" spans="1:7" ht="15.75" customHeight="1">
      <c r="A470" s="3"/>
      <c r="B470" s="3"/>
      <c r="C470" s="3"/>
      <c r="D470" s="3"/>
      <c r="E470" s="3"/>
      <c r="F470" s="3"/>
      <c r="G470" s="3"/>
    </row>
    <row r="471" spans="1:7" ht="15.75" customHeight="1">
      <c r="A471" s="3"/>
      <c r="B471" s="3"/>
      <c r="C471" s="3"/>
      <c r="D471" s="3"/>
      <c r="E471" s="3"/>
      <c r="F471" s="3"/>
      <c r="G471" s="3"/>
    </row>
    <row r="472" spans="1:7" ht="15.75" customHeight="1">
      <c r="A472" s="3"/>
      <c r="B472" s="3"/>
      <c r="C472" s="3"/>
      <c r="D472" s="3"/>
      <c r="E472" s="3"/>
      <c r="F472" s="3"/>
      <c r="G472" s="3"/>
    </row>
    <row r="473" spans="1:7" ht="15.75" customHeight="1">
      <c r="A473" s="3"/>
      <c r="B473" s="3"/>
      <c r="C473" s="3"/>
      <c r="D473" s="3"/>
      <c r="E473" s="3"/>
      <c r="F473" s="3"/>
      <c r="G473" s="3"/>
    </row>
    <row r="474" spans="1:7" ht="15.75" customHeight="1">
      <c r="A474" s="3"/>
      <c r="B474" s="3"/>
      <c r="C474" s="3"/>
      <c r="D474" s="3"/>
      <c r="E474" s="3"/>
      <c r="F474" s="3"/>
      <c r="G474" s="3"/>
    </row>
    <row r="475" spans="1:7" ht="15.75" customHeight="1">
      <c r="A475" s="3"/>
      <c r="B475" s="3"/>
      <c r="C475" s="3"/>
      <c r="D475" s="3"/>
      <c r="E475" s="3"/>
      <c r="F475" s="3"/>
      <c r="G475" s="3"/>
    </row>
    <row r="476" spans="1:7" ht="15.75" customHeight="1">
      <c r="A476" s="3"/>
      <c r="B476" s="3"/>
      <c r="C476" s="3"/>
      <c r="D476" s="3"/>
      <c r="E476" s="3"/>
      <c r="F476" s="3"/>
      <c r="G476" s="3"/>
    </row>
    <row r="477" spans="1:7" ht="15.75" customHeight="1">
      <c r="A477" s="3"/>
      <c r="B477" s="3"/>
      <c r="C477" s="3"/>
      <c r="D477" s="3"/>
      <c r="E477" s="3"/>
      <c r="F477" s="3"/>
      <c r="G477" s="3"/>
    </row>
    <row r="478" spans="1:7" ht="15.75" customHeight="1">
      <c r="A478" s="3"/>
      <c r="B478" s="3"/>
      <c r="C478" s="3"/>
      <c r="D478" s="3"/>
      <c r="E478" s="3"/>
      <c r="F478" s="3"/>
      <c r="G478" s="3"/>
    </row>
    <row r="479" spans="1:7" ht="15.75" customHeight="1">
      <c r="A479" s="3"/>
      <c r="B479" s="3"/>
      <c r="C479" s="3"/>
      <c r="D479" s="3"/>
      <c r="E479" s="3"/>
      <c r="F479" s="3"/>
      <c r="G479" s="3"/>
    </row>
    <row r="480" spans="1:7" ht="15.75" customHeight="1">
      <c r="A480" s="3"/>
      <c r="B480" s="3"/>
      <c r="C480" s="3"/>
      <c r="D480" s="3"/>
      <c r="E480" s="3"/>
      <c r="F480" s="3"/>
      <c r="G480" s="3"/>
    </row>
    <row r="481" spans="1:7" ht="15.75" customHeight="1">
      <c r="A481" s="3"/>
      <c r="B481" s="3"/>
      <c r="C481" s="3"/>
      <c r="D481" s="3"/>
      <c r="E481" s="3"/>
      <c r="F481" s="3"/>
      <c r="G481" s="3"/>
    </row>
    <row r="482" spans="1:7" ht="15.75" customHeight="1">
      <c r="A482" s="3"/>
      <c r="B482" s="3"/>
      <c r="C482" s="3"/>
      <c r="D482" s="3"/>
      <c r="E482" s="3"/>
      <c r="F482" s="3"/>
      <c r="G482" s="3"/>
    </row>
    <row r="483" spans="1:7" ht="15.75" customHeight="1">
      <c r="A483" s="3"/>
      <c r="B483" s="3"/>
      <c r="C483" s="3"/>
      <c r="D483" s="3"/>
      <c r="E483" s="3"/>
      <c r="F483" s="3"/>
      <c r="G483" s="3"/>
    </row>
    <row r="484" spans="1:7" ht="15.75" customHeight="1">
      <c r="A484" s="3"/>
      <c r="B484" s="3"/>
      <c r="C484" s="3"/>
      <c r="D484" s="3"/>
      <c r="E484" s="3"/>
      <c r="F484" s="3"/>
      <c r="G484" s="3"/>
    </row>
    <row r="485" spans="1:7" ht="15.75" customHeight="1">
      <c r="A485" s="3"/>
      <c r="B485" s="3"/>
      <c r="C485" s="3"/>
      <c r="D485" s="3"/>
      <c r="E485" s="3"/>
      <c r="F485" s="3"/>
      <c r="G485" s="3"/>
    </row>
    <row r="486" spans="1:7" ht="15.75" customHeight="1">
      <c r="A486" s="3"/>
      <c r="B486" s="3"/>
      <c r="C486" s="3"/>
      <c r="D486" s="3"/>
      <c r="E486" s="3"/>
      <c r="F486" s="3"/>
      <c r="G486" s="3"/>
    </row>
    <row r="487" spans="1:7" ht="15.75" customHeight="1">
      <c r="A487" s="3"/>
      <c r="B487" s="3"/>
      <c r="C487" s="3"/>
      <c r="D487" s="3"/>
      <c r="E487" s="3"/>
      <c r="F487" s="3"/>
      <c r="G487" s="3"/>
    </row>
    <row r="488" spans="1:7" ht="15.75" customHeight="1">
      <c r="A488" s="3"/>
      <c r="B488" s="3"/>
      <c r="C488" s="3"/>
      <c r="D488" s="3"/>
      <c r="E488" s="3"/>
      <c r="F488" s="3"/>
      <c r="G488" s="3"/>
    </row>
    <row r="489" spans="1:7" ht="15.75" customHeight="1">
      <c r="A489" s="3"/>
      <c r="B489" s="3"/>
      <c r="C489" s="3"/>
      <c r="D489" s="3"/>
      <c r="E489" s="3"/>
      <c r="F489" s="3"/>
      <c r="G489" s="3"/>
    </row>
    <row r="490" spans="1:7" ht="15.75" customHeight="1">
      <c r="A490" s="3"/>
      <c r="B490" s="3"/>
      <c r="C490" s="3"/>
      <c r="D490" s="3"/>
      <c r="E490" s="3"/>
      <c r="F490" s="3"/>
      <c r="G490" s="3"/>
    </row>
    <row r="491" spans="1:7" ht="15.75" customHeight="1">
      <c r="A491" s="3"/>
      <c r="B491" s="3"/>
      <c r="C491" s="3"/>
      <c r="D491" s="3"/>
      <c r="E491" s="3"/>
      <c r="F491" s="3"/>
      <c r="G491" s="3"/>
    </row>
    <row r="492" spans="1:7" ht="15.75" customHeight="1">
      <c r="A492" s="3"/>
      <c r="B492" s="3"/>
      <c r="C492" s="3"/>
      <c r="D492" s="3"/>
      <c r="E492" s="3"/>
      <c r="F492" s="3"/>
      <c r="G492" s="3"/>
    </row>
    <row r="493" spans="1:7" ht="15.75" customHeight="1">
      <c r="A493" s="3"/>
      <c r="B493" s="3"/>
      <c r="C493" s="3"/>
      <c r="D493" s="3"/>
      <c r="E493" s="3"/>
      <c r="F493" s="3"/>
      <c r="G493" s="3"/>
    </row>
    <row r="494" spans="1:7" ht="15.75" customHeight="1">
      <c r="A494" s="3"/>
      <c r="B494" s="3"/>
      <c r="C494" s="3"/>
      <c r="D494" s="3"/>
      <c r="E494" s="3"/>
      <c r="F494" s="3"/>
      <c r="G494" s="3"/>
    </row>
    <row r="495" spans="1:7" ht="15.75" customHeight="1">
      <c r="A495" s="3"/>
      <c r="B495" s="3"/>
      <c r="C495" s="3"/>
      <c r="D495" s="3"/>
      <c r="E495" s="3"/>
      <c r="F495" s="3"/>
      <c r="G495" s="3"/>
    </row>
    <row r="496" spans="1:7" ht="15.75" customHeight="1">
      <c r="A496" s="3"/>
      <c r="B496" s="3"/>
      <c r="C496" s="3"/>
      <c r="D496" s="3"/>
      <c r="E496" s="3"/>
      <c r="F496" s="3"/>
      <c r="G496" s="3"/>
    </row>
    <row r="497" spans="1:7" ht="15.75" customHeight="1">
      <c r="A497" s="3"/>
      <c r="B497" s="3"/>
      <c r="C497" s="3"/>
      <c r="D497" s="3"/>
      <c r="E497" s="3"/>
      <c r="F497" s="3"/>
      <c r="G497" s="3"/>
    </row>
    <row r="498" spans="1:7" ht="15.75" customHeight="1">
      <c r="A498" s="3"/>
      <c r="B498" s="3"/>
      <c r="C498" s="3"/>
      <c r="D498" s="3"/>
      <c r="E498" s="3"/>
      <c r="F498" s="3"/>
      <c r="G498" s="3"/>
    </row>
    <row r="499" spans="1:7" ht="15.75" customHeight="1">
      <c r="A499" s="3"/>
      <c r="B499" s="3"/>
      <c r="C499" s="3"/>
      <c r="D499" s="3"/>
      <c r="E499" s="3"/>
      <c r="F499" s="3"/>
      <c r="G499" s="3"/>
    </row>
    <row r="500" spans="1:7" ht="15.75" customHeight="1">
      <c r="A500" s="3"/>
      <c r="B500" s="3"/>
      <c r="C500" s="3"/>
      <c r="D500" s="3"/>
      <c r="E500" s="3"/>
      <c r="F500" s="3"/>
      <c r="G500" s="3"/>
    </row>
    <row r="501" spans="1:7" ht="15.75" customHeight="1">
      <c r="A501" s="3"/>
      <c r="B501" s="3"/>
      <c r="C501" s="3"/>
      <c r="D501" s="3"/>
      <c r="E501" s="3"/>
      <c r="F501" s="3"/>
      <c r="G501" s="3"/>
    </row>
    <row r="502" spans="1:7" ht="15.75" customHeight="1">
      <c r="A502" s="3"/>
      <c r="B502" s="3"/>
      <c r="C502" s="3"/>
      <c r="D502" s="3"/>
      <c r="E502" s="3"/>
      <c r="F502" s="3"/>
      <c r="G502" s="3"/>
    </row>
    <row r="503" spans="1:7" ht="15.75" customHeight="1">
      <c r="A503" s="3"/>
      <c r="B503" s="3"/>
      <c r="C503" s="3"/>
      <c r="D503" s="3"/>
      <c r="E503" s="3"/>
      <c r="F503" s="3"/>
      <c r="G503" s="3"/>
    </row>
    <row r="504" spans="1:7" ht="15.75" customHeight="1">
      <c r="A504" s="3"/>
      <c r="B504" s="3"/>
      <c r="C504" s="3"/>
      <c r="D504" s="3"/>
      <c r="E504" s="3"/>
      <c r="F504" s="3"/>
      <c r="G504" s="3"/>
    </row>
    <row r="505" spans="1:7" ht="15.75" customHeight="1">
      <c r="A505" s="3"/>
      <c r="B505" s="3"/>
      <c r="C505" s="3"/>
      <c r="D505" s="3"/>
      <c r="E505" s="3"/>
      <c r="F505" s="3"/>
      <c r="G505" s="3"/>
    </row>
    <row r="506" spans="1:7" ht="15.75" customHeight="1">
      <c r="A506" s="3"/>
      <c r="B506" s="3"/>
      <c r="C506" s="3"/>
      <c r="D506" s="3"/>
      <c r="E506" s="3"/>
      <c r="F506" s="3"/>
      <c r="G506" s="3"/>
    </row>
    <row r="507" spans="1:7" ht="15.75" customHeight="1">
      <c r="A507" s="3"/>
      <c r="B507" s="3"/>
      <c r="C507" s="3"/>
      <c r="D507" s="3"/>
      <c r="E507" s="3"/>
      <c r="F507" s="3"/>
      <c r="G507" s="3"/>
    </row>
    <row r="508" spans="1:7" ht="15.75" customHeight="1">
      <c r="A508" s="3"/>
      <c r="B508" s="3"/>
      <c r="C508" s="3"/>
      <c r="D508" s="3"/>
      <c r="E508" s="3"/>
      <c r="F508" s="3"/>
      <c r="G508" s="3"/>
    </row>
    <row r="509" spans="1:7" ht="15.75" customHeight="1">
      <c r="A509" s="3"/>
      <c r="B509" s="3"/>
      <c r="C509" s="3"/>
      <c r="D509" s="3"/>
      <c r="E509" s="3"/>
      <c r="F509" s="3"/>
      <c r="G509" s="3"/>
    </row>
    <row r="510" spans="1:7" ht="15.75" customHeight="1">
      <c r="A510" s="3"/>
      <c r="B510" s="3"/>
      <c r="C510" s="3"/>
      <c r="D510" s="3"/>
      <c r="E510" s="3"/>
      <c r="F510" s="3"/>
      <c r="G510" s="3"/>
    </row>
    <row r="511" spans="1:7" ht="15.75" customHeight="1">
      <c r="A511" s="3"/>
      <c r="B511" s="3"/>
      <c r="C511" s="3"/>
      <c r="D511" s="3"/>
      <c r="E511" s="3"/>
      <c r="F511" s="3"/>
      <c r="G511" s="3"/>
    </row>
    <row r="512" spans="1:7" ht="15.75" customHeight="1">
      <c r="A512" s="3"/>
      <c r="B512" s="3"/>
      <c r="C512" s="3"/>
      <c r="D512" s="3"/>
      <c r="E512" s="3"/>
      <c r="F512" s="3"/>
      <c r="G512" s="3"/>
    </row>
    <row r="513" spans="1:7" ht="15.75" customHeight="1">
      <c r="A513" s="3"/>
      <c r="B513" s="3"/>
      <c r="C513" s="3"/>
      <c r="D513" s="3"/>
      <c r="E513" s="3"/>
      <c r="F513" s="3"/>
      <c r="G513" s="3"/>
    </row>
    <row r="514" spans="1:7" ht="15.75" customHeight="1">
      <c r="A514" s="3"/>
      <c r="B514" s="3"/>
      <c r="C514" s="3"/>
      <c r="D514" s="3"/>
      <c r="E514" s="3"/>
      <c r="F514" s="3"/>
      <c r="G514" s="3"/>
    </row>
    <row r="515" spans="1:7" ht="15.75" customHeight="1">
      <c r="A515" s="3"/>
      <c r="B515" s="3"/>
      <c r="C515" s="3"/>
      <c r="D515" s="3"/>
      <c r="E515" s="3"/>
      <c r="F515" s="3"/>
      <c r="G515" s="3"/>
    </row>
    <row r="516" spans="1:7" ht="15.75" customHeight="1">
      <c r="A516" s="3"/>
      <c r="B516" s="3"/>
      <c r="C516" s="3"/>
      <c r="D516" s="3"/>
      <c r="E516" s="3"/>
      <c r="F516" s="3"/>
      <c r="G516" s="3"/>
    </row>
    <row r="517" spans="1:7" ht="15.75" customHeight="1">
      <c r="A517" s="3"/>
      <c r="B517" s="3"/>
      <c r="C517" s="3"/>
      <c r="D517" s="3"/>
      <c r="E517" s="3"/>
      <c r="F517" s="3"/>
      <c r="G517" s="3"/>
    </row>
    <row r="518" spans="1:7" ht="15.75" customHeight="1">
      <c r="A518" s="3"/>
      <c r="B518" s="3"/>
      <c r="C518" s="3"/>
      <c r="D518" s="3"/>
      <c r="E518" s="3"/>
      <c r="F518" s="3"/>
      <c r="G518" s="3"/>
    </row>
    <row r="519" spans="1:7" ht="15.75" customHeight="1">
      <c r="A519" s="3"/>
      <c r="B519" s="3"/>
      <c r="C519" s="3"/>
      <c r="D519" s="3"/>
      <c r="E519" s="3"/>
      <c r="F519" s="3"/>
      <c r="G519" s="3"/>
    </row>
    <row r="520" spans="1:7" ht="15.75" customHeight="1">
      <c r="A520" s="3"/>
      <c r="B520" s="3"/>
      <c r="C520" s="3"/>
      <c r="D520" s="3"/>
      <c r="E520" s="3"/>
      <c r="F520" s="3"/>
      <c r="G520" s="3"/>
    </row>
    <row r="521" spans="1:7" ht="15.75" customHeight="1">
      <c r="A521" s="3"/>
      <c r="B521" s="3"/>
      <c r="C521" s="3"/>
      <c r="D521" s="3"/>
      <c r="E521" s="3"/>
      <c r="F521" s="3"/>
      <c r="G521" s="3"/>
    </row>
    <row r="522" spans="1:7" ht="15.75" customHeight="1">
      <c r="A522" s="3"/>
      <c r="B522" s="3"/>
      <c r="C522" s="3"/>
      <c r="D522" s="3"/>
      <c r="E522" s="3"/>
      <c r="F522" s="3"/>
      <c r="G522" s="3"/>
    </row>
    <row r="523" spans="1:7" ht="15.75" customHeight="1">
      <c r="A523" s="3"/>
      <c r="B523" s="3"/>
      <c r="C523" s="3"/>
      <c r="D523" s="3"/>
      <c r="E523" s="3"/>
      <c r="F523" s="3"/>
      <c r="G523" s="3"/>
    </row>
    <row r="524" spans="1:7" ht="15.75" customHeight="1">
      <c r="A524" s="3"/>
      <c r="B524" s="3"/>
      <c r="C524" s="3"/>
      <c r="D524" s="3"/>
      <c r="E524" s="3"/>
      <c r="F524" s="3"/>
      <c r="G524" s="3"/>
    </row>
    <row r="525" spans="1:7" ht="15.75" customHeight="1">
      <c r="A525" s="3"/>
      <c r="B525" s="3"/>
      <c r="C525" s="3"/>
      <c r="D525" s="3"/>
      <c r="E525" s="3"/>
      <c r="F525" s="3"/>
      <c r="G525" s="3"/>
    </row>
    <row r="526" spans="1:7" ht="15.75" customHeight="1">
      <c r="A526" s="3"/>
      <c r="B526" s="3"/>
      <c r="C526" s="3"/>
      <c r="D526" s="3"/>
      <c r="E526" s="3"/>
      <c r="F526" s="3"/>
      <c r="G526" s="3"/>
    </row>
    <row r="527" spans="1:7" ht="15.75" customHeight="1">
      <c r="A527" s="3"/>
      <c r="B527" s="3"/>
      <c r="C527" s="3"/>
      <c r="D527" s="3"/>
      <c r="E527" s="3"/>
      <c r="F527" s="3"/>
      <c r="G527" s="3"/>
    </row>
    <row r="528" spans="1:7" ht="15.75" customHeight="1">
      <c r="A528" s="3"/>
      <c r="B528" s="3"/>
      <c r="C528" s="3"/>
      <c r="D528" s="3"/>
      <c r="E528" s="3"/>
      <c r="F528" s="3"/>
      <c r="G528" s="3"/>
    </row>
    <row r="529" spans="1:7" ht="15.75" customHeight="1">
      <c r="A529" s="3"/>
      <c r="B529" s="3"/>
      <c r="C529" s="3"/>
      <c r="D529" s="3"/>
      <c r="E529" s="3"/>
      <c r="F529" s="3"/>
      <c r="G529" s="3"/>
    </row>
    <row r="530" spans="1:7" ht="15.75" customHeight="1">
      <c r="A530" s="3"/>
      <c r="B530" s="3"/>
      <c r="C530" s="3"/>
      <c r="D530" s="3"/>
      <c r="E530" s="3"/>
      <c r="F530" s="3"/>
      <c r="G530" s="3"/>
    </row>
    <row r="531" spans="1:7" ht="15.75" customHeight="1">
      <c r="A531" s="3"/>
      <c r="B531" s="3"/>
      <c r="C531" s="3"/>
      <c r="D531" s="3"/>
      <c r="E531" s="3"/>
      <c r="F531" s="3"/>
      <c r="G531" s="3"/>
    </row>
    <row r="532" spans="1:7" ht="15.75" customHeight="1">
      <c r="A532" s="3"/>
      <c r="B532" s="3"/>
      <c r="C532" s="3"/>
      <c r="D532" s="3"/>
      <c r="E532" s="3"/>
      <c r="F532" s="3"/>
      <c r="G532" s="3"/>
    </row>
    <row r="533" spans="1:7" ht="15.75" customHeight="1">
      <c r="A533" s="3"/>
      <c r="B533" s="3"/>
      <c r="C533" s="3"/>
      <c r="D533" s="3"/>
      <c r="E533" s="3"/>
      <c r="F533" s="3"/>
      <c r="G533" s="3"/>
    </row>
    <row r="534" spans="1:7" ht="15.75" customHeight="1">
      <c r="A534" s="3"/>
      <c r="B534" s="3"/>
      <c r="C534" s="3"/>
      <c r="D534" s="3"/>
      <c r="E534" s="3"/>
      <c r="F534" s="3"/>
      <c r="G534" s="3"/>
    </row>
    <row r="535" spans="1:7" ht="15.75" customHeight="1">
      <c r="A535" s="3"/>
      <c r="B535" s="3"/>
      <c r="C535" s="3"/>
      <c r="D535" s="3"/>
      <c r="E535" s="3"/>
      <c r="F535" s="3"/>
      <c r="G535" s="3"/>
    </row>
    <row r="536" spans="1:7" ht="15.75" customHeight="1">
      <c r="A536" s="3"/>
      <c r="B536" s="3"/>
      <c r="C536" s="3"/>
      <c r="D536" s="3"/>
      <c r="E536" s="3"/>
      <c r="F536" s="3"/>
      <c r="G536" s="3"/>
    </row>
    <row r="537" spans="1:7" ht="15.75" customHeight="1">
      <c r="A537" s="3"/>
      <c r="B537" s="3"/>
      <c r="C537" s="3"/>
      <c r="D537" s="3"/>
      <c r="E537" s="3"/>
      <c r="F537" s="3"/>
      <c r="G537" s="3"/>
    </row>
    <row r="538" spans="1:7" ht="15.75" customHeight="1">
      <c r="A538" s="3"/>
      <c r="B538" s="3"/>
      <c r="C538" s="3"/>
      <c r="D538" s="3"/>
      <c r="E538" s="3"/>
      <c r="F538" s="3"/>
      <c r="G538" s="3"/>
    </row>
    <row r="539" spans="1:7" ht="15.75" customHeight="1">
      <c r="A539" s="3"/>
      <c r="B539" s="3"/>
      <c r="C539" s="3"/>
      <c r="D539" s="3"/>
      <c r="E539" s="3"/>
      <c r="F539" s="3"/>
      <c r="G539" s="3"/>
    </row>
    <row r="540" spans="1:7" ht="15.75" customHeight="1">
      <c r="A540" s="3"/>
      <c r="B540" s="3"/>
      <c r="C540" s="3"/>
      <c r="D540" s="3"/>
      <c r="E540" s="3"/>
      <c r="F540" s="3"/>
      <c r="G540" s="3"/>
    </row>
    <row r="541" spans="1:7" ht="15.75" customHeight="1">
      <c r="A541" s="3"/>
      <c r="B541" s="3"/>
      <c r="C541" s="3"/>
      <c r="D541" s="3"/>
      <c r="E541" s="3"/>
      <c r="F541" s="3"/>
      <c r="G541" s="3"/>
    </row>
    <row r="542" spans="1:7" ht="15.75" customHeight="1">
      <c r="A542" s="3"/>
      <c r="B542" s="3"/>
      <c r="C542" s="3"/>
      <c r="D542" s="3"/>
      <c r="E542" s="3"/>
      <c r="F542" s="3"/>
      <c r="G542" s="3"/>
    </row>
    <row r="543" spans="1:7" ht="15.75" customHeight="1">
      <c r="A543" s="3"/>
      <c r="B543" s="3"/>
      <c r="C543" s="3"/>
      <c r="D543" s="3"/>
      <c r="E543" s="3"/>
      <c r="F543" s="3"/>
      <c r="G543" s="3"/>
    </row>
    <row r="544" spans="1:7" ht="15.75" customHeight="1">
      <c r="A544" s="3"/>
      <c r="B544" s="3"/>
      <c r="C544" s="3"/>
      <c r="D544" s="3"/>
      <c r="E544" s="3"/>
      <c r="F544" s="3"/>
      <c r="G544" s="3"/>
    </row>
    <row r="545" spans="1:7" ht="15.75" customHeight="1">
      <c r="A545" s="3"/>
      <c r="B545" s="3"/>
      <c r="C545" s="3"/>
      <c r="D545" s="3"/>
      <c r="E545" s="3"/>
      <c r="F545" s="3"/>
      <c r="G545" s="3"/>
    </row>
    <row r="546" spans="1:7" ht="15.75" customHeight="1">
      <c r="A546" s="3"/>
      <c r="B546" s="3"/>
      <c r="C546" s="3"/>
      <c r="D546" s="3"/>
      <c r="E546" s="3"/>
      <c r="F546" s="3"/>
      <c r="G546" s="3"/>
    </row>
    <row r="547" spans="1:7" ht="15.75" customHeight="1">
      <c r="A547" s="3"/>
      <c r="B547" s="3"/>
      <c r="C547" s="3"/>
      <c r="D547" s="3"/>
      <c r="E547" s="3"/>
      <c r="F547" s="3"/>
      <c r="G547" s="3"/>
    </row>
    <row r="548" spans="1:7" ht="15.75" customHeight="1">
      <c r="A548" s="3"/>
      <c r="B548" s="3"/>
      <c r="C548" s="3"/>
      <c r="D548" s="3"/>
      <c r="E548" s="3"/>
      <c r="F548" s="3"/>
      <c r="G548" s="3"/>
    </row>
    <row r="549" spans="1:7" ht="15.75" customHeight="1">
      <c r="A549" s="3"/>
      <c r="B549" s="3"/>
      <c r="C549" s="3"/>
      <c r="D549" s="3"/>
      <c r="E549" s="3"/>
      <c r="F549" s="3"/>
      <c r="G549" s="3"/>
    </row>
    <row r="550" spans="1:7" ht="15.75" customHeight="1">
      <c r="A550" s="3"/>
      <c r="B550" s="3"/>
      <c r="C550" s="3"/>
      <c r="D550" s="3"/>
      <c r="E550" s="3"/>
      <c r="F550" s="3"/>
      <c r="G550" s="3"/>
    </row>
    <row r="551" spans="1:7" ht="15.75" customHeight="1">
      <c r="A551" s="3"/>
      <c r="B551" s="3"/>
      <c r="C551" s="3"/>
      <c r="D551" s="3"/>
      <c r="E551" s="3"/>
      <c r="F551" s="3"/>
      <c r="G551" s="3"/>
    </row>
    <row r="552" spans="1:7" ht="15.75" customHeight="1">
      <c r="A552" s="3"/>
      <c r="B552" s="3"/>
      <c r="C552" s="3"/>
      <c r="D552" s="3"/>
      <c r="E552" s="3"/>
      <c r="F552" s="3"/>
      <c r="G552" s="3"/>
    </row>
    <row r="553" spans="1:7" ht="15.75" customHeight="1">
      <c r="A553" s="3"/>
      <c r="B553" s="3"/>
      <c r="C553" s="3"/>
      <c r="D553" s="3"/>
      <c r="E553" s="3"/>
      <c r="F553" s="3"/>
      <c r="G553" s="3"/>
    </row>
    <row r="554" spans="1:7" ht="15.75" customHeight="1">
      <c r="A554" s="3"/>
      <c r="B554" s="3"/>
      <c r="C554" s="3"/>
      <c r="D554" s="3"/>
      <c r="E554" s="3"/>
      <c r="F554" s="3"/>
      <c r="G554" s="3"/>
    </row>
    <row r="555" spans="1:7" ht="15.75" customHeight="1">
      <c r="A555" s="3"/>
      <c r="B555" s="3"/>
      <c r="C555" s="3"/>
      <c r="D555" s="3"/>
      <c r="E555" s="3"/>
      <c r="F555" s="3"/>
      <c r="G555" s="3"/>
    </row>
    <row r="556" spans="1:7" ht="15.75" customHeight="1">
      <c r="A556" s="3"/>
      <c r="B556" s="3"/>
      <c r="C556" s="3"/>
      <c r="D556" s="3"/>
      <c r="E556" s="3"/>
      <c r="F556" s="3"/>
      <c r="G556" s="3"/>
    </row>
    <row r="557" spans="1:7" ht="15.75" customHeight="1">
      <c r="A557" s="3"/>
      <c r="B557" s="3"/>
      <c r="C557" s="3"/>
      <c r="D557" s="3"/>
      <c r="E557" s="3"/>
      <c r="F557" s="3"/>
      <c r="G557" s="3"/>
    </row>
    <row r="558" spans="1:7" ht="15.75" customHeight="1">
      <c r="A558" s="3"/>
      <c r="B558" s="3"/>
      <c r="C558" s="3"/>
      <c r="D558" s="3"/>
      <c r="E558" s="3"/>
      <c r="F558" s="3"/>
      <c r="G558" s="3"/>
    </row>
    <row r="559" spans="1:7" ht="15.75" customHeight="1">
      <c r="A559" s="3"/>
      <c r="B559" s="3"/>
      <c r="C559" s="3"/>
      <c r="D559" s="3"/>
      <c r="E559" s="3"/>
      <c r="F559" s="3"/>
      <c r="G559" s="3"/>
    </row>
    <row r="560" spans="1:7" ht="15.75" customHeight="1">
      <c r="A560" s="3"/>
      <c r="B560" s="3"/>
      <c r="C560" s="3"/>
      <c r="D560" s="3"/>
      <c r="E560" s="3"/>
      <c r="F560" s="3"/>
      <c r="G560" s="3"/>
    </row>
    <row r="561" spans="1:7" ht="15.75" customHeight="1">
      <c r="A561" s="3"/>
      <c r="B561" s="3"/>
      <c r="C561" s="3"/>
      <c r="D561" s="3"/>
      <c r="E561" s="3"/>
      <c r="F561" s="3"/>
      <c r="G561" s="3"/>
    </row>
    <row r="562" spans="1:7" ht="15.75" customHeight="1">
      <c r="A562" s="3"/>
      <c r="B562" s="3"/>
      <c r="C562" s="3"/>
      <c r="D562" s="3"/>
      <c r="E562" s="3"/>
      <c r="F562" s="3"/>
      <c r="G562" s="3"/>
    </row>
    <row r="563" spans="1:7" ht="15.75" customHeight="1">
      <c r="A563" s="3"/>
      <c r="B563" s="3"/>
      <c r="C563" s="3"/>
      <c r="D563" s="3"/>
      <c r="E563" s="3"/>
      <c r="F563" s="3"/>
      <c r="G563" s="3"/>
    </row>
    <row r="564" spans="1:7" ht="15.75" customHeight="1">
      <c r="A564" s="3"/>
      <c r="B564" s="3"/>
      <c r="C564" s="3"/>
      <c r="D564" s="3"/>
      <c r="E564" s="3"/>
      <c r="F564" s="3"/>
      <c r="G564" s="3"/>
    </row>
    <row r="565" spans="1:7" ht="15.75" customHeight="1">
      <c r="A565" s="3"/>
      <c r="B565" s="3"/>
      <c r="C565" s="3"/>
      <c r="D565" s="3"/>
      <c r="E565" s="3"/>
      <c r="F565" s="3"/>
      <c r="G565" s="3"/>
    </row>
    <row r="566" spans="1:7" ht="15.75" customHeight="1">
      <c r="A566" s="3"/>
      <c r="B566" s="3"/>
      <c r="C566" s="3"/>
      <c r="D566" s="3"/>
      <c r="E566" s="3"/>
      <c r="F566" s="3"/>
      <c r="G566" s="3"/>
    </row>
    <row r="567" spans="1:7" ht="15.75" customHeight="1">
      <c r="A567" s="3"/>
      <c r="B567" s="3"/>
      <c r="C567" s="3"/>
      <c r="D567" s="3"/>
      <c r="E567" s="3"/>
      <c r="F567" s="3"/>
      <c r="G567" s="3"/>
    </row>
    <row r="568" spans="1:7" ht="15.75" customHeight="1">
      <c r="A568" s="3"/>
      <c r="B568" s="3"/>
      <c r="C568" s="3"/>
      <c r="D568" s="3"/>
      <c r="E568" s="3"/>
      <c r="F568" s="3"/>
      <c r="G568" s="3"/>
    </row>
    <row r="569" spans="1:7" ht="15.75" customHeight="1">
      <c r="A569" s="3"/>
      <c r="B569" s="3"/>
      <c r="C569" s="3"/>
      <c r="D569" s="3"/>
      <c r="E569" s="3"/>
      <c r="F569" s="3"/>
      <c r="G569" s="3"/>
    </row>
    <row r="570" spans="1:7" ht="15.75" customHeight="1">
      <c r="A570" s="3"/>
      <c r="B570" s="3"/>
      <c r="C570" s="3"/>
      <c r="D570" s="3"/>
      <c r="E570" s="3"/>
      <c r="F570" s="3"/>
      <c r="G570" s="3"/>
    </row>
    <row r="571" spans="1:7" ht="15.75" customHeight="1">
      <c r="A571" s="3"/>
      <c r="B571" s="3"/>
      <c r="C571" s="3"/>
      <c r="D571" s="3"/>
      <c r="E571" s="3"/>
      <c r="F571" s="3"/>
      <c r="G571" s="3"/>
    </row>
    <row r="572" spans="1:7" ht="15.75" customHeight="1">
      <c r="A572" s="3"/>
      <c r="B572" s="3"/>
      <c r="C572" s="3"/>
      <c r="D572" s="3"/>
      <c r="E572" s="3"/>
      <c r="F572" s="3"/>
      <c r="G572" s="3"/>
    </row>
    <row r="573" spans="1:7" ht="15.75" customHeight="1">
      <c r="A573" s="3"/>
      <c r="B573" s="3"/>
      <c r="C573" s="3"/>
      <c r="D573" s="3"/>
      <c r="E573" s="3"/>
      <c r="F573" s="3"/>
      <c r="G573" s="3"/>
    </row>
    <row r="574" spans="1:7" ht="15.75" customHeight="1">
      <c r="A574" s="3"/>
      <c r="B574" s="3"/>
      <c r="C574" s="3"/>
      <c r="D574" s="3"/>
      <c r="E574" s="3"/>
      <c r="F574" s="3"/>
      <c r="G574" s="3"/>
    </row>
    <row r="575" spans="1:7" ht="15.75" customHeight="1">
      <c r="A575" s="3"/>
      <c r="B575" s="3"/>
      <c r="C575" s="3"/>
      <c r="D575" s="3"/>
      <c r="E575" s="3"/>
      <c r="F575" s="3"/>
      <c r="G575" s="3"/>
    </row>
    <row r="576" spans="1:7" ht="15.75" customHeight="1">
      <c r="A576" s="3"/>
      <c r="B576" s="3"/>
      <c r="C576" s="3"/>
      <c r="D576" s="3"/>
      <c r="E576" s="3"/>
      <c r="F576" s="3"/>
      <c r="G576" s="3"/>
    </row>
    <row r="577" spans="1:7" ht="15.75" customHeight="1">
      <c r="A577" s="3"/>
      <c r="B577" s="3"/>
      <c r="C577" s="3"/>
      <c r="D577" s="3"/>
      <c r="E577" s="3"/>
      <c r="F577" s="3"/>
      <c r="G577" s="3"/>
    </row>
    <row r="578" spans="1:7" ht="15.75" customHeight="1">
      <c r="A578" s="3"/>
      <c r="B578" s="3"/>
      <c r="C578" s="3"/>
      <c r="D578" s="3"/>
      <c r="E578" s="3"/>
      <c r="F578" s="3"/>
      <c r="G578" s="3"/>
    </row>
    <row r="579" spans="1:7" ht="15.75" customHeight="1">
      <c r="A579" s="3"/>
      <c r="B579" s="3"/>
      <c r="C579" s="3"/>
      <c r="D579" s="3"/>
      <c r="E579" s="3"/>
      <c r="F579" s="3"/>
      <c r="G579" s="3"/>
    </row>
    <row r="580" spans="1:7" ht="15.75" customHeight="1">
      <c r="A580" s="3"/>
      <c r="B580" s="3"/>
      <c r="C580" s="3"/>
      <c r="D580" s="3"/>
      <c r="E580" s="3"/>
      <c r="F580" s="3"/>
      <c r="G580" s="3"/>
    </row>
    <row r="581" spans="1:7" ht="15.75" customHeight="1">
      <c r="A581" s="3"/>
      <c r="B581" s="3"/>
      <c r="C581" s="3"/>
      <c r="D581" s="3"/>
      <c r="E581" s="3"/>
      <c r="F581" s="3"/>
      <c r="G581" s="3"/>
    </row>
    <row r="582" spans="1:7" ht="15.75" customHeight="1">
      <c r="A582" s="3"/>
      <c r="B582" s="3"/>
      <c r="C582" s="3"/>
      <c r="D582" s="3"/>
      <c r="E582" s="3"/>
      <c r="F582" s="3"/>
      <c r="G582" s="3"/>
    </row>
    <row r="583" spans="1:7" ht="15.75" customHeight="1">
      <c r="A583" s="3"/>
      <c r="B583" s="3"/>
      <c r="C583" s="3"/>
      <c r="D583" s="3"/>
      <c r="E583" s="3"/>
      <c r="F583" s="3"/>
      <c r="G583" s="3"/>
    </row>
    <row r="584" spans="1:7" ht="15.75" customHeight="1">
      <c r="A584" s="3"/>
      <c r="B584" s="3"/>
      <c r="C584" s="3"/>
      <c r="D584" s="3"/>
      <c r="E584" s="3"/>
      <c r="F584" s="3"/>
      <c r="G584" s="3"/>
    </row>
    <row r="585" spans="1:7" ht="15.75" customHeight="1">
      <c r="A585" s="3"/>
      <c r="B585" s="3"/>
      <c r="C585" s="3"/>
      <c r="D585" s="3"/>
      <c r="E585" s="3"/>
      <c r="F585" s="3"/>
      <c r="G585" s="3"/>
    </row>
    <row r="586" spans="1:7" ht="15.75" customHeight="1">
      <c r="A586" s="3"/>
      <c r="B586" s="3"/>
      <c r="C586" s="3"/>
      <c r="D586" s="3"/>
      <c r="E586" s="3"/>
      <c r="F586" s="3"/>
      <c r="G586" s="3"/>
    </row>
    <row r="587" spans="1:7" ht="15.75" customHeight="1">
      <c r="A587" s="3"/>
      <c r="B587" s="3"/>
      <c r="C587" s="3"/>
      <c r="D587" s="3"/>
      <c r="E587" s="3"/>
      <c r="F587" s="3"/>
      <c r="G587" s="3"/>
    </row>
    <row r="588" spans="1:7" ht="15.75" customHeight="1">
      <c r="A588" s="3"/>
      <c r="B588" s="3"/>
      <c r="C588" s="3"/>
      <c r="D588" s="3"/>
      <c r="E588" s="3"/>
      <c r="F588" s="3"/>
      <c r="G588" s="3"/>
    </row>
    <row r="589" spans="1:7" ht="15.75" customHeight="1">
      <c r="A589" s="3"/>
      <c r="B589" s="3"/>
      <c r="C589" s="3"/>
      <c r="D589" s="3"/>
      <c r="E589" s="3"/>
      <c r="F589" s="3"/>
      <c r="G589" s="3"/>
    </row>
    <row r="590" spans="1:7" ht="15.75" customHeight="1">
      <c r="A590" s="3"/>
      <c r="B590" s="3"/>
      <c r="C590" s="3"/>
      <c r="D590" s="3"/>
      <c r="E590" s="3"/>
      <c r="F590" s="3"/>
      <c r="G590" s="3"/>
    </row>
    <row r="591" spans="1:7" ht="15.75" customHeight="1">
      <c r="A591" s="3"/>
      <c r="B591" s="3"/>
      <c r="C591" s="3"/>
      <c r="D591" s="3"/>
      <c r="E591" s="3"/>
      <c r="F591" s="3"/>
      <c r="G591" s="3"/>
    </row>
    <row r="592" spans="1:7" ht="15.75" customHeight="1">
      <c r="A592" s="3"/>
      <c r="B592" s="3"/>
      <c r="C592" s="3"/>
      <c r="D592" s="3"/>
      <c r="E592" s="3"/>
      <c r="F592" s="3"/>
      <c r="G592" s="3"/>
    </row>
    <row r="593" spans="1:7" ht="15.75" customHeight="1">
      <c r="A593" s="3"/>
      <c r="B593" s="3"/>
      <c r="C593" s="3"/>
      <c r="D593" s="3"/>
      <c r="E593" s="3"/>
      <c r="F593" s="3"/>
      <c r="G593" s="3"/>
    </row>
    <row r="594" spans="1:7" ht="15.75" customHeight="1">
      <c r="A594" s="3"/>
      <c r="B594" s="3"/>
      <c r="C594" s="3"/>
      <c r="D594" s="3"/>
      <c r="E594" s="3"/>
      <c r="F594" s="3"/>
      <c r="G594" s="3"/>
    </row>
    <row r="595" spans="1:7" ht="15.75" customHeight="1">
      <c r="A595" s="3"/>
      <c r="B595" s="3"/>
      <c r="C595" s="3"/>
      <c r="D595" s="3"/>
      <c r="E595" s="3"/>
      <c r="F595" s="3"/>
      <c r="G595" s="3"/>
    </row>
    <row r="596" spans="1:7" ht="15.75" customHeight="1">
      <c r="A596" s="3"/>
      <c r="B596" s="3"/>
      <c r="C596" s="3"/>
      <c r="D596" s="3"/>
      <c r="E596" s="3"/>
      <c r="F596" s="3"/>
      <c r="G596" s="3"/>
    </row>
    <row r="597" spans="1:7" ht="15.75" customHeight="1">
      <c r="A597" s="3"/>
      <c r="B597" s="3"/>
      <c r="C597" s="3"/>
      <c r="D597" s="3"/>
      <c r="E597" s="3"/>
      <c r="F597" s="3"/>
      <c r="G597" s="3"/>
    </row>
    <row r="598" spans="1:7" ht="15.75" customHeight="1">
      <c r="A598" s="3"/>
      <c r="B598" s="3"/>
      <c r="C598" s="3"/>
      <c r="D598" s="3"/>
      <c r="E598" s="3"/>
      <c r="F598" s="3"/>
      <c r="G598" s="3"/>
    </row>
    <row r="599" spans="1:7" ht="15.75" customHeight="1">
      <c r="A599" s="3"/>
      <c r="B599" s="3"/>
      <c r="C599" s="3"/>
      <c r="D599" s="3"/>
      <c r="E599" s="3"/>
      <c r="F599" s="3"/>
      <c r="G599" s="3"/>
    </row>
    <row r="600" spans="1:7" ht="15.75" customHeight="1">
      <c r="A600" s="3"/>
      <c r="B600" s="3"/>
      <c r="C600" s="3"/>
      <c r="D600" s="3"/>
      <c r="E600" s="3"/>
      <c r="F600" s="3"/>
      <c r="G600" s="3"/>
    </row>
    <row r="601" spans="1:7" ht="15.75" customHeight="1">
      <c r="A601" s="3"/>
      <c r="B601" s="3"/>
      <c r="C601" s="3"/>
      <c r="D601" s="3"/>
      <c r="E601" s="3"/>
      <c r="F601" s="3"/>
      <c r="G601" s="3"/>
    </row>
    <row r="602" spans="1:7" ht="15.75" customHeight="1">
      <c r="A602" s="3"/>
      <c r="B602" s="3"/>
      <c r="C602" s="3"/>
      <c r="D602" s="3"/>
      <c r="E602" s="3"/>
      <c r="F602" s="3"/>
      <c r="G602" s="3"/>
    </row>
    <row r="603" spans="1:7" ht="15.75" customHeight="1">
      <c r="A603" s="3"/>
      <c r="B603" s="3"/>
      <c r="C603" s="3"/>
      <c r="D603" s="3"/>
      <c r="E603" s="3"/>
      <c r="F603" s="3"/>
      <c r="G603" s="3"/>
    </row>
    <row r="604" spans="1:7" ht="15.75" customHeight="1">
      <c r="A604" s="3"/>
      <c r="B604" s="3"/>
      <c r="C604" s="3"/>
      <c r="D604" s="3"/>
      <c r="E604" s="3"/>
      <c r="F604" s="3"/>
      <c r="G604" s="3"/>
    </row>
    <row r="605" spans="1:7" ht="15.75" customHeight="1">
      <c r="A605" s="3"/>
      <c r="B605" s="3"/>
      <c r="C605" s="3"/>
      <c r="D605" s="3"/>
      <c r="E605" s="3"/>
      <c r="F605" s="3"/>
      <c r="G605" s="3"/>
    </row>
    <row r="606" spans="1:7" ht="15.75" customHeight="1">
      <c r="A606" s="3"/>
      <c r="B606" s="3"/>
      <c r="C606" s="3"/>
      <c r="D606" s="3"/>
      <c r="E606" s="3"/>
      <c r="F606" s="3"/>
      <c r="G606" s="3"/>
    </row>
    <row r="607" spans="1:7" ht="15.75" customHeight="1">
      <c r="A607" s="3"/>
      <c r="B607" s="3"/>
      <c r="C607" s="3"/>
      <c r="D607" s="3"/>
      <c r="E607" s="3"/>
      <c r="F607" s="3"/>
      <c r="G607" s="3"/>
    </row>
    <row r="608" spans="1:7" ht="15.75" customHeight="1">
      <c r="A608" s="3"/>
      <c r="B608" s="3"/>
      <c r="C608" s="3"/>
      <c r="D608" s="3"/>
      <c r="E608" s="3"/>
      <c r="F608" s="3"/>
      <c r="G608" s="3"/>
    </row>
    <row r="609" spans="1:7" ht="15.75" customHeight="1">
      <c r="A609" s="3"/>
      <c r="B609" s="3"/>
      <c r="C609" s="3"/>
      <c r="D609" s="3"/>
      <c r="E609" s="3"/>
      <c r="F609" s="3"/>
      <c r="G609" s="3"/>
    </row>
    <row r="610" spans="1:7" ht="15.75" customHeight="1">
      <c r="A610" s="3"/>
      <c r="B610" s="3"/>
      <c r="C610" s="3"/>
      <c r="D610" s="3"/>
      <c r="E610" s="3"/>
      <c r="F610" s="3"/>
      <c r="G610" s="3"/>
    </row>
    <row r="611" spans="1:7" ht="15.75" customHeight="1">
      <c r="A611" s="3"/>
      <c r="B611" s="3"/>
      <c r="C611" s="3"/>
      <c r="D611" s="3"/>
      <c r="E611" s="3"/>
      <c r="F611" s="3"/>
      <c r="G611" s="3"/>
    </row>
    <row r="612" spans="1:7" ht="15.75" customHeight="1">
      <c r="A612" s="3"/>
      <c r="B612" s="3"/>
      <c r="C612" s="3"/>
      <c r="D612" s="3"/>
      <c r="E612" s="3"/>
      <c r="F612" s="3"/>
      <c r="G612" s="3"/>
    </row>
    <row r="613" spans="1:7" ht="15.75" customHeight="1">
      <c r="A613" s="3"/>
      <c r="B613" s="3"/>
      <c r="C613" s="3"/>
      <c r="D613" s="3"/>
      <c r="E613" s="3"/>
      <c r="F613" s="3"/>
      <c r="G613" s="3"/>
    </row>
    <row r="614" spans="1:7" ht="15.75" customHeight="1">
      <c r="A614" s="3"/>
      <c r="B614" s="3"/>
      <c r="C614" s="3"/>
      <c r="D614" s="3"/>
      <c r="E614" s="3"/>
      <c r="F614" s="3"/>
      <c r="G614" s="3"/>
    </row>
    <row r="615" spans="1:7" ht="15.75" customHeight="1">
      <c r="A615" s="3"/>
      <c r="B615" s="3"/>
      <c r="C615" s="3"/>
      <c r="D615" s="3"/>
      <c r="E615" s="3"/>
      <c r="F615" s="3"/>
      <c r="G615" s="3"/>
    </row>
    <row r="616" spans="1:7" ht="15.75" customHeight="1">
      <c r="A616" s="3"/>
      <c r="B616" s="3"/>
      <c r="C616" s="3"/>
      <c r="D616" s="3"/>
      <c r="E616" s="3"/>
      <c r="F616" s="3"/>
      <c r="G616" s="3"/>
    </row>
    <row r="617" spans="1:7" ht="15.75" customHeight="1">
      <c r="A617" s="3"/>
      <c r="B617" s="3"/>
      <c r="C617" s="3"/>
      <c r="D617" s="3"/>
      <c r="E617" s="3"/>
      <c r="F617" s="3"/>
      <c r="G617" s="3"/>
    </row>
    <row r="618" spans="1:7" ht="15.75" customHeight="1">
      <c r="A618" s="3"/>
      <c r="B618" s="3"/>
      <c r="C618" s="3"/>
      <c r="D618" s="3"/>
      <c r="E618" s="3"/>
      <c r="F618" s="3"/>
      <c r="G618" s="3"/>
    </row>
    <row r="619" spans="1:7" ht="15.75" customHeight="1">
      <c r="A619" s="3"/>
      <c r="B619" s="3"/>
      <c r="C619" s="3"/>
      <c r="D619" s="3"/>
      <c r="E619" s="3"/>
      <c r="F619" s="3"/>
      <c r="G619" s="3"/>
    </row>
    <row r="620" spans="1:7" ht="15.75" customHeight="1">
      <c r="A620" s="3"/>
      <c r="B620" s="3"/>
      <c r="C620" s="3"/>
      <c r="D620" s="3"/>
      <c r="E620" s="3"/>
      <c r="F620" s="3"/>
      <c r="G620" s="3"/>
    </row>
    <row r="621" spans="1:7" ht="15.75" customHeight="1">
      <c r="A621" s="3"/>
      <c r="B621" s="3"/>
      <c r="C621" s="3"/>
      <c r="D621" s="3"/>
      <c r="E621" s="3"/>
      <c r="F621" s="3"/>
      <c r="G621" s="3"/>
    </row>
    <row r="622" spans="1:7" ht="15.75" customHeight="1">
      <c r="A622" s="3"/>
      <c r="B622" s="3"/>
      <c r="C622" s="3"/>
      <c r="D622" s="3"/>
      <c r="E622" s="3"/>
      <c r="F622" s="3"/>
      <c r="G622" s="3"/>
    </row>
    <row r="623" spans="1:7" ht="15.75" customHeight="1">
      <c r="A623" s="3"/>
      <c r="B623" s="3"/>
      <c r="C623" s="3"/>
      <c r="D623" s="3"/>
      <c r="E623" s="3"/>
      <c r="F623" s="3"/>
      <c r="G623" s="3"/>
    </row>
    <row r="624" spans="1:7" ht="15.75" customHeight="1">
      <c r="A624" s="3"/>
      <c r="B624" s="3"/>
      <c r="C624" s="3"/>
      <c r="D624" s="3"/>
      <c r="E624" s="3"/>
      <c r="F624" s="3"/>
      <c r="G624" s="3"/>
    </row>
    <row r="625" spans="1:7" ht="15.75" customHeight="1">
      <c r="A625" s="3"/>
      <c r="B625" s="3"/>
      <c r="C625" s="3"/>
      <c r="D625" s="3"/>
      <c r="E625" s="3"/>
      <c r="F625" s="3"/>
      <c r="G625" s="3"/>
    </row>
    <row r="626" spans="1:7" ht="15.75" customHeight="1">
      <c r="A626" s="3"/>
      <c r="B626" s="3"/>
      <c r="C626" s="3"/>
      <c r="D626" s="3"/>
      <c r="E626" s="3"/>
      <c r="F626" s="3"/>
      <c r="G626" s="3"/>
    </row>
    <row r="627" spans="1:7" ht="15.75" customHeight="1">
      <c r="A627" s="3"/>
      <c r="B627" s="3"/>
      <c r="C627" s="3"/>
      <c r="D627" s="3"/>
      <c r="E627" s="3"/>
      <c r="F627" s="3"/>
      <c r="G627" s="3"/>
    </row>
    <row r="628" spans="1:7" ht="15.75" customHeight="1">
      <c r="A628" s="3"/>
      <c r="B628" s="3"/>
      <c r="C628" s="3"/>
      <c r="D628" s="3"/>
      <c r="E628" s="3"/>
      <c r="F628" s="3"/>
      <c r="G628" s="3"/>
    </row>
    <row r="629" spans="1:7" ht="15.75" customHeight="1">
      <c r="A629" s="3"/>
      <c r="B629" s="3"/>
      <c r="C629" s="3"/>
      <c r="D629" s="3"/>
      <c r="E629" s="3"/>
      <c r="F629" s="3"/>
      <c r="G629" s="3"/>
    </row>
    <row r="630" spans="1:7" ht="15.75" customHeight="1">
      <c r="A630" s="3"/>
      <c r="B630" s="3"/>
      <c r="C630" s="3"/>
      <c r="D630" s="3"/>
      <c r="E630" s="3"/>
      <c r="F630" s="3"/>
      <c r="G630" s="3"/>
    </row>
    <row r="631" spans="1:7" ht="15.75" customHeight="1">
      <c r="A631" s="3"/>
      <c r="B631" s="3"/>
      <c r="C631" s="3"/>
      <c r="D631" s="3"/>
      <c r="E631" s="3"/>
      <c r="F631" s="3"/>
      <c r="G631" s="3"/>
    </row>
    <row r="632" spans="1:7" ht="15.75" customHeight="1">
      <c r="A632" s="3"/>
      <c r="B632" s="3"/>
      <c r="C632" s="3"/>
      <c r="D632" s="3"/>
      <c r="E632" s="3"/>
      <c r="F632" s="3"/>
      <c r="G632" s="3"/>
    </row>
    <row r="633" spans="1:7" ht="15.75" customHeight="1">
      <c r="A633" s="3"/>
      <c r="B633" s="3"/>
      <c r="C633" s="3"/>
      <c r="D633" s="3"/>
      <c r="E633" s="3"/>
      <c r="F633" s="3"/>
      <c r="G633" s="3"/>
    </row>
    <row r="634" spans="1:7" ht="15.75" customHeight="1">
      <c r="A634" s="3"/>
      <c r="B634" s="3"/>
      <c r="C634" s="3"/>
      <c r="D634" s="3"/>
      <c r="E634" s="3"/>
      <c r="F634" s="3"/>
      <c r="G634" s="3"/>
    </row>
    <row r="635" spans="1:7" ht="15.75" customHeight="1">
      <c r="A635" s="3"/>
      <c r="B635" s="3"/>
      <c r="C635" s="3"/>
      <c r="D635" s="3"/>
      <c r="E635" s="3"/>
      <c r="F635" s="3"/>
      <c r="G635" s="3"/>
    </row>
    <row r="636" spans="1:7" ht="15.75" customHeight="1">
      <c r="A636" s="3"/>
      <c r="B636" s="3"/>
      <c r="C636" s="3"/>
      <c r="D636" s="3"/>
      <c r="E636" s="3"/>
      <c r="F636" s="3"/>
      <c r="G636" s="3"/>
    </row>
    <row r="637" spans="1:7" ht="15.75" customHeight="1">
      <c r="A637" s="3"/>
      <c r="B637" s="3"/>
      <c r="C637" s="3"/>
      <c r="D637" s="3"/>
      <c r="E637" s="3"/>
      <c r="F637" s="3"/>
      <c r="G637" s="3"/>
    </row>
    <row r="638" spans="1:7" ht="15.75" customHeight="1">
      <c r="A638" s="3"/>
      <c r="B638" s="3"/>
      <c r="C638" s="3"/>
      <c r="D638" s="3"/>
      <c r="E638" s="3"/>
      <c r="F638" s="3"/>
      <c r="G638" s="3"/>
    </row>
    <row r="639" spans="1:7" ht="15.75" customHeight="1">
      <c r="A639" s="3"/>
      <c r="B639" s="3"/>
      <c r="C639" s="3"/>
      <c r="D639" s="3"/>
      <c r="E639" s="3"/>
      <c r="F639" s="3"/>
      <c r="G639" s="3"/>
    </row>
    <row r="640" spans="1:7" ht="15.75" customHeight="1">
      <c r="A640" s="3"/>
      <c r="B640" s="3"/>
      <c r="C640" s="3"/>
      <c r="D640" s="3"/>
      <c r="E640" s="3"/>
      <c r="F640" s="3"/>
      <c r="G640" s="3"/>
    </row>
    <row r="641" spans="1:7" ht="15.75" customHeight="1">
      <c r="A641" s="3"/>
      <c r="B641" s="3"/>
      <c r="C641" s="3"/>
      <c r="D641" s="3"/>
      <c r="E641" s="3"/>
      <c r="F641" s="3"/>
      <c r="G641" s="3"/>
    </row>
    <row r="642" spans="1:7" ht="15.75" customHeight="1">
      <c r="A642" s="3"/>
      <c r="B642" s="3"/>
      <c r="C642" s="3"/>
      <c r="D642" s="3"/>
      <c r="E642" s="3"/>
      <c r="F642" s="3"/>
      <c r="G642" s="3"/>
    </row>
    <row r="643" spans="1:7" ht="15.75" customHeight="1">
      <c r="A643" s="3"/>
      <c r="B643" s="3"/>
      <c r="C643" s="3"/>
      <c r="D643" s="3"/>
      <c r="E643" s="3"/>
      <c r="F643" s="3"/>
      <c r="G643" s="3"/>
    </row>
    <row r="644" spans="1:7" ht="15.75" customHeight="1">
      <c r="A644" s="3"/>
      <c r="B644" s="3"/>
      <c r="C644" s="3"/>
      <c r="D644" s="3"/>
      <c r="E644" s="3"/>
      <c r="F644" s="3"/>
      <c r="G644" s="3"/>
    </row>
    <row r="645" spans="1:7" ht="15.75" customHeight="1">
      <c r="A645" s="3"/>
      <c r="B645" s="3"/>
      <c r="C645" s="3"/>
      <c r="D645" s="3"/>
      <c r="E645" s="3"/>
      <c r="F645" s="3"/>
      <c r="G645" s="3"/>
    </row>
    <row r="646" spans="1:7" ht="15.75" customHeight="1">
      <c r="A646" s="3"/>
      <c r="B646" s="3"/>
      <c r="C646" s="3"/>
      <c r="D646" s="3"/>
      <c r="E646" s="3"/>
      <c r="F646" s="3"/>
      <c r="G646" s="3"/>
    </row>
    <row r="647" spans="1:7" ht="15.75" customHeight="1">
      <c r="A647" s="3"/>
      <c r="B647" s="3"/>
      <c r="C647" s="3"/>
      <c r="D647" s="3"/>
      <c r="E647" s="3"/>
      <c r="F647" s="3"/>
      <c r="G647" s="3"/>
    </row>
    <row r="648" spans="1:7" ht="15.75" customHeight="1">
      <c r="A648" s="3"/>
      <c r="B648" s="3"/>
      <c r="C648" s="3"/>
      <c r="D648" s="3"/>
      <c r="E648" s="3"/>
      <c r="F648" s="3"/>
      <c r="G648" s="3"/>
    </row>
    <row r="649" spans="1:7" ht="15.75" customHeight="1">
      <c r="A649" s="3"/>
      <c r="B649" s="3"/>
      <c r="C649" s="3"/>
      <c r="D649" s="3"/>
      <c r="E649" s="3"/>
      <c r="F649" s="3"/>
      <c r="G649" s="3"/>
    </row>
    <row r="650" spans="1:7" ht="15.75" customHeight="1">
      <c r="A650" s="3"/>
      <c r="B650" s="3"/>
      <c r="C650" s="3"/>
      <c r="D650" s="3"/>
      <c r="E650" s="3"/>
      <c r="F650" s="3"/>
      <c r="G650" s="3"/>
    </row>
    <row r="651" spans="1:7" ht="15.75" customHeight="1">
      <c r="A651" s="3"/>
      <c r="B651" s="3"/>
      <c r="C651" s="3"/>
      <c r="D651" s="3"/>
      <c r="E651" s="3"/>
      <c r="F651" s="3"/>
      <c r="G651" s="3"/>
    </row>
    <row r="652" spans="1:7" ht="15.75" customHeight="1">
      <c r="A652" s="3"/>
      <c r="B652" s="3"/>
      <c r="C652" s="3"/>
      <c r="D652" s="3"/>
      <c r="E652" s="3"/>
      <c r="F652" s="3"/>
      <c r="G652" s="3"/>
    </row>
    <row r="653" spans="1:7" ht="15.75" customHeight="1">
      <c r="A653" s="3"/>
      <c r="B653" s="3"/>
      <c r="C653" s="3"/>
      <c r="D653" s="3"/>
      <c r="E653" s="3"/>
      <c r="F653" s="3"/>
      <c r="G653" s="3"/>
    </row>
    <row r="654" spans="1:7" ht="15.75" customHeight="1">
      <c r="A654" s="3"/>
      <c r="B654" s="3"/>
      <c r="C654" s="3"/>
      <c r="D654" s="3"/>
      <c r="E654" s="3"/>
      <c r="F654" s="3"/>
      <c r="G654" s="3"/>
    </row>
    <row r="655" spans="1:7" ht="15.75" customHeight="1">
      <c r="A655" s="3"/>
      <c r="B655" s="3"/>
      <c r="C655" s="3"/>
      <c r="D655" s="3"/>
      <c r="E655" s="3"/>
      <c r="F655" s="3"/>
      <c r="G655" s="3"/>
    </row>
    <row r="656" spans="1:7" ht="15.75" customHeight="1">
      <c r="A656" s="3"/>
      <c r="B656" s="3"/>
      <c r="C656" s="3"/>
      <c r="D656" s="3"/>
      <c r="E656" s="3"/>
      <c r="F656" s="3"/>
      <c r="G656" s="3"/>
    </row>
    <row r="657" spans="1:7" ht="15.75" customHeight="1">
      <c r="A657" s="3"/>
      <c r="B657" s="3"/>
      <c r="C657" s="3"/>
      <c r="D657" s="3"/>
      <c r="E657" s="3"/>
      <c r="F657" s="3"/>
      <c r="G657" s="3"/>
    </row>
    <row r="658" spans="1:7" ht="15.75" customHeight="1">
      <c r="A658" s="3"/>
      <c r="B658" s="3"/>
      <c r="C658" s="3"/>
      <c r="D658" s="3"/>
      <c r="E658" s="3"/>
      <c r="F658" s="3"/>
      <c r="G658" s="3"/>
    </row>
    <row r="659" spans="1:7" ht="15.75" customHeight="1">
      <c r="A659" s="3"/>
      <c r="B659" s="3"/>
      <c r="C659" s="3"/>
      <c r="D659" s="3"/>
      <c r="E659" s="3"/>
      <c r="F659" s="3"/>
      <c r="G659" s="3"/>
    </row>
    <row r="660" spans="1:7" ht="15.75" customHeight="1">
      <c r="A660" s="3"/>
      <c r="B660" s="3"/>
      <c r="C660" s="3"/>
      <c r="D660" s="3"/>
      <c r="E660" s="3"/>
      <c r="F660" s="3"/>
      <c r="G660" s="3"/>
    </row>
    <row r="661" spans="1:7" ht="15.75" customHeight="1">
      <c r="A661" s="3"/>
      <c r="B661" s="3"/>
      <c r="C661" s="3"/>
      <c r="D661" s="3"/>
      <c r="E661" s="3"/>
      <c r="F661" s="3"/>
      <c r="G661" s="3"/>
    </row>
    <row r="662" spans="1:7" ht="15.75" customHeight="1">
      <c r="A662" s="3"/>
      <c r="B662" s="3"/>
      <c r="C662" s="3"/>
      <c r="D662" s="3"/>
      <c r="E662" s="3"/>
      <c r="F662" s="3"/>
      <c r="G662" s="3"/>
    </row>
    <row r="663" spans="1:7" ht="15.75" customHeight="1">
      <c r="A663" s="3"/>
      <c r="B663" s="3"/>
      <c r="C663" s="3"/>
      <c r="D663" s="3"/>
      <c r="E663" s="3"/>
      <c r="F663" s="3"/>
      <c r="G663" s="3"/>
    </row>
    <row r="664" spans="1:7" ht="15.75" customHeight="1">
      <c r="A664" s="3"/>
      <c r="B664" s="3"/>
      <c r="C664" s="3"/>
      <c r="D664" s="3"/>
      <c r="E664" s="3"/>
      <c r="F664" s="3"/>
      <c r="G664" s="3"/>
    </row>
    <row r="665" spans="1:7" ht="15.75" customHeight="1">
      <c r="A665" s="3"/>
      <c r="B665" s="3"/>
      <c r="C665" s="3"/>
      <c r="D665" s="3"/>
      <c r="E665" s="3"/>
      <c r="F665" s="3"/>
      <c r="G665" s="3"/>
    </row>
    <row r="666" spans="1:7" ht="15.75" customHeight="1">
      <c r="A666" s="3"/>
      <c r="B666" s="3"/>
      <c r="C666" s="3"/>
      <c r="D666" s="3"/>
      <c r="E666" s="3"/>
      <c r="F666" s="3"/>
      <c r="G666" s="3"/>
    </row>
    <row r="667" spans="1:7" ht="15.75" customHeight="1">
      <c r="A667" s="3"/>
      <c r="B667" s="3"/>
      <c r="C667" s="3"/>
      <c r="D667" s="3"/>
      <c r="E667" s="3"/>
      <c r="F667" s="3"/>
      <c r="G667" s="3"/>
    </row>
    <row r="668" spans="1:7" ht="15.75" customHeight="1">
      <c r="A668" s="3"/>
      <c r="B668" s="3"/>
      <c r="C668" s="3"/>
      <c r="D668" s="3"/>
      <c r="E668" s="3"/>
      <c r="F668" s="3"/>
      <c r="G668" s="3"/>
    </row>
    <row r="669" spans="1:7" ht="15.75" customHeight="1">
      <c r="A669" s="3"/>
      <c r="B669" s="3"/>
      <c r="C669" s="3"/>
      <c r="D669" s="3"/>
      <c r="E669" s="3"/>
      <c r="F669" s="3"/>
      <c r="G669" s="3"/>
    </row>
    <row r="670" spans="1:7" ht="15.75" customHeight="1">
      <c r="A670" s="3"/>
      <c r="B670" s="3"/>
      <c r="C670" s="3"/>
      <c r="D670" s="3"/>
      <c r="E670" s="3"/>
      <c r="F670" s="3"/>
      <c r="G670" s="3"/>
    </row>
    <row r="671" spans="1:7" ht="15.75" customHeight="1">
      <c r="A671" s="3"/>
      <c r="B671" s="3"/>
      <c r="C671" s="3"/>
      <c r="D671" s="3"/>
      <c r="E671" s="3"/>
      <c r="F671" s="3"/>
      <c r="G671" s="3"/>
    </row>
    <row r="672" spans="1:7" ht="15.75" customHeight="1">
      <c r="A672" s="3"/>
      <c r="B672" s="3"/>
      <c r="C672" s="3"/>
      <c r="D672" s="3"/>
      <c r="E672" s="3"/>
      <c r="F672" s="3"/>
      <c r="G672" s="3"/>
    </row>
    <row r="673" spans="1:7" ht="15.75" customHeight="1">
      <c r="A673" s="3"/>
      <c r="B673" s="3"/>
      <c r="C673" s="3"/>
      <c r="D673" s="3"/>
      <c r="E673" s="3"/>
      <c r="F673" s="3"/>
      <c r="G673" s="3"/>
    </row>
    <row r="674" spans="1:7" ht="15.75" customHeight="1">
      <c r="A674" s="3"/>
      <c r="B674" s="3"/>
      <c r="C674" s="3"/>
      <c r="D674" s="3"/>
      <c r="E674" s="3"/>
      <c r="F674" s="3"/>
      <c r="G674" s="3"/>
    </row>
    <row r="675" spans="1:7" ht="15.75" customHeight="1">
      <c r="A675" s="3"/>
      <c r="B675" s="3"/>
      <c r="C675" s="3"/>
      <c r="D675" s="3"/>
      <c r="E675" s="3"/>
      <c r="F675" s="3"/>
      <c r="G675" s="3"/>
    </row>
    <row r="676" spans="1:7" ht="15.75" customHeight="1">
      <c r="A676" s="3"/>
      <c r="B676" s="3"/>
      <c r="C676" s="3"/>
      <c r="D676" s="3"/>
      <c r="E676" s="3"/>
      <c r="F676" s="3"/>
      <c r="G676" s="3"/>
    </row>
    <row r="677" spans="1:7" ht="15.75" customHeight="1">
      <c r="A677" s="3"/>
      <c r="B677" s="3"/>
      <c r="C677" s="3"/>
      <c r="D677" s="3"/>
      <c r="E677" s="3"/>
      <c r="F677" s="3"/>
      <c r="G677" s="3"/>
    </row>
    <row r="678" spans="1:7" ht="15.75" customHeight="1">
      <c r="A678" s="3"/>
      <c r="B678" s="3"/>
      <c r="C678" s="3"/>
      <c r="D678" s="3"/>
      <c r="E678" s="3"/>
      <c r="F678" s="3"/>
      <c r="G678" s="3"/>
    </row>
    <row r="679" spans="1:7" ht="15.75" customHeight="1">
      <c r="A679" s="3"/>
      <c r="B679" s="3"/>
      <c r="C679" s="3"/>
      <c r="D679" s="3"/>
      <c r="E679" s="3"/>
      <c r="F679" s="3"/>
      <c r="G679" s="3"/>
    </row>
    <row r="680" spans="1:7" ht="15.75" customHeight="1">
      <c r="A680" s="3"/>
      <c r="B680" s="3"/>
      <c r="C680" s="3"/>
      <c r="D680" s="3"/>
      <c r="E680" s="3"/>
      <c r="F680" s="3"/>
      <c r="G680" s="3"/>
    </row>
    <row r="681" spans="1:7" ht="15.75" customHeight="1">
      <c r="A681" s="3"/>
      <c r="B681" s="3"/>
      <c r="C681" s="3"/>
      <c r="D681" s="3"/>
      <c r="E681" s="3"/>
      <c r="F681" s="3"/>
      <c r="G681" s="3"/>
    </row>
    <row r="682" spans="1:7" ht="15.75" customHeight="1">
      <c r="A682" s="3"/>
      <c r="B682" s="3"/>
      <c r="C682" s="3"/>
      <c r="D682" s="3"/>
      <c r="E682" s="3"/>
      <c r="F682" s="3"/>
      <c r="G682" s="3"/>
    </row>
    <row r="683" spans="1:7" ht="15.75" customHeight="1">
      <c r="A683" s="3"/>
      <c r="B683" s="3"/>
      <c r="C683" s="3"/>
      <c r="D683" s="3"/>
      <c r="E683" s="3"/>
      <c r="F683" s="3"/>
      <c r="G683" s="3"/>
    </row>
    <row r="684" spans="1:7" ht="15.75" customHeight="1">
      <c r="A684" s="3"/>
      <c r="B684" s="3"/>
      <c r="C684" s="3"/>
      <c r="D684" s="3"/>
      <c r="E684" s="3"/>
      <c r="F684" s="3"/>
      <c r="G684" s="3"/>
    </row>
    <row r="685" spans="1:7" ht="15.75" customHeight="1">
      <c r="A685" s="3"/>
      <c r="B685" s="3"/>
      <c r="C685" s="3"/>
      <c r="D685" s="3"/>
      <c r="E685" s="3"/>
      <c r="F685" s="3"/>
      <c r="G685" s="3"/>
    </row>
    <row r="686" spans="1:7" ht="15.75" customHeight="1">
      <c r="A686" s="3"/>
      <c r="B686" s="3"/>
      <c r="C686" s="3"/>
      <c r="D686" s="3"/>
      <c r="E686" s="3"/>
      <c r="F686" s="3"/>
      <c r="G686" s="3"/>
    </row>
    <row r="687" spans="1:7" ht="15.75" customHeight="1">
      <c r="A687" s="3"/>
      <c r="B687" s="3"/>
      <c r="C687" s="3"/>
      <c r="D687" s="3"/>
      <c r="E687" s="3"/>
      <c r="F687" s="3"/>
      <c r="G687" s="3"/>
    </row>
    <row r="688" spans="1:7" ht="15.75" customHeight="1">
      <c r="A688" s="3"/>
      <c r="B688" s="3"/>
      <c r="C688" s="3"/>
      <c r="D688" s="3"/>
      <c r="E688" s="3"/>
      <c r="F688" s="3"/>
      <c r="G688" s="3"/>
    </row>
    <row r="689" spans="1:7" ht="15.75" customHeight="1">
      <c r="A689" s="3"/>
      <c r="B689" s="3"/>
      <c r="C689" s="3"/>
      <c r="D689" s="3"/>
      <c r="E689" s="3"/>
      <c r="F689" s="3"/>
      <c r="G689" s="3"/>
    </row>
    <row r="690" spans="1:7" ht="15.75" customHeight="1">
      <c r="A690" s="3"/>
      <c r="B690" s="3"/>
      <c r="C690" s="3"/>
      <c r="D690" s="3"/>
      <c r="E690" s="3"/>
      <c r="F690" s="3"/>
      <c r="G690" s="3"/>
    </row>
    <row r="691" spans="1:7" ht="15.75" customHeight="1">
      <c r="A691" s="3"/>
      <c r="B691" s="3"/>
      <c r="C691" s="3"/>
      <c r="D691" s="3"/>
      <c r="E691" s="3"/>
      <c r="F691" s="3"/>
      <c r="G691" s="3"/>
    </row>
    <row r="692" spans="1:7" ht="15.75" customHeight="1">
      <c r="A692" s="3"/>
      <c r="B692" s="3"/>
      <c r="C692" s="3"/>
      <c r="D692" s="3"/>
      <c r="E692" s="3"/>
      <c r="F692" s="3"/>
      <c r="G692" s="3"/>
    </row>
    <row r="693" spans="1:7" ht="15.75" customHeight="1">
      <c r="A693" s="3"/>
      <c r="B693" s="3"/>
      <c r="C693" s="3"/>
      <c r="D693" s="3"/>
      <c r="E693" s="3"/>
      <c r="F693" s="3"/>
      <c r="G693" s="3"/>
    </row>
    <row r="694" spans="1:7" ht="15.75" customHeight="1">
      <c r="A694" s="3"/>
      <c r="B694" s="3"/>
      <c r="C694" s="3"/>
      <c r="D694" s="3"/>
      <c r="E694" s="3"/>
      <c r="F694" s="3"/>
      <c r="G694" s="3"/>
    </row>
    <row r="695" spans="1:7" ht="15.75" customHeight="1">
      <c r="A695" s="3"/>
      <c r="B695" s="3"/>
      <c r="C695" s="3"/>
      <c r="D695" s="3"/>
      <c r="E695" s="3"/>
      <c r="F695" s="3"/>
      <c r="G695" s="3"/>
    </row>
    <row r="696" spans="1:7" ht="15.75" customHeight="1">
      <c r="A696" s="3"/>
      <c r="B696" s="3"/>
      <c r="C696" s="3"/>
      <c r="D696" s="3"/>
      <c r="E696" s="3"/>
      <c r="F696" s="3"/>
      <c r="G696" s="3"/>
    </row>
    <row r="697" spans="1:7" ht="15.75" customHeight="1">
      <c r="A697" s="3"/>
      <c r="B697" s="3"/>
      <c r="C697" s="3"/>
      <c r="D697" s="3"/>
      <c r="E697" s="3"/>
      <c r="F697" s="3"/>
      <c r="G697" s="3"/>
    </row>
    <row r="698" spans="1:7" ht="15.75" customHeight="1">
      <c r="A698" s="3"/>
      <c r="B698" s="3"/>
      <c r="C698" s="3"/>
      <c r="D698" s="3"/>
      <c r="E698" s="3"/>
      <c r="F698" s="3"/>
      <c r="G698" s="3"/>
    </row>
    <row r="699" spans="1:7" ht="15.75" customHeight="1">
      <c r="A699" s="3"/>
      <c r="B699" s="3"/>
      <c r="C699" s="3"/>
      <c r="D699" s="3"/>
      <c r="E699" s="3"/>
      <c r="F699" s="3"/>
      <c r="G699" s="3"/>
    </row>
    <row r="700" spans="1:7" ht="15.75" customHeight="1">
      <c r="A700" s="3"/>
      <c r="B700" s="3"/>
      <c r="C700" s="3"/>
      <c r="D700" s="3"/>
      <c r="E700" s="3"/>
      <c r="F700" s="3"/>
      <c r="G700" s="3"/>
    </row>
    <row r="701" spans="1:7" ht="15.75" customHeight="1">
      <c r="A701" s="3"/>
      <c r="B701" s="3"/>
      <c r="C701" s="3"/>
      <c r="D701" s="3"/>
      <c r="E701" s="3"/>
      <c r="F701" s="3"/>
      <c r="G701" s="3"/>
    </row>
    <row r="702" spans="1:7" ht="15.75" customHeight="1">
      <c r="A702" s="3"/>
      <c r="B702" s="3"/>
      <c r="C702" s="3"/>
      <c r="D702" s="3"/>
      <c r="E702" s="3"/>
      <c r="F702" s="3"/>
      <c r="G702" s="3"/>
    </row>
    <row r="703" spans="1:7" ht="15.75" customHeight="1">
      <c r="A703" s="3"/>
      <c r="B703" s="3"/>
      <c r="C703" s="3"/>
      <c r="D703" s="3"/>
      <c r="E703" s="3"/>
      <c r="F703" s="3"/>
      <c r="G703" s="3"/>
    </row>
    <row r="704" spans="1:7" ht="15.75" customHeight="1">
      <c r="A704" s="3"/>
      <c r="B704" s="3"/>
      <c r="C704" s="3"/>
      <c r="D704" s="3"/>
      <c r="E704" s="3"/>
      <c r="F704" s="3"/>
      <c r="G704" s="3"/>
    </row>
    <row r="705" spans="1:7" ht="15.75" customHeight="1">
      <c r="A705" s="3"/>
      <c r="B705" s="3"/>
      <c r="C705" s="3"/>
      <c r="D705" s="3"/>
      <c r="E705" s="3"/>
      <c r="F705" s="3"/>
      <c r="G705" s="3"/>
    </row>
    <row r="706" spans="1:7" ht="15.75" customHeight="1">
      <c r="A706" s="3"/>
      <c r="B706" s="3"/>
      <c r="C706" s="3"/>
      <c r="D706" s="3"/>
      <c r="E706" s="3"/>
      <c r="F706" s="3"/>
      <c r="G706" s="3"/>
    </row>
    <row r="707" spans="1:7" ht="15.75" customHeight="1">
      <c r="A707" s="3"/>
      <c r="B707" s="3"/>
      <c r="C707" s="3"/>
      <c r="D707" s="3"/>
      <c r="E707" s="3"/>
      <c r="F707" s="3"/>
      <c r="G707" s="3"/>
    </row>
    <row r="708" spans="1:7" ht="15.75" customHeight="1">
      <c r="A708" s="3"/>
      <c r="B708" s="3"/>
      <c r="C708" s="3"/>
      <c r="D708" s="3"/>
      <c r="E708" s="3"/>
      <c r="F708" s="3"/>
      <c r="G708" s="3"/>
    </row>
    <row r="709" spans="1:7" ht="15.75" customHeight="1">
      <c r="A709" s="3"/>
      <c r="B709" s="3"/>
      <c r="C709" s="3"/>
      <c r="D709" s="3"/>
      <c r="E709" s="3"/>
      <c r="F709" s="3"/>
      <c r="G709" s="3"/>
    </row>
    <row r="710" spans="1:7" ht="15.75" customHeight="1">
      <c r="A710" s="3"/>
      <c r="B710" s="3"/>
      <c r="C710" s="3"/>
      <c r="D710" s="3"/>
      <c r="E710" s="3"/>
      <c r="F710" s="3"/>
      <c r="G710" s="3"/>
    </row>
    <row r="711" spans="1:7" ht="15.75" customHeight="1">
      <c r="A711" s="3"/>
      <c r="B711" s="3"/>
      <c r="C711" s="3"/>
      <c r="D711" s="3"/>
      <c r="E711" s="3"/>
      <c r="F711" s="3"/>
      <c r="G711" s="3"/>
    </row>
    <row r="712" spans="1:7" ht="15.75" customHeight="1">
      <c r="A712" s="3"/>
      <c r="B712" s="3"/>
      <c r="C712" s="3"/>
      <c r="D712" s="3"/>
      <c r="E712" s="3"/>
      <c r="F712" s="3"/>
      <c r="G712" s="3"/>
    </row>
    <row r="713" spans="1:7" ht="15.75" customHeight="1">
      <c r="A713" s="3"/>
      <c r="B713" s="3"/>
      <c r="C713" s="3"/>
      <c r="D713" s="3"/>
      <c r="E713" s="3"/>
      <c r="F713" s="3"/>
      <c r="G713" s="3"/>
    </row>
    <row r="714" spans="1:7" ht="15.75" customHeight="1">
      <c r="A714" s="3"/>
      <c r="B714" s="3"/>
      <c r="C714" s="3"/>
      <c r="D714" s="3"/>
      <c r="E714" s="3"/>
      <c r="F714" s="3"/>
      <c r="G714" s="3"/>
    </row>
    <row r="715" spans="1:7" ht="15.75" customHeight="1">
      <c r="A715" s="3"/>
      <c r="B715" s="3"/>
      <c r="C715" s="3"/>
      <c r="D715" s="3"/>
      <c r="E715" s="3"/>
      <c r="F715" s="3"/>
      <c r="G715" s="3"/>
    </row>
    <row r="716" spans="1:7" ht="15.75" customHeight="1">
      <c r="A716" s="3"/>
      <c r="B716" s="3"/>
      <c r="C716" s="3"/>
      <c r="D716" s="3"/>
      <c r="E716" s="3"/>
      <c r="F716" s="3"/>
      <c r="G716" s="3"/>
    </row>
    <row r="717" spans="1:7" ht="15.75" customHeight="1">
      <c r="A717" s="3"/>
      <c r="B717" s="3"/>
      <c r="C717" s="3"/>
      <c r="D717" s="3"/>
      <c r="E717" s="3"/>
      <c r="F717" s="3"/>
      <c r="G717" s="3"/>
    </row>
    <row r="718" spans="1:7" ht="15.75" customHeight="1">
      <c r="A718" s="3"/>
      <c r="B718" s="3"/>
      <c r="C718" s="3"/>
      <c r="D718" s="3"/>
      <c r="E718" s="3"/>
      <c r="F718" s="3"/>
      <c r="G718" s="3"/>
    </row>
    <row r="719" spans="1:7" ht="15.75" customHeight="1">
      <c r="A719" s="3"/>
      <c r="B719" s="3"/>
      <c r="C719" s="3"/>
      <c r="D719" s="3"/>
      <c r="E719" s="3"/>
      <c r="F719" s="3"/>
      <c r="G719" s="3"/>
    </row>
    <row r="720" spans="1:7" ht="15.75" customHeight="1">
      <c r="A720" s="3"/>
      <c r="B720" s="3"/>
      <c r="C720" s="3"/>
      <c r="D720" s="3"/>
      <c r="E720" s="3"/>
      <c r="F720" s="3"/>
      <c r="G720" s="3"/>
    </row>
    <row r="721" spans="1:7" ht="15.75" customHeight="1">
      <c r="A721" s="3"/>
      <c r="B721" s="3"/>
      <c r="C721" s="3"/>
      <c r="D721" s="3"/>
      <c r="E721" s="3"/>
      <c r="F721" s="3"/>
      <c r="G721" s="3"/>
    </row>
    <row r="722" spans="1:7" ht="15.75" customHeight="1">
      <c r="A722" s="3"/>
      <c r="B722" s="3"/>
      <c r="C722" s="3"/>
      <c r="D722" s="3"/>
      <c r="E722" s="3"/>
      <c r="F722" s="3"/>
      <c r="G722" s="3"/>
    </row>
    <row r="723" spans="1:7" ht="15.75" customHeight="1">
      <c r="A723" s="3"/>
      <c r="B723" s="3"/>
      <c r="C723" s="3"/>
      <c r="D723" s="3"/>
      <c r="E723" s="3"/>
      <c r="F723" s="3"/>
      <c r="G723" s="3"/>
    </row>
    <row r="724" spans="1:7" ht="15.75" customHeight="1">
      <c r="A724" s="3"/>
      <c r="B724" s="3"/>
      <c r="C724" s="3"/>
      <c r="D724" s="3"/>
      <c r="E724" s="3"/>
      <c r="F724" s="3"/>
      <c r="G724" s="3"/>
    </row>
    <row r="725" spans="1:7" ht="15.75" customHeight="1">
      <c r="A725" s="3"/>
      <c r="B725" s="3"/>
      <c r="C725" s="3"/>
      <c r="D725" s="3"/>
      <c r="E725" s="3"/>
      <c r="F725" s="3"/>
      <c r="G725" s="3"/>
    </row>
    <row r="726" spans="1:7" ht="15.75" customHeight="1">
      <c r="A726" s="3"/>
      <c r="B726" s="3"/>
      <c r="C726" s="3"/>
      <c r="D726" s="3"/>
      <c r="E726" s="3"/>
      <c r="F726" s="3"/>
      <c r="G726" s="3"/>
    </row>
    <row r="727" spans="1:7" ht="15.75" customHeight="1">
      <c r="A727" s="3"/>
      <c r="B727" s="3"/>
      <c r="C727" s="3"/>
      <c r="D727" s="3"/>
      <c r="E727" s="3"/>
      <c r="F727" s="3"/>
      <c r="G727" s="3"/>
    </row>
    <row r="728" spans="1:7" ht="15.75" customHeight="1">
      <c r="A728" s="3"/>
      <c r="B728" s="3"/>
      <c r="C728" s="3"/>
      <c r="D728" s="3"/>
      <c r="E728" s="3"/>
      <c r="F728" s="3"/>
      <c r="G728" s="3"/>
    </row>
    <row r="729" spans="1:7" ht="15.75" customHeight="1">
      <c r="A729" s="3"/>
      <c r="B729" s="3"/>
      <c r="C729" s="3"/>
      <c r="D729" s="3"/>
      <c r="E729" s="3"/>
      <c r="F729" s="3"/>
      <c r="G729" s="3"/>
    </row>
    <row r="730" spans="1:7" ht="15.75" customHeight="1">
      <c r="A730" s="3"/>
      <c r="B730" s="3"/>
      <c r="C730" s="3"/>
      <c r="D730" s="3"/>
      <c r="E730" s="3"/>
      <c r="F730" s="3"/>
      <c r="G730" s="3"/>
    </row>
    <row r="731" spans="1:7" ht="15.75" customHeight="1">
      <c r="A731" s="3"/>
      <c r="B731" s="3"/>
      <c r="C731" s="3"/>
      <c r="D731" s="3"/>
      <c r="E731" s="3"/>
      <c r="F731" s="3"/>
      <c r="G731" s="3"/>
    </row>
    <row r="732" spans="1:7" ht="15.75" customHeight="1">
      <c r="A732" s="3"/>
      <c r="B732" s="3"/>
      <c r="C732" s="3"/>
      <c r="D732" s="3"/>
      <c r="E732" s="3"/>
      <c r="F732" s="3"/>
      <c r="G732" s="3"/>
    </row>
    <row r="733" spans="1:7" ht="15.75" customHeight="1">
      <c r="A733" s="3"/>
      <c r="B733" s="3"/>
      <c r="C733" s="3"/>
      <c r="D733" s="3"/>
      <c r="E733" s="3"/>
      <c r="F733" s="3"/>
      <c r="G733" s="3"/>
    </row>
    <row r="734" spans="1:7" ht="15.75" customHeight="1">
      <c r="A734" s="3"/>
      <c r="B734" s="3"/>
      <c r="C734" s="3"/>
      <c r="D734" s="3"/>
      <c r="E734" s="3"/>
      <c r="F734" s="3"/>
      <c r="G734" s="3"/>
    </row>
    <row r="735" spans="1:7" ht="15.75" customHeight="1">
      <c r="A735" s="3"/>
      <c r="B735" s="3"/>
      <c r="C735" s="3"/>
      <c r="D735" s="3"/>
      <c r="E735" s="3"/>
      <c r="F735" s="3"/>
      <c r="G735" s="3"/>
    </row>
    <row r="736" spans="1:7" ht="15.75" customHeight="1">
      <c r="A736" s="3"/>
      <c r="B736" s="3"/>
      <c r="C736" s="3"/>
      <c r="D736" s="3"/>
      <c r="E736" s="3"/>
      <c r="F736" s="3"/>
      <c r="G736" s="3"/>
    </row>
    <row r="737" spans="1:7" ht="15.75" customHeight="1">
      <c r="A737" s="3"/>
      <c r="B737" s="3"/>
      <c r="C737" s="3"/>
      <c r="D737" s="3"/>
      <c r="E737" s="3"/>
      <c r="F737" s="3"/>
      <c r="G737" s="3"/>
    </row>
    <row r="738" spans="1:7" ht="15.75" customHeight="1">
      <c r="A738" s="3"/>
      <c r="B738" s="3"/>
      <c r="C738" s="3"/>
      <c r="D738" s="3"/>
      <c r="E738" s="3"/>
      <c r="F738" s="3"/>
      <c r="G738" s="3"/>
    </row>
    <row r="739" spans="1:7" ht="15.75" customHeight="1">
      <c r="A739" s="3"/>
      <c r="B739" s="3"/>
      <c r="C739" s="3"/>
      <c r="D739" s="3"/>
      <c r="E739" s="3"/>
      <c r="F739" s="3"/>
      <c r="G739" s="3"/>
    </row>
    <row r="740" spans="1:7" ht="15.75" customHeight="1">
      <c r="A740" s="3"/>
      <c r="B740" s="3"/>
      <c r="C740" s="3"/>
      <c r="D740" s="3"/>
      <c r="E740" s="3"/>
      <c r="F740" s="3"/>
      <c r="G740" s="3"/>
    </row>
    <row r="741" spans="1:7" ht="15.75" customHeight="1">
      <c r="A741" s="3"/>
      <c r="B741" s="3"/>
      <c r="C741" s="3"/>
      <c r="D741" s="3"/>
      <c r="E741" s="3"/>
      <c r="F741" s="3"/>
      <c r="G741" s="3"/>
    </row>
    <row r="742" spans="1:7" ht="15.75" customHeight="1">
      <c r="A742" s="3"/>
      <c r="B742" s="3"/>
      <c r="C742" s="3"/>
      <c r="D742" s="3"/>
      <c r="E742" s="3"/>
      <c r="F742" s="3"/>
      <c r="G742" s="3"/>
    </row>
    <row r="743" spans="1:7" ht="15.75" customHeight="1">
      <c r="A743" s="3"/>
      <c r="B743" s="3"/>
      <c r="C743" s="3"/>
      <c r="D743" s="3"/>
      <c r="E743" s="3"/>
      <c r="F743" s="3"/>
      <c r="G743" s="3"/>
    </row>
    <row r="744" spans="1:7" ht="15.75" customHeight="1">
      <c r="A744" s="3"/>
      <c r="B744" s="3"/>
      <c r="C744" s="3"/>
      <c r="D744" s="3"/>
      <c r="E744" s="3"/>
      <c r="F744" s="3"/>
      <c r="G744" s="3"/>
    </row>
    <row r="745" spans="1:7" ht="15.75" customHeight="1">
      <c r="A745" s="3"/>
      <c r="B745" s="3"/>
      <c r="C745" s="3"/>
      <c r="D745" s="3"/>
      <c r="E745" s="3"/>
      <c r="F745" s="3"/>
      <c r="G745" s="3"/>
    </row>
    <row r="746" spans="1:7" ht="15.75" customHeight="1">
      <c r="A746" s="3"/>
      <c r="B746" s="3"/>
      <c r="C746" s="3"/>
      <c r="D746" s="3"/>
      <c r="E746" s="3"/>
      <c r="F746" s="3"/>
      <c r="G746" s="3"/>
    </row>
    <row r="747" spans="1:7" ht="15.75" customHeight="1">
      <c r="A747" s="3"/>
      <c r="B747" s="3"/>
      <c r="C747" s="3"/>
      <c r="D747" s="3"/>
      <c r="E747" s="3"/>
      <c r="F747" s="3"/>
      <c r="G747" s="3"/>
    </row>
    <row r="748" spans="1:7" ht="15.75" customHeight="1">
      <c r="A748" s="3"/>
      <c r="B748" s="3"/>
      <c r="C748" s="3"/>
      <c r="D748" s="3"/>
      <c r="E748" s="3"/>
      <c r="F748" s="3"/>
      <c r="G748" s="3"/>
    </row>
    <row r="749" spans="1:7" ht="15.75" customHeight="1">
      <c r="A749" s="3"/>
      <c r="B749" s="3"/>
      <c r="C749" s="3"/>
      <c r="D749" s="3"/>
      <c r="E749" s="3"/>
      <c r="F749" s="3"/>
      <c r="G749" s="3"/>
    </row>
    <row r="750" spans="1:7" ht="15.75" customHeight="1">
      <c r="A750" s="3"/>
      <c r="B750" s="3"/>
      <c r="C750" s="3"/>
      <c r="D750" s="3"/>
      <c r="E750" s="3"/>
      <c r="F750" s="3"/>
      <c r="G750" s="3"/>
    </row>
    <row r="751" spans="1:7" ht="15.75" customHeight="1">
      <c r="A751" s="3"/>
      <c r="B751" s="3"/>
      <c r="C751" s="3"/>
      <c r="D751" s="3"/>
      <c r="E751" s="3"/>
      <c r="F751" s="3"/>
      <c r="G751" s="3"/>
    </row>
    <row r="752" spans="1:7" ht="15.75" customHeight="1">
      <c r="A752" s="3"/>
      <c r="B752" s="3"/>
      <c r="C752" s="3"/>
      <c r="D752" s="3"/>
      <c r="E752" s="3"/>
      <c r="F752" s="3"/>
      <c r="G752" s="3"/>
    </row>
    <row r="753" spans="1:7" ht="15.75" customHeight="1">
      <c r="A753" s="3"/>
      <c r="B753" s="3"/>
      <c r="C753" s="3"/>
      <c r="D753" s="3"/>
      <c r="E753" s="3"/>
      <c r="F753" s="3"/>
      <c r="G753" s="3"/>
    </row>
    <row r="754" spans="1:7" ht="15.75" customHeight="1">
      <c r="A754" s="3"/>
      <c r="B754" s="3"/>
      <c r="C754" s="3"/>
      <c r="D754" s="3"/>
      <c r="E754" s="3"/>
      <c r="F754" s="3"/>
      <c r="G754" s="3"/>
    </row>
    <row r="755" spans="1:7" ht="15.75" customHeight="1">
      <c r="A755" s="3"/>
      <c r="B755" s="3"/>
      <c r="C755" s="3"/>
      <c r="D755" s="3"/>
      <c r="E755" s="3"/>
      <c r="F755" s="3"/>
      <c r="G755" s="3"/>
    </row>
    <row r="756" spans="1:7" ht="15.75" customHeight="1">
      <c r="A756" s="3"/>
      <c r="B756" s="3"/>
      <c r="C756" s="3"/>
      <c r="D756" s="3"/>
      <c r="E756" s="3"/>
      <c r="F756" s="3"/>
      <c r="G756" s="3"/>
    </row>
    <row r="757" spans="1:7" ht="15.75" customHeight="1">
      <c r="A757" s="3"/>
      <c r="B757" s="3"/>
      <c r="C757" s="3"/>
      <c r="D757" s="3"/>
      <c r="E757" s="3"/>
      <c r="F757" s="3"/>
      <c r="G757" s="3"/>
    </row>
    <row r="758" spans="1:7" ht="15.75" customHeight="1">
      <c r="A758" s="3"/>
      <c r="B758" s="3"/>
      <c r="C758" s="3"/>
      <c r="D758" s="3"/>
      <c r="E758" s="3"/>
      <c r="F758" s="3"/>
      <c r="G758" s="3"/>
    </row>
    <row r="759" spans="1:7" ht="15.75" customHeight="1">
      <c r="A759" s="3"/>
      <c r="B759" s="3"/>
      <c r="C759" s="3"/>
      <c r="D759" s="3"/>
      <c r="E759" s="3"/>
      <c r="F759" s="3"/>
      <c r="G759" s="3"/>
    </row>
    <row r="760" spans="1:7" ht="15.75" customHeight="1">
      <c r="A760" s="3"/>
      <c r="B760" s="3"/>
      <c r="C760" s="3"/>
      <c r="D760" s="3"/>
      <c r="E760" s="3"/>
      <c r="F760" s="3"/>
      <c r="G760" s="3"/>
    </row>
    <row r="761" spans="1:7" ht="15.75" customHeight="1">
      <c r="A761" s="3"/>
      <c r="B761" s="3"/>
      <c r="C761" s="3"/>
      <c r="D761" s="3"/>
      <c r="E761" s="3"/>
      <c r="F761" s="3"/>
      <c r="G761" s="3"/>
    </row>
    <row r="762" spans="1:7" ht="15.75" customHeight="1">
      <c r="A762" s="3"/>
      <c r="B762" s="3"/>
      <c r="C762" s="3"/>
      <c r="D762" s="3"/>
      <c r="E762" s="3"/>
      <c r="F762" s="3"/>
      <c r="G762" s="3"/>
    </row>
    <row r="763" spans="1:7" ht="15.75" customHeight="1">
      <c r="A763" s="3"/>
      <c r="B763" s="3"/>
      <c r="C763" s="3"/>
      <c r="D763" s="3"/>
      <c r="E763" s="3"/>
      <c r="F763" s="3"/>
      <c r="G763" s="3"/>
    </row>
    <row r="764" spans="1:7" ht="15.75" customHeight="1">
      <c r="A764" s="3"/>
      <c r="B764" s="3"/>
      <c r="C764" s="3"/>
      <c r="D764" s="3"/>
      <c r="E764" s="3"/>
      <c r="F764" s="3"/>
      <c r="G764" s="3"/>
    </row>
    <row r="765" spans="1:7" ht="15.75" customHeight="1">
      <c r="A765" s="3"/>
      <c r="B765" s="3"/>
      <c r="C765" s="3"/>
      <c r="D765" s="3"/>
      <c r="E765" s="3"/>
      <c r="F765" s="3"/>
      <c r="G765" s="3"/>
    </row>
    <row r="766" spans="1:7" ht="15.75" customHeight="1">
      <c r="A766" s="3"/>
      <c r="B766" s="3"/>
      <c r="C766" s="3"/>
      <c r="D766" s="3"/>
      <c r="E766" s="3"/>
      <c r="F766" s="3"/>
      <c r="G766" s="3"/>
    </row>
    <row r="767" spans="1:7" ht="15.75" customHeight="1">
      <c r="A767" s="3"/>
      <c r="B767" s="3"/>
      <c r="C767" s="3"/>
      <c r="D767" s="3"/>
      <c r="E767" s="3"/>
      <c r="F767" s="3"/>
      <c r="G767" s="3"/>
    </row>
    <row r="768" spans="1:7" ht="15.75" customHeight="1">
      <c r="A768" s="3"/>
      <c r="B768" s="3"/>
      <c r="C768" s="3"/>
      <c r="D768" s="3"/>
      <c r="E768" s="3"/>
      <c r="F768" s="3"/>
      <c r="G768" s="3"/>
    </row>
    <row r="769" spans="1:7" ht="15.75" customHeight="1">
      <c r="A769" s="3"/>
      <c r="B769" s="3"/>
      <c r="C769" s="3"/>
      <c r="D769" s="3"/>
      <c r="E769" s="3"/>
      <c r="F769" s="3"/>
      <c r="G769" s="3"/>
    </row>
    <row r="770" spans="1:7" ht="15.75" customHeight="1">
      <c r="A770" s="3"/>
      <c r="B770" s="3"/>
      <c r="C770" s="3"/>
      <c r="D770" s="3"/>
      <c r="E770" s="3"/>
      <c r="F770" s="3"/>
      <c r="G770" s="3"/>
    </row>
    <row r="771" spans="1:7" ht="15.75" customHeight="1">
      <c r="A771" s="3"/>
      <c r="B771" s="3"/>
      <c r="C771" s="3"/>
      <c r="D771" s="3"/>
      <c r="E771" s="3"/>
      <c r="F771" s="3"/>
      <c r="G771" s="3"/>
    </row>
    <row r="772" spans="1:7" ht="15.75" customHeight="1">
      <c r="A772" s="3"/>
      <c r="B772" s="3"/>
      <c r="C772" s="3"/>
      <c r="D772" s="3"/>
      <c r="E772" s="3"/>
      <c r="F772" s="3"/>
      <c r="G772" s="3"/>
    </row>
    <row r="773" spans="1:7" ht="15.75" customHeight="1">
      <c r="A773" s="3"/>
      <c r="B773" s="3"/>
      <c r="C773" s="3"/>
      <c r="D773" s="3"/>
      <c r="E773" s="3"/>
      <c r="F773" s="3"/>
      <c r="G773" s="3"/>
    </row>
    <row r="774" spans="1:7" ht="15.75" customHeight="1">
      <c r="A774" s="3"/>
      <c r="B774" s="3"/>
      <c r="C774" s="3"/>
      <c r="D774" s="3"/>
      <c r="E774" s="3"/>
      <c r="F774" s="3"/>
      <c r="G774" s="3"/>
    </row>
    <row r="775" spans="1:7" ht="15.75" customHeight="1">
      <c r="A775" s="3"/>
      <c r="B775" s="3"/>
      <c r="C775" s="3"/>
      <c r="D775" s="3"/>
      <c r="E775" s="3"/>
      <c r="F775" s="3"/>
      <c r="G775" s="3"/>
    </row>
    <row r="776" spans="1:7" ht="15.75" customHeight="1">
      <c r="A776" s="3"/>
      <c r="B776" s="3"/>
      <c r="C776" s="3"/>
      <c r="D776" s="3"/>
      <c r="E776" s="3"/>
      <c r="F776" s="3"/>
      <c r="G776" s="3"/>
    </row>
    <row r="777" spans="1:7" ht="15.75" customHeight="1">
      <c r="A777" s="3"/>
      <c r="B777" s="3"/>
      <c r="C777" s="3"/>
      <c r="D777" s="3"/>
      <c r="E777" s="3"/>
      <c r="F777" s="3"/>
      <c r="G777" s="3"/>
    </row>
    <row r="778" spans="1:7" ht="15.75" customHeight="1">
      <c r="A778" s="3"/>
      <c r="B778" s="3"/>
      <c r="C778" s="3"/>
      <c r="D778" s="3"/>
      <c r="E778" s="3"/>
      <c r="F778" s="3"/>
      <c r="G778" s="3"/>
    </row>
    <row r="779" spans="1:7" ht="15.75" customHeight="1">
      <c r="A779" s="3"/>
      <c r="B779" s="3"/>
      <c r="C779" s="3"/>
      <c r="D779" s="3"/>
      <c r="E779" s="3"/>
      <c r="F779" s="3"/>
      <c r="G779" s="3"/>
    </row>
    <row r="780" spans="1:7" ht="15.75" customHeight="1">
      <c r="A780" s="3"/>
      <c r="B780" s="3"/>
      <c r="C780" s="3"/>
      <c r="D780" s="3"/>
      <c r="E780" s="3"/>
      <c r="F780" s="3"/>
      <c r="G780" s="3"/>
    </row>
    <row r="781" spans="1:7" ht="15.75" customHeight="1">
      <c r="A781" s="3"/>
      <c r="B781" s="3"/>
      <c r="C781" s="3"/>
      <c r="D781" s="3"/>
      <c r="E781" s="3"/>
      <c r="F781" s="3"/>
      <c r="G781" s="3"/>
    </row>
    <row r="782" spans="1:7" ht="15.75" customHeight="1">
      <c r="A782" s="3"/>
      <c r="B782" s="3"/>
      <c r="C782" s="3"/>
      <c r="D782" s="3"/>
      <c r="E782" s="3"/>
      <c r="F782" s="3"/>
      <c r="G782" s="3"/>
    </row>
    <row r="783" spans="1:7" ht="15.75" customHeight="1">
      <c r="A783" s="3"/>
      <c r="B783" s="3"/>
      <c r="C783" s="3"/>
      <c r="D783" s="3"/>
      <c r="E783" s="3"/>
      <c r="F783" s="3"/>
      <c r="G783" s="3"/>
    </row>
    <row r="784" spans="1:7" ht="15.75" customHeight="1">
      <c r="A784" s="3"/>
      <c r="B784" s="3"/>
      <c r="C784" s="3"/>
      <c r="D784" s="3"/>
      <c r="E784" s="3"/>
      <c r="F784" s="3"/>
      <c r="G784" s="3"/>
    </row>
    <row r="785" spans="1:7" ht="15.75" customHeight="1">
      <c r="A785" s="3"/>
      <c r="B785" s="3"/>
      <c r="C785" s="3"/>
      <c r="D785" s="3"/>
      <c r="E785" s="3"/>
      <c r="F785" s="3"/>
      <c r="G785" s="3"/>
    </row>
    <row r="786" spans="1:7" ht="15.75" customHeight="1">
      <c r="A786" s="3"/>
      <c r="B786" s="3"/>
      <c r="C786" s="3"/>
      <c r="D786" s="3"/>
      <c r="E786" s="3"/>
      <c r="F786" s="3"/>
      <c r="G786" s="3"/>
    </row>
    <row r="787" spans="1:7" ht="15.75" customHeight="1">
      <c r="A787" s="3"/>
      <c r="B787" s="3"/>
      <c r="C787" s="3"/>
      <c r="D787" s="3"/>
      <c r="E787" s="3"/>
      <c r="F787" s="3"/>
      <c r="G787" s="3"/>
    </row>
    <row r="788" spans="1:7" ht="15.75" customHeight="1">
      <c r="A788" s="3"/>
      <c r="B788" s="3"/>
      <c r="C788" s="3"/>
      <c r="D788" s="3"/>
      <c r="E788" s="3"/>
      <c r="F788" s="3"/>
      <c r="G788" s="3"/>
    </row>
    <row r="789" spans="1:7" ht="15.75" customHeight="1">
      <c r="A789" s="3"/>
      <c r="B789" s="3"/>
      <c r="C789" s="3"/>
      <c r="D789" s="3"/>
      <c r="E789" s="3"/>
      <c r="F789" s="3"/>
      <c r="G789" s="3"/>
    </row>
    <row r="790" spans="1:7" ht="15.75" customHeight="1">
      <c r="A790" s="3"/>
      <c r="B790" s="3"/>
      <c r="C790" s="3"/>
      <c r="D790" s="3"/>
      <c r="E790" s="3"/>
      <c r="F790" s="3"/>
      <c r="G790" s="3"/>
    </row>
    <row r="791" spans="1:7" ht="15.75" customHeight="1">
      <c r="A791" s="3"/>
      <c r="B791" s="3"/>
      <c r="C791" s="3"/>
      <c r="D791" s="3"/>
      <c r="E791" s="3"/>
      <c r="F791" s="3"/>
      <c r="G791" s="3"/>
    </row>
    <row r="792" spans="1:7" ht="15.75" customHeight="1">
      <c r="A792" s="3"/>
      <c r="B792" s="3"/>
      <c r="C792" s="3"/>
      <c r="D792" s="3"/>
      <c r="E792" s="3"/>
      <c r="F792" s="3"/>
      <c r="G792" s="3"/>
    </row>
    <row r="793" spans="1:7" ht="15.75" customHeight="1">
      <c r="A793" s="3"/>
      <c r="B793" s="3"/>
      <c r="C793" s="3"/>
      <c r="D793" s="3"/>
      <c r="E793" s="3"/>
      <c r="F793" s="3"/>
      <c r="G793" s="3"/>
    </row>
    <row r="794" spans="1:7" ht="15.75" customHeight="1">
      <c r="A794" s="3"/>
      <c r="B794" s="3"/>
      <c r="C794" s="3"/>
      <c r="D794" s="3"/>
      <c r="E794" s="3"/>
      <c r="F794" s="3"/>
      <c r="G794" s="3"/>
    </row>
    <row r="795" spans="1:7" ht="15.75" customHeight="1">
      <c r="A795" s="3"/>
      <c r="B795" s="3"/>
      <c r="C795" s="3"/>
      <c r="D795" s="3"/>
      <c r="E795" s="3"/>
      <c r="F795" s="3"/>
      <c r="G795" s="3"/>
    </row>
    <row r="796" spans="1:7" ht="15.75" customHeight="1">
      <c r="A796" s="3"/>
      <c r="B796" s="3"/>
      <c r="C796" s="3"/>
      <c r="D796" s="3"/>
      <c r="E796" s="3"/>
      <c r="F796" s="3"/>
      <c r="G796" s="3"/>
    </row>
    <row r="797" spans="1:7" ht="15.75" customHeight="1">
      <c r="A797" s="3"/>
      <c r="B797" s="3"/>
      <c r="C797" s="3"/>
      <c r="D797" s="3"/>
      <c r="E797" s="3"/>
      <c r="F797" s="3"/>
      <c r="G797" s="3"/>
    </row>
    <row r="798" spans="1:7" ht="15.75" customHeight="1">
      <c r="A798" s="3"/>
      <c r="B798" s="3"/>
      <c r="C798" s="3"/>
      <c r="D798" s="3"/>
      <c r="E798" s="3"/>
      <c r="F798" s="3"/>
      <c r="G798" s="3"/>
    </row>
    <row r="799" spans="1:7" ht="15.75" customHeight="1">
      <c r="A799" s="3"/>
      <c r="B799" s="3"/>
      <c r="C799" s="3"/>
      <c r="D799" s="3"/>
      <c r="E799" s="3"/>
      <c r="F799" s="3"/>
      <c r="G799" s="3"/>
    </row>
    <row r="800" spans="1:7" ht="15.75" customHeight="1">
      <c r="A800" s="3"/>
      <c r="B800" s="3"/>
      <c r="C800" s="3"/>
      <c r="D800" s="3"/>
      <c r="E800" s="3"/>
      <c r="F800" s="3"/>
      <c r="G800" s="3"/>
    </row>
    <row r="801" spans="1:7" ht="15.75" customHeight="1">
      <c r="A801" s="3"/>
      <c r="B801" s="3"/>
      <c r="C801" s="3"/>
      <c r="D801" s="3"/>
      <c r="E801" s="3"/>
      <c r="F801" s="3"/>
      <c r="G801" s="3"/>
    </row>
    <row r="802" spans="1:7" ht="15.75" customHeight="1">
      <c r="A802" s="3"/>
      <c r="B802" s="3"/>
      <c r="C802" s="3"/>
      <c r="D802" s="3"/>
      <c r="E802" s="3"/>
      <c r="F802" s="3"/>
      <c r="G802" s="3"/>
    </row>
    <row r="803" spans="1:7" ht="15.75" customHeight="1">
      <c r="A803" s="3"/>
      <c r="B803" s="3"/>
      <c r="C803" s="3"/>
      <c r="D803" s="3"/>
      <c r="E803" s="3"/>
      <c r="F803" s="3"/>
      <c r="G803" s="3"/>
    </row>
    <row r="804" spans="1:7" ht="15.75" customHeight="1">
      <c r="A804" s="3"/>
      <c r="B804" s="3"/>
      <c r="C804" s="3"/>
      <c r="D804" s="3"/>
      <c r="E804" s="3"/>
      <c r="F804" s="3"/>
      <c r="G804" s="3"/>
    </row>
    <row r="805" spans="1:7" ht="15.75" customHeight="1">
      <c r="A805" s="3"/>
      <c r="B805" s="3"/>
      <c r="C805" s="3"/>
      <c r="D805" s="3"/>
      <c r="E805" s="3"/>
      <c r="F805" s="3"/>
      <c r="G805" s="3"/>
    </row>
    <row r="806" spans="1:7" ht="15.75" customHeight="1">
      <c r="A806" s="3"/>
      <c r="B806" s="3"/>
      <c r="C806" s="3"/>
      <c r="D806" s="3"/>
      <c r="E806" s="3"/>
      <c r="F806" s="3"/>
      <c r="G806" s="3"/>
    </row>
    <row r="807" spans="1:7" ht="15.75" customHeight="1">
      <c r="A807" s="3"/>
      <c r="B807" s="3"/>
      <c r="C807" s="3"/>
      <c r="D807" s="3"/>
      <c r="E807" s="3"/>
      <c r="F807" s="3"/>
      <c r="G807" s="3"/>
    </row>
    <row r="808" spans="1:7" ht="15.75" customHeight="1">
      <c r="A808" s="3"/>
      <c r="B808" s="3"/>
      <c r="C808" s="3"/>
      <c r="D808" s="3"/>
      <c r="E808" s="3"/>
      <c r="F808" s="3"/>
      <c r="G808" s="3"/>
    </row>
    <row r="809" spans="1:7" ht="15.75" customHeight="1">
      <c r="A809" s="3"/>
      <c r="B809" s="3"/>
      <c r="C809" s="3"/>
      <c r="D809" s="3"/>
      <c r="E809" s="3"/>
      <c r="F809" s="3"/>
      <c r="G809" s="3"/>
    </row>
    <row r="810" spans="1:7" ht="15.75" customHeight="1">
      <c r="A810" s="3"/>
      <c r="B810" s="3"/>
      <c r="C810" s="3"/>
      <c r="D810" s="3"/>
      <c r="E810" s="3"/>
      <c r="F810" s="3"/>
      <c r="G810" s="3"/>
    </row>
    <row r="811" spans="1:7" ht="15.75" customHeight="1">
      <c r="A811" s="3"/>
      <c r="B811" s="3"/>
      <c r="C811" s="3"/>
      <c r="D811" s="3"/>
      <c r="E811" s="3"/>
      <c r="F811" s="3"/>
      <c r="G811" s="3"/>
    </row>
    <row r="812" spans="1:7" ht="15.75" customHeight="1">
      <c r="A812" s="3"/>
      <c r="B812" s="3"/>
      <c r="C812" s="3"/>
      <c r="D812" s="3"/>
      <c r="E812" s="3"/>
      <c r="F812" s="3"/>
      <c r="G812" s="3"/>
    </row>
    <row r="813" spans="1:7" ht="15.75" customHeight="1">
      <c r="A813" s="3"/>
      <c r="B813" s="3"/>
      <c r="C813" s="3"/>
      <c r="D813" s="3"/>
      <c r="E813" s="3"/>
      <c r="F813" s="3"/>
      <c r="G813" s="3"/>
    </row>
    <row r="814" spans="1:7" ht="15.75" customHeight="1">
      <c r="A814" s="3"/>
      <c r="B814" s="3"/>
      <c r="C814" s="3"/>
      <c r="D814" s="3"/>
      <c r="E814" s="3"/>
      <c r="F814" s="3"/>
      <c r="G814" s="3"/>
    </row>
    <row r="815" spans="1:7" ht="15.75" customHeight="1">
      <c r="A815" s="3"/>
      <c r="B815" s="3"/>
      <c r="C815" s="3"/>
      <c r="D815" s="3"/>
      <c r="E815" s="3"/>
      <c r="F815" s="3"/>
      <c r="G815" s="3"/>
    </row>
    <row r="816" spans="1:7" ht="15.75" customHeight="1">
      <c r="A816" s="3"/>
      <c r="B816" s="3"/>
      <c r="C816" s="3"/>
      <c r="D816" s="3"/>
      <c r="E816" s="3"/>
      <c r="F816" s="3"/>
      <c r="G816" s="3"/>
    </row>
    <row r="817" spans="1:7" ht="15.75" customHeight="1">
      <c r="A817" s="3"/>
      <c r="B817" s="3"/>
      <c r="C817" s="3"/>
      <c r="D817" s="3"/>
      <c r="E817" s="3"/>
      <c r="F817" s="3"/>
      <c r="G817" s="3"/>
    </row>
    <row r="818" spans="1:7" ht="15.75" customHeight="1">
      <c r="A818" s="3"/>
      <c r="B818" s="3"/>
      <c r="C818" s="3"/>
      <c r="D818" s="3"/>
      <c r="E818" s="3"/>
      <c r="F818" s="3"/>
      <c r="G818" s="3"/>
    </row>
    <row r="819" spans="1:7" ht="15.75" customHeight="1">
      <c r="A819" s="3"/>
      <c r="B819" s="3"/>
      <c r="C819" s="3"/>
      <c r="D819" s="3"/>
      <c r="E819" s="3"/>
      <c r="F819" s="3"/>
      <c r="G819" s="3"/>
    </row>
    <row r="820" spans="1:7" ht="15.75" customHeight="1">
      <c r="A820" s="3"/>
      <c r="B820" s="3"/>
      <c r="C820" s="3"/>
      <c r="D820" s="3"/>
      <c r="E820" s="3"/>
      <c r="F820" s="3"/>
      <c r="G820" s="3"/>
    </row>
    <row r="821" spans="1:7" ht="15.75" customHeight="1">
      <c r="A821" s="3"/>
      <c r="B821" s="3"/>
      <c r="C821" s="3"/>
      <c r="D821" s="3"/>
      <c r="E821" s="3"/>
      <c r="F821" s="3"/>
      <c r="G821" s="3"/>
    </row>
    <row r="822" spans="1:7" ht="15.75" customHeight="1">
      <c r="A822" s="3"/>
      <c r="B822" s="3"/>
      <c r="C822" s="3"/>
      <c r="D822" s="3"/>
      <c r="E822" s="3"/>
      <c r="F822" s="3"/>
      <c r="G822" s="3"/>
    </row>
    <row r="823" spans="1:7" ht="15.75" customHeight="1">
      <c r="A823" s="3"/>
      <c r="B823" s="3"/>
      <c r="C823" s="3"/>
      <c r="D823" s="3"/>
      <c r="E823" s="3"/>
      <c r="F823" s="3"/>
      <c r="G823" s="3"/>
    </row>
    <row r="824" spans="1:7" ht="15.75" customHeight="1">
      <c r="A824" s="3"/>
      <c r="B824" s="3"/>
      <c r="C824" s="3"/>
      <c r="D824" s="3"/>
      <c r="E824" s="3"/>
      <c r="F824" s="3"/>
      <c r="G824" s="3"/>
    </row>
    <row r="825" spans="1:7" ht="15.75" customHeight="1">
      <c r="A825" s="3"/>
      <c r="B825" s="3"/>
      <c r="C825" s="3"/>
      <c r="D825" s="3"/>
      <c r="E825" s="3"/>
      <c r="F825" s="3"/>
      <c r="G825" s="3"/>
    </row>
    <row r="826" spans="1:7" ht="15.75" customHeight="1">
      <c r="A826" s="3"/>
      <c r="B826" s="3"/>
      <c r="C826" s="3"/>
      <c r="D826" s="3"/>
      <c r="E826" s="3"/>
      <c r="F826" s="3"/>
      <c r="G826" s="3"/>
    </row>
    <row r="827" spans="1:7" ht="15.75" customHeight="1">
      <c r="A827" s="3"/>
      <c r="B827" s="3"/>
      <c r="C827" s="3"/>
      <c r="D827" s="3"/>
      <c r="E827" s="3"/>
      <c r="F827" s="3"/>
      <c r="G827" s="3"/>
    </row>
    <row r="828" spans="1:7" ht="15.75" customHeight="1">
      <c r="A828" s="3"/>
      <c r="B828" s="3"/>
      <c r="C828" s="3"/>
      <c r="D828" s="3"/>
      <c r="E828" s="3"/>
      <c r="F828" s="3"/>
      <c r="G828" s="3"/>
    </row>
    <row r="829" spans="1:7" ht="15.75" customHeight="1">
      <c r="A829" s="3"/>
      <c r="B829" s="3"/>
      <c r="C829" s="3"/>
      <c r="D829" s="3"/>
      <c r="E829" s="3"/>
      <c r="F829" s="3"/>
      <c r="G829" s="3"/>
    </row>
    <row r="830" spans="1:7" ht="15.75" customHeight="1">
      <c r="A830" s="3"/>
      <c r="B830" s="3"/>
      <c r="C830" s="3"/>
      <c r="D830" s="3"/>
      <c r="E830" s="3"/>
      <c r="F830" s="3"/>
      <c r="G830" s="3"/>
    </row>
    <row r="831" spans="1:7" ht="15.75" customHeight="1">
      <c r="A831" s="3"/>
      <c r="B831" s="3"/>
      <c r="C831" s="3"/>
      <c r="D831" s="3"/>
      <c r="E831" s="3"/>
      <c r="F831" s="3"/>
      <c r="G831" s="3"/>
    </row>
    <row r="832" spans="1:7" ht="15.75" customHeight="1">
      <c r="A832" s="3"/>
      <c r="B832" s="3"/>
      <c r="C832" s="3"/>
      <c r="D832" s="3"/>
      <c r="E832" s="3"/>
      <c r="F832" s="3"/>
      <c r="G832" s="3"/>
    </row>
    <row r="833" spans="1:7" ht="15.75" customHeight="1">
      <c r="A833" s="3"/>
      <c r="B833" s="3"/>
      <c r="C833" s="3"/>
      <c r="D833" s="3"/>
      <c r="E833" s="3"/>
      <c r="F833" s="3"/>
      <c r="G833" s="3"/>
    </row>
    <row r="834" spans="1:7" ht="15.75" customHeight="1">
      <c r="A834" s="3"/>
      <c r="B834" s="3"/>
      <c r="C834" s="3"/>
      <c r="D834" s="3"/>
      <c r="E834" s="3"/>
      <c r="F834" s="3"/>
      <c r="G834" s="3"/>
    </row>
    <row r="835" spans="1:7" ht="15.75" customHeight="1">
      <c r="A835" s="3"/>
      <c r="B835" s="3"/>
      <c r="C835" s="3"/>
      <c r="D835" s="3"/>
      <c r="E835" s="3"/>
      <c r="F835" s="3"/>
      <c r="G835" s="3"/>
    </row>
    <row r="836" spans="1:7" ht="15.75" customHeight="1">
      <c r="A836" s="3"/>
      <c r="B836" s="3"/>
      <c r="C836" s="3"/>
      <c r="D836" s="3"/>
      <c r="E836" s="3"/>
      <c r="F836" s="3"/>
      <c r="G836" s="3"/>
    </row>
    <row r="837" spans="1:7" ht="15.75" customHeight="1">
      <c r="A837" s="3"/>
      <c r="B837" s="3"/>
      <c r="C837" s="3"/>
      <c r="D837" s="3"/>
      <c r="E837" s="3"/>
      <c r="F837" s="3"/>
      <c r="G837" s="3"/>
    </row>
    <row r="838" spans="1:7" ht="15.75" customHeight="1">
      <c r="A838" s="3"/>
      <c r="B838" s="3"/>
      <c r="C838" s="3"/>
      <c r="D838" s="3"/>
      <c r="E838" s="3"/>
      <c r="F838" s="3"/>
      <c r="G838" s="3"/>
    </row>
    <row r="839" spans="1:7" ht="15.75" customHeight="1">
      <c r="A839" s="3"/>
      <c r="B839" s="3"/>
      <c r="C839" s="3"/>
      <c r="D839" s="3"/>
      <c r="E839" s="3"/>
      <c r="F839" s="3"/>
      <c r="G839" s="3"/>
    </row>
    <row r="840" spans="1:7" ht="15.75" customHeight="1">
      <c r="A840" s="3"/>
      <c r="B840" s="3"/>
      <c r="C840" s="3"/>
      <c r="D840" s="3"/>
      <c r="E840" s="3"/>
      <c r="F840" s="3"/>
      <c r="G840" s="3"/>
    </row>
    <row r="841" spans="1:7" ht="15.75" customHeight="1">
      <c r="A841" s="3"/>
      <c r="B841" s="3"/>
      <c r="C841" s="3"/>
      <c r="D841" s="3"/>
      <c r="E841" s="3"/>
      <c r="F841" s="3"/>
      <c r="G841" s="3"/>
    </row>
    <row r="842" spans="1:7" ht="15.75" customHeight="1">
      <c r="A842" s="3"/>
      <c r="B842" s="3"/>
      <c r="C842" s="3"/>
      <c r="D842" s="3"/>
      <c r="E842" s="3"/>
      <c r="F842" s="3"/>
      <c r="G842" s="3"/>
    </row>
    <row r="843" spans="1:7" ht="15.75" customHeight="1">
      <c r="A843" s="3"/>
      <c r="B843" s="3"/>
      <c r="C843" s="3"/>
      <c r="D843" s="3"/>
      <c r="E843" s="3"/>
      <c r="F843" s="3"/>
      <c r="G843" s="3"/>
    </row>
    <row r="844" spans="1:7" ht="15.75" customHeight="1">
      <c r="A844" s="3"/>
      <c r="B844" s="3"/>
      <c r="C844" s="3"/>
      <c r="D844" s="3"/>
      <c r="E844" s="3"/>
      <c r="F844" s="3"/>
      <c r="G844" s="3"/>
    </row>
    <row r="845" spans="1:7" ht="15.75" customHeight="1">
      <c r="A845" s="3"/>
      <c r="B845" s="3"/>
      <c r="C845" s="3"/>
      <c r="D845" s="3"/>
      <c r="E845" s="3"/>
      <c r="F845" s="3"/>
      <c r="G845" s="3"/>
    </row>
    <row r="846" spans="1:7" ht="15.75" customHeight="1">
      <c r="A846" s="3"/>
      <c r="B846" s="3"/>
      <c r="C846" s="3"/>
      <c r="D846" s="3"/>
      <c r="E846" s="3"/>
      <c r="F846" s="3"/>
      <c r="G846" s="3"/>
    </row>
    <row r="847" spans="1:7" ht="15.75" customHeight="1">
      <c r="A847" s="3"/>
      <c r="B847" s="3"/>
      <c r="C847" s="3"/>
      <c r="D847" s="3"/>
      <c r="E847" s="3"/>
      <c r="F847" s="3"/>
      <c r="G847" s="3"/>
    </row>
    <row r="848" spans="1:7" ht="15.75" customHeight="1">
      <c r="A848" s="3"/>
      <c r="B848" s="3"/>
      <c r="C848" s="3"/>
      <c r="D848" s="3"/>
      <c r="E848" s="3"/>
      <c r="F848" s="3"/>
      <c r="G848" s="3"/>
    </row>
    <row r="849" spans="1:7" ht="15.75" customHeight="1">
      <c r="A849" s="3"/>
      <c r="B849" s="3"/>
      <c r="C849" s="3"/>
      <c r="D849" s="3"/>
      <c r="E849" s="3"/>
      <c r="F849" s="3"/>
      <c r="G849" s="3"/>
    </row>
    <row r="850" spans="1:7" ht="15.75" customHeight="1">
      <c r="A850" s="3"/>
      <c r="B850" s="3"/>
      <c r="C850" s="3"/>
      <c r="D850" s="3"/>
      <c r="E850" s="3"/>
      <c r="F850" s="3"/>
      <c r="G850" s="3"/>
    </row>
    <row r="851" spans="1:7" ht="15.75" customHeight="1">
      <c r="A851" s="3"/>
      <c r="B851" s="3"/>
      <c r="C851" s="3"/>
      <c r="D851" s="3"/>
      <c r="E851" s="3"/>
      <c r="F851" s="3"/>
      <c r="G851" s="3"/>
    </row>
    <row r="852" spans="1:7" ht="15.75" customHeight="1">
      <c r="A852" s="3"/>
      <c r="B852" s="3"/>
      <c r="C852" s="3"/>
      <c r="D852" s="3"/>
      <c r="E852" s="3"/>
      <c r="F852" s="3"/>
      <c r="G852" s="3"/>
    </row>
    <row r="853" spans="1:7" ht="15.75" customHeight="1">
      <c r="A853" s="3"/>
      <c r="B853" s="3"/>
      <c r="C853" s="3"/>
      <c r="D853" s="3"/>
      <c r="E853" s="3"/>
      <c r="F853" s="3"/>
      <c r="G853" s="3"/>
    </row>
    <row r="854" spans="1:7" ht="15.75" customHeight="1">
      <c r="A854" s="3"/>
      <c r="B854" s="3"/>
      <c r="C854" s="3"/>
      <c r="D854" s="3"/>
      <c r="E854" s="3"/>
      <c r="F854" s="3"/>
      <c r="G854" s="3"/>
    </row>
    <row r="855" spans="1:7" ht="15.75" customHeight="1">
      <c r="A855" s="3"/>
      <c r="B855" s="3"/>
      <c r="C855" s="3"/>
      <c r="D855" s="3"/>
      <c r="E855" s="3"/>
      <c r="F855" s="3"/>
      <c r="G855" s="3"/>
    </row>
    <row r="856" spans="1:7" ht="15.75" customHeight="1">
      <c r="A856" s="3"/>
      <c r="B856" s="3"/>
      <c r="C856" s="3"/>
      <c r="D856" s="3"/>
      <c r="E856" s="3"/>
      <c r="F856" s="3"/>
      <c r="G856" s="3"/>
    </row>
    <row r="857" spans="1:7" ht="15.75" customHeight="1">
      <c r="A857" s="3"/>
      <c r="B857" s="3"/>
      <c r="C857" s="3"/>
      <c r="D857" s="3"/>
      <c r="E857" s="3"/>
      <c r="F857" s="3"/>
      <c r="G857" s="3"/>
    </row>
    <row r="858" spans="1:7" ht="15.75" customHeight="1">
      <c r="A858" s="3"/>
      <c r="B858" s="3"/>
      <c r="C858" s="3"/>
      <c r="D858" s="3"/>
      <c r="E858" s="3"/>
      <c r="F858" s="3"/>
      <c r="G858" s="3"/>
    </row>
    <row r="859" spans="1:7" ht="15.75" customHeight="1">
      <c r="A859" s="3"/>
      <c r="B859" s="3"/>
      <c r="C859" s="3"/>
      <c r="D859" s="3"/>
      <c r="E859" s="3"/>
      <c r="F859" s="3"/>
      <c r="G859" s="3"/>
    </row>
    <row r="860" spans="1:7" ht="15.75" customHeight="1">
      <c r="A860" s="3"/>
      <c r="B860" s="3"/>
      <c r="C860" s="3"/>
      <c r="D860" s="3"/>
      <c r="E860" s="3"/>
      <c r="F860" s="3"/>
      <c r="G860" s="3"/>
    </row>
    <row r="861" spans="1:7" ht="15.75" customHeight="1">
      <c r="A861" s="3"/>
      <c r="B861" s="3"/>
      <c r="C861" s="3"/>
      <c r="D861" s="3"/>
      <c r="E861" s="3"/>
      <c r="F861" s="3"/>
      <c r="G861" s="3"/>
    </row>
    <row r="862" spans="1:7" ht="15.75" customHeight="1">
      <c r="A862" s="3"/>
      <c r="B862" s="3"/>
      <c r="C862" s="3"/>
      <c r="D862" s="3"/>
      <c r="E862" s="3"/>
      <c r="F862" s="3"/>
      <c r="G862" s="3"/>
    </row>
    <row r="863" spans="1:7" ht="15.75" customHeight="1">
      <c r="A863" s="3"/>
      <c r="B863" s="3"/>
      <c r="C863" s="3"/>
      <c r="D863" s="3"/>
      <c r="E863" s="3"/>
      <c r="F863" s="3"/>
      <c r="G863" s="3"/>
    </row>
    <row r="864" spans="1:7" ht="15.75" customHeight="1">
      <c r="A864" s="3"/>
      <c r="B864" s="3"/>
      <c r="C864" s="3"/>
      <c r="D864" s="3"/>
      <c r="E864" s="3"/>
      <c r="F864" s="3"/>
      <c r="G864" s="3"/>
    </row>
    <row r="865" spans="1:7" ht="15.75" customHeight="1">
      <c r="A865" s="3"/>
      <c r="B865" s="3"/>
      <c r="C865" s="3"/>
      <c r="D865" s="3"/>
      <c r="E865" s="3"/>
      <c r="F865" s="3"/>
      <c r="G865" s="3"/>
    </row>
    <row r="866" spans="1:7" ht="15.75" customHeight="1">
      <c r="A866" s="3"/>
      <c r="B866" s="3"/>
      <c r="C866" s="3"/>
      <c r="D866" s="3"/>
      <c r="E866" s="3"/>
      <c r="F866" s="3"/>
      <c r="G866" s="3"/>
    </row>
    <row r="867" spans="1:7" ht="15.75" customHeight="1">
      <c r="A867" s="3"/>
      <c r="B867" s="3"/>
      <c r="C867" s="3"/>
      <c r="D867" s="3"/>
      <c r="E867" s="3"/>
      <c r="F867" s="3"/>
      <c r="G867" s="3"/>
    </row>
    <row r="868" spans="1:7" ht="15.75" customHeight="1">
      <c r="A868" s="3"/>
      <c r="B868" s="3"/>
      <c r="C868" s="3"/>
      <c r="D868" s="3"/>
      <c r="E868" s="3"/>
      <c r="F868" s="3"/>
      <c r="G868" s="3"/>
    </row>
    <row r="869" spans="1:7" ht="15.75" customHeight="1">
      <c r="A869" s="3"/>
      <c r="B869" s="3"/>
      <c r="C869" s="3"/>
      <c r="D869" s="3"/>
      <c r="E869" s="3"/>
      <c r="F869" s="3"/>
      <c r="G869" s="3"/>
    </row>
    <row r="870" spans="1:7" ht="15.75" customHeight="1">
      <c r="A870" s="3"/>
      <c r="B870" s="3"/>
      <c r="C870" s="3"/>
      <c r="D870" s="3"/>
      <c r="E870" s="3"/>
      <c r="F870" s="3"/>
      <c r="G870" s="3"/>
    </row>
    <row r="871" spans="1:7" ht="15.75" customHeight="1">
      <c r="A871" s="3"/>
      <c r="B871" s="3"/>
      <c r="C871" s="3"/>
      <c r="D871" s="3"/>
      <c r="E871" s="3"/>
      <c r="F871" s="3"/>
      <c r="G871" s="3"/>
    </row>
    <row r="872" spans="1:7" ht="15.75" customHeight="1">
      <c r="A872" s="3"/>
      <c r="B872" s="3"/>
      <c r="C872" s="3"/>
      <c r="D872" s="3"/>
      <c r="E872" s="3"/>
      <c r="F872" s="3"/>
      <c r="G872" s="3"/>
    </row>
    <row r="873" spans="1:7" ht="15.75" customHeight="1">
      <c r="A873" s="3"/>
      <c r="B873" s="3"/>
      <c r="C873" s="3"/>
      <c r="D873" s="3"/>
      <c r="E873" s="3"/>
      <c r="F873" s="3"/>
      <c r="G873" s="3"/>
    </row>
    <row r="874" spans="1:7" ht="15.75" customHeight="1">
      <c r="A874" s="3"/>
      <c r="B874" s="3"/>
      <c r="C874" s="3"/>
      <c r="D874" s="3"/>
      <c r="E874" s="3"/>
      <c r="F874" s="3"/>
      <c r="G874" s="3"/>
    </row>
    <row r="875" spans="1:7" ht="15.75" customHeight="1">
      <c r="A875" s="3"/>
      <c r="B875" s="3"/>
      <c r="C875" s="3"/>
      <c r="D875" s="3"/>
      <c r="E875" s="3"/>
      <c r="F875" s="3"/>
      <c r="G875" s="3"/>
    </row>
    <row r="876" spans="1:7" ht="15.75" customHeight="1">
      <c r="A876" s="3"/>
      <c r="B876" s="3"/>
      <c r="C876" s="3"/>
      <c r="D876" s="3"/>
      <c r="E876" s="3"/>
      <c r="F876" s="3"/>
      <c r="G876" s="3"/>
    </row>
    <row r="877" spans="1:7" ht="15.75" customHeight="1">
      <c r="A877" s="3"/>
      <c r="B877" s="3"/>
      <c r="C877" s="3"/>
      <c r="D877" s="3"/>
      <c r="E877" s="3"/>
      <c r="F877" s="3"/>
      <c r="G877" s="3"/>
    </row>
    <row r="878" spans="1:7" ht="15.75" customHeight="1">
      <c r="A878" s="3"/>
      <c r="B878" s="3"/>
      <c r="C878" s="3"/>
      <c r="D878" s="3"/>
      <c r="E878" s="3"/>
      <c r="F878" s="3"/>
      <c r="G878" s="3"/>
    </row>
    <row r="879" spans="1:7" ht="15.75" customHeight="1">
      <c r="A879" s="3"/>
      <c r="B879" s="3"/>
      <c r="C879" s="3"/>
      <c r="D879" s="3"/>
      <c r="E879" s="3"/>
      <c r="F879" s="3"/>
      <c r="G879" s="3"/>
    </row>
    <row r="880" spans="1:7" ht="15.75" customHeight="1">
      <c r="A880" s="3"/>
      <c r="B880" s="3"/>
      <c r="C880" s="3"/>
      <c r="D880" s="3"/>
      <c r="E880" s="3"/>
      <c r="F880" s="3"/>
      <c r="G880" s="3"/>
    </row>
    <row r="881" spans="1:7" ht="15.75" customHeight="1">
      <c r="A881" s="3"/>
      <c r="B881" s="3"/>
      <c r="C881" s="3"/>
      <c r="D881" s="3"/>
      <c r="E881" s="3"/>
      <c r="F881" s="3"/>
      <c r="G881" s="3"/>
    </row>
    <row r="882" spans="1:7" ht="15.75" customHeight="1">
      <c r="A882" s="3"/>
      <c r="B882" s="3"/>
      <c r="C882" s="3"/>
      <c r="D882" s="3"/>
      <c r="E882" s="3"/>
      <c r="F882" s="3"/>
      <c r="G882" s="3"/>
    </row>
    <row r="883" spans="1:7" ht="15.75" customHeight="1">
      <c r="A883" s="3"/>
      <c r="B883" s="3"/>
      <c r="C883" s="3"/>
      <c r="D883" s="3"/>
      <c r="E883" s="3"/>
      <c r="F883" s="3"/>
      <c r="G883" s="3"/>
    </row>
    <row r="884" spans="1:7" ht="15.75" customHeight="1">
      <c r="A884" s="3"/>
      <c r="B884" s="3"/>
      <c r="C884" s="3"/>
      <c r="D884" s="3"/>
      <c r="E884" s="3"/>
      <c r="F884" s="3"/>
      <c r="G884" s="3"/>
    </row>
    <row r="885" spans="1:7" ht="15.75" customHeight="1">
      <c r="A885" s="3"/>
      <c r="B885" s="3"/>
      <c r="C885" s="3"/>
      <c r="D885" s="3"/>
      <c r="E885" s="3"/>
      <c r="F885" s="3"/>
      <c r="G885" s="3"/>
    </row>
    <row r="886" spans="1:7" ht="15.75" customHeight="1">
      <c r="A886" s="3"/>
      <c r="B886" s="3"/>
      <c r="C886" s="3"/>
      <c r="D886" s="3"/>
      <c r="E886" s="3"/>
      <c r="F886" s="3"/>
      <c r="G886" s="3"/>
    </row>
    <row r="887" spans="1:7" ht="15.75" customHeight="1">
      <c r="A887" s="3"/>
      <c r="B887" s="3"/>
      <c r="C887" s="3"/>
      <c r="D887" s="3"/>
      <c r="E887" s="3"/>
      <c r="F887" s="3"/>
      <c r="G887" s="3"/>
    </row>
    <row r="888" spans="1:7" ht="15.75" customHeight="1">
      <c r="A888" s="3"/>
      <c r="B888" s="3"/>
      <c r="C888" s="3"/>
      <c r="D888" s="3"/>
      <c r="E888" s="3"/>
      <c r="F888" s="3"/>
      <c r="G888" s="3"/>
    </row>
    <row r="889" spans="1:7" ht="15.75" customHeight="1">
      <c r="A889" s="3"/>
      <c r="B889" s="3"/>
      <c r="C889" s="3"/>
      <c r="D889" s="3"/>
      <c r="E889" s="3"/>
      <c r="F889" s="3"/>
      <c r="G889" s="3"/>
    </row>
    <row r="890" spans="1:7" ht="15.75" customHeight="1">
      <c r="A890" s="3"/>
      <c r="B890" s="3"/>
      <c r="C890" s="3"/>
      <c r="D890" s="3"/>
      <c r="E890" s="3"/>
      <c r="F890" s="3"/>
      <c r="G890" s="3"/>
    </row>
    <row r="891" spans="1:7" ht="15.75" customHeight="1">
      <c r="A891" s="3"/>
      <c r="B891" s="3"/>
      <c r="C891" s="3"/>
      <c r="D891" s="3"/>
      <c r="E891" s="3"/>
      <c r="F891" s="3"/>
      <c r="G891" s="3"/>
    </row>
    <row r="892" spans="1:7" ht="15.75" customHeight="1">
      <c r="A892" s="3"/>
      <c r="B892" s="3"/>
      <c r="C892" s="3"/>
      <c r="D892" s="3"/>
      <c r="E892" s="3"/>
      <c r="F892" s="3"/>
      <c r="G892" s="3"/>
    </row>
    <row r="893" spans="1:7" ht="15.75" customHeight="1">
      <c r="A893" s="3"/>
      <c r="B893" s="3"/>
      <c r="C893" s="3"/>
      <c r="D893" s="3"/>
      <c r="E893" s="3"/>
      <c r="F893" s="3"/>
      <c r="G893" s="3"/>
    </row>
    <row r="894" spans="1:7" ht="15.75" customHeight="1">
      <c r="A894" s="3"/>
      <c r="B894" s="3"/>
      <c r="C894" s="3"/>
      <c r="D894" s="3"/>
      <c r="E894" s="3"/>
      <c r="F894" s="3"/>
      <c r="G894" s="3"/>
    </row>
    <row r="895" spans="1:7" ht="15.75" customHeight="1">
      <c r="A895" s="3"/>
      <c r="B895" s="3"/>
      <c r="C895" s="3"/>
      <c r="D895" s="3"/>
      <c r="E895" s="3"/>
      <c r="F895" s="3"/>
      <c r="G895" s="3"/>
    </row>
    <row r="896" spans="1:7" ht="15.75" customHeight="1">
      <c r="A896" s="3"/>
      <c r="B896" s="3"/>
      <c r="C896" s="3"/>
      <c r="D896" s="3"/>
      <c r="E896" s="3"/>
      <c r="F896" s="3"/>
      <c r="G896" s="3"/>
    </row>
    <row r="897" spans="1:7" ht="15.75" customHeight="1">
      <c r="A897" s="3"/>
      <c r="B897" s="3"/>
      <c r="C897" s="3"/>
      <c r="D897" s="3"/>
      <c r="E897" s="3"/>
      <c r="F897" s="3"/>
      <c r="G897" s="3"/>
    </row>
    <row r="898" spans="1:7" ht="15.75" customHeight="1">
      <c r="A898" s="3"/>
      <c r="B898" s="3"/>
      <c r="C898" s="3"/>
      <c r="D898" s="3"/>
      <c r="E898" s="3"/>
      <c r="F898" s="3"/>
      <c r="G898" s="3"/>
    </row>
    <row r="899" spans="1:7" ht="15.75" customHeight="1">
      <c r="A899" s="3"/>
      <c r="B899" s="3"/>
      <c r="C899" s="3"/>
      <c r="D899" s="3"/>
      <c r="E899" s="3"/>
      <c r="F899" s="3"/>
      <c r="G899" s="3"/>
    </row>
    <row r="900" spans="1:7" ht="15.75" customHeight="1">
      <c r="A900" s="3"/>
      <c r="B900" s="3"/>
      <c r="C900" s="3"/>
      <c r="D900" s="3"/>
      <c r="E900" s="3"/>
      <c r="F900" s="3"/>
      <c r="G900" s="3"/>
    </row>
    <row r="901" spans="1:7" ht="15.75" customHeight="1">
      <c r="A901" s="3"/>
      <c r="B901" s="3"/>
      <c r="C901" s="3"/>
      <c r="D901" s="3"/>
      <c r="E901" s="3"/>
      <c r="F901" s="3"/>
      <c r="G901" s="3"/>
    </row>
    <row r="902" spans="1:7" ht="15.75" customHeight="1">
      <c r="A902" s="3"/>
      <c r="B902" s="3"/>
      <c r="C902" s="3"/>
      <c r="D902" s="3"/>
      <c r="E902" s="3"/>
      <c r="F902" s="3"/>
      <c r="G902" s="3"/>
    </row>
    <row r="903" spans="1:7" ht="15.75" customHeight="1">
      <c r="A903" s="3"/>
      <c r="B903" s="3"/>
      <c r="C903" s="3"/>
      <c r="D903" s="3"/>
      <c r="E903" s="3"/>
      <c r="F903" s="3"/>
      <c r="G903" s="3"/>
    </row>
    <row r="904" spans="1:7" ht="15.75" customHeight="1">
      <c r="A904" s="3"/>
      <c r="B904" s="3"/>
      <c r="C904" s="3"/>
      <c r="D904" s="3"/>
      <c r="E904" s="3"/>
      <c r="F904" s="3"/>
      <c r="G904" s="3"/>
    </row>
    <row r="905" spans="1:7" ht="15.75" customHeight="1">
      <c r="A905" s="3"/>
      <c r="B905" s="3"/>
      <c r="C905" s="3"/>
      <c r="D905" s="3"/>
      <c r="E905" s="3"/>
      <c r="F905" s="3"/>
      <c r="G905" s="3"/>
    </row>
    <row r="906" spans="1:7" ht="15.75" customHeight="1">
      <c r="A906" s="3"/>
      <c r="B906" s="3"/>
      <c r="C906" s="3"/>
      <c r="D906" s="3"/>
      <c r="E906" s="3"/>
      <c r="F906" s="3"/>
      <c r="G906" s="3"/>
    </row>
    <row r="907" spans="1:7" ht="15.75" customHeight="1">
      <c r="A907" s="3"/>
      <c r="B907" s="3"/>
      <c r="C907" s="3"/>
      <c r="D907" s="3"/>
      <c r="E907" s="3"/>
      <c r="F907" s="3"/>
      <c r="G907" s="3"/>
    </row>
    <row r="908" spans="1:7" ht="15.75" customHeight="1">
      <c r="A908" s="3"/>
      <c r="B908" s="3"/>
      <c r="C908" s="3"/>
      <c r="D908" s="3"/>
      <c r="E908" s="3"/>
      <c r="F908" s="3"/>
      <c r="G908" s="3"/>
    </row>
    <row r="909" spans="1:7" ht="15.75" customHeight="1">
      <c r="A909" s="3"/>
      <c r="B909" s="3"/>
      <c r="C909" s="3"/>
      <c r="D909" s="3"/>
      <c r="E909" s="3"/>
      <c r="F909" s="3"/>
      <c r="G909" s="3"/>
    </row>
    <row r="910" spans="1:7" ht="15.75" customHeight="1">
      <c r="A910" s="3"/>
      <c r="B910" s="3"/>
      <c r="C910" s="3"/>
      <c r="D910" s="3"/>
      <c r="E910" s="3"/>
      <c r="F910" s="3"/>
      <c r="G910" s="3"/>
    </row>
    <row r="911" spans="1:7" ht="15.75" customHeight="1">
      <c r="A911" s="3"/>
      <c r="B911" s="3"/>
      <c r="C911" s="3"/>
      <c r="D911" s="3"/>
      <c r="E911" s="3"/>
      <c r="F911" s="3"/>
      <c r="G911" s="3"/>
    </row>
    <row r="912" spans="1:7" ht="15.75" customHeight="1">
      <c r="A912" s="3"/>
      <c r="B912" s="3"/>
      <c r="C912" s="3"/>
      <c r="D912" s="3"/>
      <c r="E912" s="3"/>
      <c r="F912" s="3"/>
      <c r="G912" s="3"/>
    </row>
    <row r="913" spans="1:7" ht="15.75" customHeight="1">
      <c r="A913" s="3"/>
      <c r="B913" s="3"/>
      <c r="C913" s="3"/>
      <c r="D913" s="3"/>
      <c r="E913" s="3"/>
      <c r="F913" s="3"/>
      <c r="G913" s="3"/>
    </row>
    <row r="914" spans="1:7" ht="15.75" customHeight="1">
      <c r="A914" s="3"/>
      <c r="B914" s="3"/>
      <c r="C914" s="3"/>
      <c r="D914" s="3"/>
      <c r="E914" s="3"/>
      <c r="F914" s="3"/>
      <c r="G914" s="3"/>
    </row>
    <row r="915" spans="1:7" ht="15.75" customHeight="1">
      <c r="A915" s="3"/>
      <c r="B915" s="3"/>
      <c r="C915" s="3"/>
      <c r="D915" s="3"/>
      <c r="E915" s="3"/>
      <c r="F915" s="3"/>
      <c r="G915" s="3"/>
    </row>
    <row r="916" spans="1:7" ht="15.75" customHeight="1">
      <c r="A916" s="3"/>
      <c r="B916" s="3"/>
      <c r="C916" s="3"/>
      <c r="D916" s="3"/>
      <c r="E916" s="3"/>
      <c r="F916" s="3"/>
      <c r="G916" s="3"/>
    </row>
    <row r="917" spans="1:7" ht="15.75" customHeight="1">
      <c r="A917" s="3"/>
      <c r="B917" s="3"/>
      <c r="C917" s="3"/>
      <c r="D917" s="3"/>
      <c r="E917" s="3"/>
      <c r="F917" s="3"/>
      <c r="G917" s="3"/>
    </row>
    <row r="918" spans="1:7" ht="15.75" customHeight="1">
      <c r="A918" s="3"/>
      <c r="B918" s="3"/>
      <c r="C918" s="3"/>
      <c r="D918" s="3"/>
      <c r="E918" s="3"/>
      <c r="F918" s="3"/>
      <c r="G918" s="3"/>
    </row>
    <row r="919" spans="1:7" ht="15.75" customHeight="1">
      <c r="A919" s="3"/>
      <c r="B919" s="3"/>
      <c r="C919" s="3"/>
      <c r="D919" s="3"/>
      <c r="E919" s="3"/>
      <c r="F919" s="3"/>
      <c r="G919" s="3"/>
    </row>
    <row r="920" spans="1:7" ht="15.75" customHeight="1">
      <c r="A920" s="3"/>
      <c r="B920" s="3"/>
      <c r="C920" s="3"/>
      <c r="D920" s="3"/>
      <c r="E920" s="3"/>
      <c r="F920" s="3"/>
      <c r="G920" s="3"/>
    </row>
    <row r="921" spans="1:7" ht="15.75" customHeight="1">
      <c r="A921" s="3"/>
      <c r="B921" s="3"/>
      <c r="C921" s="3"/>
      <c r="D921" s="3"/>
      <c r="E921" s="3"/>
      <c r="F921" s="3"/>
      <c r="G921" s="3"/>
    </row>
    <row r="922" spans="1:7" ht="15.75" customHeight="1">
      <c r="A922" s="3"/>
      <c r="B922" s="3"/>
      <c r="C922" s="3"/>
      <c r="D922" s="3"/>
      <c r="E922" s="3"/>
      <c r="F922" s="3"/>
      <c r="G922" s="3"/>
    </row>
    <row r="923" spans="1:7" ht="15.75" customHeight="1">
      <c r="A923" s="3"/>
      <c r="B923" s="3"/>
      <c r="C923" s="3"/>
      <c r="D923" s="3"/>
      <c r="E923" s="3"/>
      <c r="F923" s="3"/>
      <c r="G923" s="3"/>
    </row>
    <row r="924" spans="1:7" ht="15.75" customHeight="1">
      <c r="A924" s="3"/>
      <c r="B924" s="3"/>
      <c r="C924" s="3"/>
      <c r="D924" s="3"/>
      <c r="E924" s="3"/>
      <c r="F924" s="3"/>
      <c r="G924" s="3"/>
    </row>
    <row r="925" spans="1:7" ht="15.75" customHeight="1">
      <c r="A925" s="3"/>
      <c r="B925" s="3"/>
      <c r="C925" s="3"/>
      <c r="D925" s="3"/>
      <c r="E925" s="3"/>
      <c r="F925" s="3"/>
      <c r="G925" s="3"/>
    </row>
    <row r="926" spans="1:7" ht="15.75" customHeight="1">
      <c r="A926" s="3"/>
      <c r="B926" s="3"/>
      <c r="C926" s="3"/>
      <c r="D926" s="3"/>
      <c r="E926" s="3"/>
      <c r="F926" s="3"/>
      <c r="G926" s="3"/>
    </row>
    <row r="927" spans="1:7" ht="15.75" customHeight="1">
      <c r="A927" s="3"/>
      <c r="B927" s="3"/>
      <c r="C927" s="3"/>
      <c r="D927" s="3"/>
      <c r="E927" s="3"/>
      <c r="F927" s="3"/>
      <c r="G927" s="3"/>
    </row>
    <row r="928" spans="1:7" ht="15.75" customHeight="1">
      <c r="A928" s="3"/>
      <c r="B928" s="3"/>
      <c r="C928" s="3"/>
      <c r="D928" s="3"/>
      <c r="E928" s="3"/>
      <c r="F928" s="3"/>
      <c r="G928" s="3"/>
    </row>
    <row r="929" spans="1:7" ht="15.75" customHeight="1">
      <c r="A929" s="3"/>
      <c r="B929" s="3"/>
      <c r="C929" s="3"/>
      <c r="D929" s="3"/>
      <c r="E929" s="3"/>
      <c r="F929" s="3"/>
      <c r="G929" s="3"/>
    </row>
    <row r="930" spans="1:7" ht="15.75" customHeight="1">
      <c r="A930" s="3"/>
      <c r="B930" s="3"/>
      <c r="C930" s="3"/>
      <c r="D930" s="3"/>
      <c r="E930" s="3"/>
      <c r="F930" s="3"/>
      <c r="G930" s="3"/>
    </row>
    <row r="931" spans="1:7" ht="15.75" customHeight="1">
      <c r="A931" s="3"/>
      <c r="B931" s="3"/>
      <c r="C931" s="3"/>
      <c r="D931" s="3"/>
      <c r="E931" s="3"/>
      <c r="F931" s="3"/>
      <c r="G931" s="3"/>
    </row>
    <row r="932" spans="1:7" ht="15.75" customHeight="1">
      <c r="A932" s="3"/>
      <c r="B932" s="3"/>
      <c r="C932" s="3"/>
      <c r="D932" s="3"/>
      <c r="E932" s="3"/>
      <c r="F932" s="3"/>
      <c r="G932" s="3"/>
    </row>
    <row r="933" spans="1:7" ht="15.75" customHeight="1">
      <c r="A933" s="3"/>
      <c r="B933" s="3"/>
      <c r="C933" s="3"/>
      <c r="D933" s="3"/>
      <c r="E933" s="3"/>
      <c r="F933" s="3"/>
      <c r="G933" s="3"/>
    </row>
    <row r="934" spans="1:7" ht="15.75" customHeight="1">
      <c r="A934" s="3"/>
      <c r="B934" s="3"/>
      <c r="C934" s="3"/>
      <c r="D934" s="3"/>
      <c r="E934" s="3"/>
      <c r="F934" s="3"/>
      <c r="G934" s="3"/>
    </row>
    <row r="935" spans="1:7" ht="15.75" customHeight="1">
      <c r="A935" s="3"/>
      <c r="B935" s="3"/>
      <c r="C935" s="3"/>
      <c r="D935" s="3"/>
      <c r="E935" s="3"/>
      <c r="F935" s="3"/>
      <c r="G935" s="3"/>
    </row>
    <row r="936" spans="1:7" ht="15.75" customHeight="1">
      <c r="A936" s="3"/>
      <c r="B936" s="3"/>
      <c r="C936" s="3"/>
      <c r="D936" s="3"/>
      <c r="E936" s="3"/>
      <c r="F936" s="3"/>
      <c r="G936" s="3"/>
    </row>
    <row r="937" spans="1:7" ht="15.75" customHeight="1">
      <c r="A937" s="3"/>
      <c r="B937" s="3"/>
      <c r="C937" s="3"/>
      <c r="D937" s="3"/>
      <c r="E937" s="3"/>
      <c r="F937" s="3"/>
      <c r="G937" s="3"/>
    </row>
    <row r="938" spans="1:7" ht="15.75" customHeight="1">
      <c r="A938" s="3"/>
      <c r="B938" s="3"/>
      <c r="C938" s="3"/>
      <c r="D938" s="3"/>
      <c r="E938" s="3"/>
      <c r="F938" s="3"/>
      <c r="G938" s="3"/>
    </row>
    <row r="939" spans="1:7" ht="15.75" customHeight="1">
      <c r="A939" s="3"/>
      <c r="B939" s="3"/>
      <c r="C939" s="3"/>
      <c r="D939" s="3"/>
      <c r="E939" s="3"/>
      <c r="F939" s="3"/>
      <c r="G939" s="3"/>
    </row>
    <row r="940" spans="1:7" ht="15.75" customHeight="1">
      <c r="A940" s="3"/>
      <c r="B940" s="3"/>
      <c r="C940" s="3"/>
      <c r="D940" s="3"/>
      <c r="E940" s="3"/>
      <c r="F940" s="3"/>
      <c r="G940" s="3"/>
    </row>
    <row r="941" spans="1:7" ht="15.75" customHeight="1">
      <c r="A941" s="3"/>
      <c r="B941" s="3"/>
      <c r="C941" s="3"/>
      <c r="D941" s="3"/>
      <c r="E941" s="3"/>
      <c r="F941" s="3"/>
      <c r="G941" s="3"/>
    </row>
    <row r="942" spans="1:7" ht="15.75" customHeight="1">
      <c r="A942" s="3"/>
      <c r="B942" s="3"/>
      <c r="C942" s="3"/>
      <c r="D942" s="3"/>
      <c r="E942" s="3"/>
      <c r="F942" s="3"/>
      <c r="G942" s="3"/>
    </row>
    <row r="943" spans="1:7" ht="15.75" customHeight="1">
      <c r="A943" s="3"/>
      <c r="B943" s="3"/>
      <c r="C943" s="3"/>
      <c r="D943" s="3"/>
      <c r="E943" s="3"/>
      <c r="F943" s="3"/>
      <c r="G943" s="3"/>
    </row>
    <row r="944" spans="1:7" ht="15.75" customHeight="1">
      <c r="A944" s="3"/>
      <c r="B944" s="3"/>
      <c r="C944" s="3"/>
      <c r="D944" s="3"/>
      <c r="E944" s="3"/>
      <c r="F944" s="3"/>
      <c r="G944" s="3"/>
    </row>
    <row r="945" spans="1:7" ht="15.75" customHeight="1">
      <c r="A945" s="3"/>
      <c r="B945" s="3"/>
      <c r="C945" s="3"/>
      <c r="D945" s="3"/>
      <c r="E945" s="3"/>
      <c r="F945" s="3"/>
      <c r="G945" s="3"/>
    </row>
    <row r="946" spans="1:7" ht="15.75" customHeight="1">
      <c r="A946" s="3"/>
      <c r="B946" s="3"/>
      <c r="C946" s="3"/>
      <c r="D946" s="3"/>
      <c r="E946" s="3"/>
      <c r="F946" s="3"/>
      <c r="G946" s="3"/>
    </row>
    <row r="947" spans="1:7" ht="15.75" customHeight="1">
      <c r="A947" s="3"/>
      <c r="B947" s="3"/>
      <c r="C947" s="3"/>
      <c r="D947" s="3"/>
      <c r="E947" s="3"/>
      <c r="F947" s="3"/>
      <c r="G947" s="3"/>
    </row>
    <row r="948" spans="1:7" ht="15.75" customHeight="1">
      <c r="A948" s="3"/>
      <c r="B948" s="3"/>
      <c r="C948" s="3"/>
      <c r="D948" s="3"/>
      <c r="E948" s="3"/>
      <c r="F948" s="3"/>
      <c r="G948" s="3"/>
    </row>
    <row r="949" spans="1:7" ht="15.75" customHeight="1">
      <c r="A949" s="3"/>
      <c r="B949" s="3"/>
      <c r="C949" s="3"/>
      <c r="D949" s="3"/>
      <c r="E949" s="3"/>
      <c r="F949" s="3"/>
      <c r="G949" s="3"/>
    </row>
    <row r="950" spans="1:7" ht="15.75" customHeight="1">
      <c r="A950" s="3"/>
      <c r="B950" s="3"/>
      <c r="C950" s="3"/>
      <c r="D950" s="3"/>
      <c r="E950" s="3"/>
      <c r="F950" s="3"/>
      <c r="G950" s="3"/>
    </row>
    <row r="951" spans="1:7" ht="15.75" customHeight="1">
      <c r="A951" s="3"/>
      <c r="B951" s="3"/>
      <c r="C951" s="3"/>
      <c r="D951" s="3"/>
      <c r="E951" s="3"/>
      <c r="F951" s="3"/>
      <c r="G951" s="3"/>
    </row>
    <row r="952" spans="1:7" ht="15.75" customHeight="1">
      <c r="A952" s="3"/>
      <c r="B952" s="3"/>
      <c r="C952" s="3"/>
      <c r="D952" s="3"/>
      <c r="E952" s="3"/>
      <c r="F952" s="3"/>
      <c r="G952" s="3"/>
    </row>
    <row r="953" spans="1:7" ht="15.75" customHeight="1">
      <c r="A953" s="3"/>
      <c r="B953" s="3"/>
      <c r="C953" s="3"/>
      <c r="D953" s="3"/>
      <c r="E953" s="3"/>
      <c r="F953" s="3"/>
      <c r="G953" s="3"/>
    </row>
    <row r="954" spans="1:7" ht="15.75" customHeight="1">
      <c r="A954" s="3"/>
      <c r="B954" s="3"/>
      <c r="C954" s="3"/>
      <c r="D954" s="3"/>
      <c r="E954" s="3"/>
      <c r="F954" s="3"/>
      <c r="G954" s="3"/>
    </row>
    <row r="955" spans="1:7" ht="15.75" customHeight="1">
      <c r="A955" s="3"/>
      <c r="B955" s="3"/>
      <c r="C955" s="3"/>
      <c r="D955" s="3"/>
      <c r="E955" s="3"/>
      <c r="F955" s="3"/>
      <c r="G955" s="3"/>
    </row>
    <row r="956" spans="1:7" ht="15.75" customHeight="1">
      <c r="A956" s="3"/>
      <c r="B956" s="3"/>
      <c r="C956" s="3"/>
      <c r="D956" s="3"/>
      <c r="E956" s="3"/>
      <c r="F956" s="3"/>
      <c r="G956" s="3"/>
    </row>
    <row r="957" spans="1:7" ht="15.75" customHeight="1">
      <c r="A957" s="3"/>
      <c r="B957" s="3"/>
      <c r="C957" s="3"/>
      <c r="D957" s="3"/>
      <c r="E957" s="3"/>
      <c r="F957" s="3"/>
      <c r="G957" s="3"/>
    </row>
    <row r="958" spans="1:7" ht="15.75" customHeight="1">
      <c r="A958" s="3"/>
      <c r="B958" s="3"/>
      <c r="C958" s="3"/>
      <c r="D958" s="3"/>
      <c r="E958" s="3"/>
      <c r="F958" s="3"/>
      <c r="G958" s="3"/>
    </row>
    <row r="959" spans="1:7" ht="15.75" customHeight="1">
      <c r="A959" s="3"/>
      <c r="B959" s="3"/>
      <c r="C959" s="3"/>
      <c r="D959" s="3"/>
      <c r="E959" s="3"/>
      <c r="F959" s="3"/>
      <c r="G959" s="3"/>
    </row>
    <row r="960" spans="1:7" ht="15.75" customHeight="1">
      <c r="A960" s="3"/>
      <c r="B960" s="3"/>
      <c r="C960" s="3"/>
      <c r="D960" s="3"/>
      <c r="E960" s="3"/>
      <c r="F960" s="3"/>
      <c r="G960" s="3"/>
    </row>
    <row r="961" spans="1:7" ht="15.75" customHeight="1">
      <c r="A961" s="3"/>
      <c r="B961" s="3"/>
      <c r="C961" s="3"/>
      <c r="D961" s="3"/>
      <c r="E961" s="3"/>
      <c r="F961" s="3"/>
      <c r="G961" s="3"/>
    </row>
    <row r="962" spans="1:7" ht="15.75" customHeight="1">
      <c r="A962" s="3"/>
      <c r="B962" s="3"/>
      <c r="C962" s="3"/>
      <c r="D962" s="3"/>
      <c r="E962" s="3"/>
      <c r="F962" s="3"/>
      <c r="G962" s="3"/>
    </row>
    <row r="963" spans="1:7" ht="15.75" customHeight="1">
      <c r="A963" s="3"/>
      <c r="B963" s="3"/>
      <c r="C963" s="3"/>
      <c r="D963" s="3"/>
      <c r="E963" s="3"/>
      <c r="F963" s="3"/>
      <c r="G963" s="3"/>
    </row>
    <row r="964" spans="1:7" ht="15.75" customHeight="1">
      <c r="A964" s="3"/>
      <c r="B964" s="3"/>
      <c r="C964" s="3"/>
      <c r="D964" s="3"/>
      <c r="E964" s="3"/>
      <c r="F964" s="3"/>
      <c r="G964" s="3"/>
    </row>
    <row r="965" spans="1:7" ht="15.75" customHeight="1">
      <c r="A965" s="3"/>
      <c r="B965" s="3"/>
      <c r="C965" s="3"/>
      <c r="D965" s="3"/>
      <c r="E965" s="3"/>
      <c r="F965" s="3"/>
      <c r="G965" s="3"/>
    </row>
    <row r="966" spans="1:7" ht="15.75" customHeight="1">
      <c r="A966" s="3"/>
      <c r="B966" s="3"/>
      <c r="C966" s="3"/>
      <c r="D966" s="3"/>
      <c r="E966" s="3"/>
      <c r="F966" s="3"/>
      <c r="G966" s="3"/>
    </row>
    <row r="967" spans="1:7" ht="15.75" customHeight="1">
      <c r="A967" s="3"/>
      <c r="B967" s="3"/>
      <c r="C967" s="3"/>
      <c r="D967" s="3"/>
      <c r="E967" s="3"/>
      <c r="F967" s="3"/>
      <c r="G967" s="3"/>
    </row>
    <row r="968" spans="1:7" ht="15.75" customHeight="1">
      <c r="A968" s="3"/>
      <c r="B968" s="3"/>
      <c r="C968" s="3"/>
      <c r="D968" s="3"/>
      <c r="E968" s="3"/>
      <c r="F968" s="3"/>
      <c r="G968" s="3"/>
    </row>
    <row r="969" spans="1:7" ht="15.75" customHeight="1">
      <c r="A969" s="3"/>
      <c r="B969" s="3"/>
      <c r="C969" s="3"/>
      <c r="D969" s="3"/>
      <c r="E969" s="3"/>
      <c r="F969" s="3"/>
      <c r="G969" s="3"/>
    </row>
    <row r="970" spans="1:7" ht="15.75" customHeight="1">
      <c r="A970" s="3"/>
      <c r="B970" s="3"/>
      <c r="C970" s="3"/>
      <c r="D970" s="3"/>
      <c r="E970" s="3"/>
      <c r="F970" s="3"/>
      <c r="G970" s="3"/>
    </row>
    <row r="971" spans="1:7" ht="15.75" customHeight="1">
      <c r="A971" s="3"/>
      <c r="B971" s="3"/>
      <c r="C971" s="3"/>
      <c r="D971" s="3"/>
      <c r="E971" s="3"/>
      <c r="F971" s="3"/>
      <c r="G971" s="3"/>
    </row>
    <row r="972" spans="1:7" ht="15.75" customHeight="1">
      <c r="A972" s="3"/>
      <c r="B972" s="3"/>
      <c r="C972" s="3"/>
      <c r="D972" s="3"/>
      <c r="E972" s="3"/>
      <c r="F972" s="3"/>
      <c r="G972" s="3"/>
    </row>
    <row r="973" spans="1:7" ht="15.75" customHeight="1">
      <c r="A973" s="3"/>
      <c r="B973" s="3"/>
      <c r="C973" s="3"/>
      <c r="D973" s="3"/>
      <c r="E973" s="3"/>
      <c r="F973" s="3"/>
      <c r="G973" s="3"/>
    </row>
    <row r="974" spans="1:7" ht="15.75" customHeight="1">
      <c r="A974" s="3"/>
      <c r="B974" s="3"/>
      <c r="C974" s="3"/>
      <c r="D974" s="3"/>
      <c r="E974" s="3"/>
      <c r="F974" s="3"/>
      <c r="G974" s="3"/>
    </row>
    <row r="975" spans="1:7" ht="15.75" customHeight="1">
      <c r="A975" s="3"/>
      <c r="B975" s="3"/>
      <c r="C975" s="3"/>
      <c r="D975" s="3"/>
      <c r="E975" s="3"/>
      <c r="F975" s="3"/>
      <c r="G975" s="3"/>
    </row>
    <row r="976" spans="1:7" ht="15.75" customHeight="1">
      <c r="A976" s="3"/>
      <c r="B976" s="3"/>
      <c r="C976" s="3"/>
      <c r="D976" s="3"/>
      <c r="E976" s="3"/>
      <c r="F976" s="3"/>
      <c r="G976" s="3"/>
    </row>
    <row r="977" spans="1:7" ht="15.75" customHeight="1">
      <c r="A977" s="3"/>
      <c r="B977" s="3"/>
      <c r="C977" s="3"/>
      <c r="D977" s="3"/>
      <c r="E977" s="3"/>
      <c r="F977" s="3"/>
      <c r="G977" s="3"/>
    </row>
    <row r="978" spans="1:7" ht="15.75" customHeight="1">
      <c r="A978" s="3"/>
      <c r="B978" s="3"/>
      <c r="C978" s="3"/>
      <c r="D978" s="3"/>
      <c r="E978" s="3"/>
      <c r="F978" s="3"/>
      <c r="G978" s="3"/>
    </row>
    <row r="979" spans="1:7" ht="15.75" customHeight="1">
      <c r="A979" s="3"/>
      <c r="B979" s="3"/>
      <c r="C979" s="3"/>
      <c r="D979" s="3"/>
      <c r="E979" s="3"/>
      <c r="F979" s="3"/>
      <c r="G979" s="3"/>
    </row>
    <row r="980" spans="1:7" ht="15.75" customHeight="1">
      <c r="A980" s="3"/>
      <c r="B980" s="3"/>
      <c r="C980" s="3"/>
      <c r="D980" s="3"/>
      <c r="E980" s="3"/>
      <c r="F980" s="3"/>
      <c r="G980" s="3"/>
    </row>
    <row r="981" spans="1:7" ht="15.75" customHeight="1">
      <c r="A981" s="3"/>
      <c r="B981" s="3"/>
      <c r="C981" s="3"/>
      <c r="D981" s="3"/>
      <c r="E981" s="3"/>
      <c r="F981" s="3"/>
      <c r="G981" s="3"/>
    </row>
    <row r="982" spans="1:7" ht="15.75" customHeight="1">
      <c r="A982" s="3"/>
      <c r="B982" s="3"/>
      <c r="C982" s="3"/>
      <c r="D982" s="3"/>
      <c r="E982" s="3"/>
      <c r="F982" s="3"/>
      <c r="G982" s="3"/>
    </row>
    <row r="983" spans="1:7" ht="15.75" customHeight="1">
      <c r="A983" s="3"/>
      <c r="B983" s="3"/>
      <c r="C983" s="3"/>
      <c r="D983" s="3"/>
      <c r="E983" s="3"/>
      <c r="F983" s="3"/>
      <c r="G983" s="3"/>
    </row>
    <row r="984" spans="1:7" ht="15.75" customHeight="1">
      <c r="A984" s="3"/>
      <c r="B984" s="3"/>
      <c r="C984" s="3"/>
      <c r="D984" s="3"/>
      <c r="E984" s="3"/>
      <c r="F984" s="3"/>
      <c r="G984" s="3"/>
    </row>
    <row r="985" spans="1:7" ht="15.75" customHeight="1">
      <c r="A985" s="3"/>
      <c r="B985" s="3"/>
      <c r="C985" s="3"/>
      <c r="D985" s="3"/>
      <c r="E985" s="3"/>
      <c r="F985" s="3"/>
      <c r="G985" s="3"/>
    </row>
    <row r="986" spans="1:7" ht="15.75" customHeight="1">
      <c r="A986" s="3"/>
      <c r="B986" s="3"/>
      <c r="C986" s="3"/>
      <c r="D986" s="3"/>
      <c r="E986" s="3"/>
      <c r="F986" s="3"/>
      <c r="G986" s="3"/>
    </row>
    <row r="987" spans="1:7" ht="15.75" customHeight="1">
      <c r="A987" s="3"/>
      <c r="B987" s="3"/>
      <c r="C987" s="3"/>
      <c r="D987" s="3"/>
      <c r="E987" s="3"/>
      <c r="F987" s="3"/>
      <c r="G987" s="3"/>
    </row>
    <row r="988" spans="1:7" ht="15.75" customHeight="1">
      <c r="A988" s="3"/>
      <c r="B988" s="3"/>
      <c r="C988" s="3"/>
      <c r="D988" s="3"/>
      <c r="E988" s="3"/>
      <c r="F988" s="3"/>
      <c r="G988" s="3"/>
    </row>
    <row r="989" spans="1:7" ht="15.75" customHeight="1">
      <c r="A989" s="3"/>
      <c r="B989" s="3"/>
      <c r="C989" s="3"/>
      <c r="D989" s="3"/>
      <c r="E989" s="3"/>
      <c r="F989" s="3"/>
      <c r="G989" s="3"/>
    </row>
    <row r="990" spans="1:7" ht="15.75" customHeight="1">
      <c r="A990" s="3"/>
      <c r="B990" s="3"/>
      <c r="C990" s="3"/>
      <c r="D990" s="3"/>
      <c r="E990" s="3"/>
      <c r="F990" s="3"/>
      <c r="G990" s="3"/>
    </row>
    <row r="991" spans="1:7" ht="15.75" customHeight="1">
      <c r="A991" s="3"/>
      <c r="B991" s="3"/>
      <c r="C991" s="3"/>
      <c r="D991" s="3"/>
      <c r="E991" s="3"/>
      <c r="F991" s="3"/>
      <c r="G991" s="3"/>
    </row>
    <row r="992" spans="1:7" ht="15.75" customHeight="1">
      <c r="A992" s="3"/>
      <c r="B992" s="3"/>
      <c r="C992" s="3"/>
      <c r="D992" s="3"/>
      <c r="E992" s="3"/>
      <c r="F992" s="3"/>
      <c r="G992" s="3"/>
    </row>
    <row r="993" spans="1:7" ht="15.75" customHeight="1">
      <c r="A993" s="3"/>
      <c r="B993" s="3"/>
      <c r="C993" s="3"/>
      <c r="D993" s="3"/>
      <c r="E993" s="3"/>
      <c r="F993" s="3"/>
      <c r="G993" s="3"/>
    </row>
    <row r="994" spans="1:7" ht="15.75" customHeight="1">
      <c r="A994" s="3"/>
      <c r="B994" s="3"/>
      <c r="C994" s="3"/>
      <c r="D994" s="3"/>
      <c r="E994" s="3"/>
      <c r="F994" s="3"/>
      <c r="G994" s="3"/>
    </row>
    <row r="995" spans="1:7" ht="15.75" customHeight="1">
      <c r="A995" s="3"/>
      <c r="B995" s="3"/>
      <c r="C995" s="3"/>
      <c r="D995" s="3"/>
      <c r="E995" s="3"/>
      <c r="F995" s="3"/>
      <c r="G995" s="3"/>
    </row>
    <row r="996" spans="1:7" ht="15.75" customHeight="1">
      <c r="A996" s="3"/>
      <c r="B996" s="3"/>
      <c r="C996" s="3"/>
      <c r="D996" s="3"/>
      <c r="E996" s="3"/>
      <c r="F996" s="3"/>
      <c r="G996" s="3"/>
    </row>
    <row r="997" spans="1:7" ht="15.75" customHeight="1">
      <c r="A997" s="3"/>
      <c r="B997" s="3"/>
      <c r="C997" s="3"/>
      <c r="D997" s="3"/>
      <c r="E997" s="3"/>
      <c r="F997" s="3"/>
      <c r="G997" s="3"/>
    </row>
    <row r="998" spans="1:7" ht="15.75" customHeight="1">
      <c r="A998" s="3"/>
      <c r="B998" s="3"/>
      <c r="C998" s="3"/>
      <c r="D998" s="3"/>
      <c r="E998" s="3"/>
      <c r="F998" s="3"/>
      <c r="G998" s="3"/>
    </row>
    <row r="999" spans="1:7" ht="15.75" customHeight="1">
      <c r="A999" s="3"/>
      <c r="B999" s="3"/>
      <c r="C999" s="3"/>
      <c r="D999" s="3"/>
      <c r="E999" s="3"/>
      <c r="F999" s="3"/>
      <c r="G999" s="3"/>
    </row>
    <row r="1000" spans="1:7" ht="15.75" customHeight="1">
      <c r="A1000" s="3"/>
      <c r="B1000" s="3"/>
      <c r="C1000" s="3"/>
      <c r="D1000" s="3"/>
      <c r="E1000" s="3"/>
      <c r="F1000" s="3"/>
      <c r="G1000" s="3"/>
    </row>
  </sheetData>
  <mergeCells count="7">
    <mergeCell ref="A78:A79"/>
    <mergeCell ref="A80:G80"/>
    <mergeCell ref="B2:E2"/>
    <mergeCell ref="A6:A7"/>
    <mergeCell ref="A63:A64"/>
    <mergeCell ref="A65:G65"/>
    <mergeCell ref="A70:G70"/>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1000"/>
  <sheetViews>
    <sheetView showGridLines="0" workbookViewId="0">
      <pane ySplit="14" topLeftCell="A15" activePane="bottomLeft" state="frozen"/>
      <selection pane="bottomLeft" activeCell="J21" sqref="J21"/>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5703125" customWidth="1"/>
    <col min="7" max="7" width="8" customWidth="1"/>
    <col min="8" max="8" width="9.28515625" customWidth="1"/>
    <col min="9" max="9" width="1.28515625" customWidth="1"/>
    <col min="10" max="10" width="10.42578125" customWidth="1"/>
    <col min="11" max="11" width="8" customWidth="1"/>
    <col min="12" max="12" width="8.28515625" customWidth="1"/>
    <col min="13" max="13" width="1.28515625" customWidth="1"/>
    <col min="14" max="14" width="9.42578125" customWidth="1"/>
    <col min="15" max="15" width="10" customWidth="1"/>
    <col min="16" max="16" width="0.7109375" customWidth="1"/>
    <col min="17" max="17" width="10.42578125" customWidth="1"/>
    <col min="18" max="18" width="8" customWidth="1"/>
    <col min="19" max="19" width="8.28515625" customWidth="1"/>
    <col min="20" max="20" width="1.28515625" customWidth="1"/>
    <col min="21" max="21" width="9.42578125" customWidth="1"/>
    <col min="22" max="22" width="10" customWidth="1"/>
    <col min="23" max="23" width="0.85546875" customWidth="1"/>
    <col min="24" max="24" width="10.42578125" customWidth="1"/>
    <col min="25" max="25" width="8" customWidth="1"/>
    <col min="26" max="26" width="11.7109375" customWidth="1"/>
    <col min="27" max="27" width="2.85546875" customWidth="1"/>
    <col min="28" max="28" width="9.42578125" customWidth="1"/>
    <col min="29" max="29" width="10" customWidth="1"/>
    <col min="30" max="30" width="0.42578125" customWidth="1"/>
    <col min="31" max="31" width="10.42578125" customWidth="1"/>
    <col min="32" max="32" width="8" customWidth="1"/>
    <col min="33" max="33" width="8.28515625" customWidth="1"/>
    <col min="34" max="34" width="2.85546875" customWidth="1"/>
    <col min="35" max="35" width="9.42578125" customWidth="1"/>
    <col min="36" max="36" width="10" customWidth="1"/>
    <col min="37" max="37" width="1.140625" customWidth="1"/>
    <col min="38" max="38" width="10.42578125" customWidth="1"/>
    <col min="39" max="39" width="8" customWidth="1"/>
    <col min="40" max="40" width="8.28515625" customWidth="1"/>
    <col min="41" max="41" width="1.42578125" customWidth="1"/>
    <col min="42" max="42" width="9.42578125" customWidth="1"/>
    <col min="43" max="43" width="10" customWidth="1"/>
  </cols>
  <sheetData>
    <row r="1" spans="1:43" ht="12" customHeight="1">
      <c r="A1" s="52"/>
      <c r="B1" s="52"/>
      <c r="C1" s="52"/>
      <c r="D1" s="52"/>
      <c r="E1" s="52"/>
      <c r="F1" s="52"/>
      <c r="G1" s="52"/>
      <c r="J1" s="52"/>
      <c r="K1" s="52"/>
      <c r="L1" s="52"/>
      <c r="M1" s="52"/>
      <c r="N1" s="52"/>
      <c r="O1" s="52"/>
      <c r="P1" s="52"/>
      <c r="Q1" s="52"/>
      <c r="R1" s="52"/>
      <c r="S1" s="619" t="s">
        <v>290</v>
      </c>
      <c r="T1" s="620"/>
      <c r="U1" s="620"/>
      <c r="V1" s="620"/>
      <c r="W1" s="620"/>
      <c r="X1" s="620"/>
      <c r="Y1" s="621"/>
      <c r="AA1" s="52"/>
      <c r="AB1" s="52"/>
      <c r="AC1" s="52"/>
      <c r="AD1" s="52"/>
      <c r="AE1" s="52"/>
      <c r="AF1" s="52"/>
      <c r="AG1" s="52"/>
      <c r="AH1" s="52"/>
      <c r="AI1" s="52"/>
      <c r="AJ1" s="52"/>
      <c r="AK1" s="52"/>
      <c r="AL1" s="52"/>
      <c r="AM1" s="52"/>
      <c r="AN1" s="52"/>
      <c r="AO1" s="52"/>
      <c r="AP1" s="52"/>
      <c r="AQ1" s="52"/>
    </row>
    <row r="2" spans="1:43" ht="12" customHeight="1">
      <c r="A2" s="52"/>
      <c r="B2" s="52"/>
      <c r="C2" s="379"/>
      <c r="D2" s="379"/>
      <c r="E2" s="379" t="s">
        <v>291</v>
      </c>
      <c r="F2" s="379"/>
      <c r="G2" s="379"/>
      <c r="H2" s="379"/>
      <c r="J2" s="52"/>
      <c r="K2" s="52"/>
      <c r="L2" s="52"/>
      <c r="M2" s="52"/>
      <c r="N2" s="52"/>
      <c r="O2" s="52"/>
      <c r="P2" s="52"/>
      <c r="Q2" s="52"/>
      <c r="R2" s="52"/>
      <c r="S2" s="380">
        <f>'Res (100)'!$S$2</f>
        <v>1</v>
      </c>
      <c r="T2" s="634" t="s">
        <v>292</v>
      </c>
      <c r="U2" s="620"/>
      <c r="V2" s="620"/>
      <c r="W2" s="620"/>
      <c r="X2" s="620"/>
      <c r="Y2" s="621"/>
      <c r="AA2" s="52"/>
      <c r="AB2" s="52"/>
      <c r="AC2" s="52"/>
      <c r="AD2" s="52"/>
      <c r="AE2" s="52"/>
      <c r="AF2" s="52"/>
      <c r="AG2" s="52"/>
      <c r="AH2" s="52"/>
      <c r="AI2" s="52"/>
      <c r="AJ2" s="52"/>
      <c r="AK2" s="52"/>
      <c r="AL2" s="52"/>
      <c r="AM2" s="52"/>
      <c r="AN2" s="52"/>
      <c r="AO2" s="52"/>
      <c r="AP2" s="52"/>
      <c r="AQ2" s="52"/>
    </row>
    <row r="3" spans="1:43" ht="12" customHeight="1">
      <c r="A3" s="52"/>
      <c r="B3" s="52"/>
      <c r="C3" s="379"/>
      <c r="D3" s="379"/>
      <c r="E3" s="379" t="s">
        <v>293</v>
      </c>
      <c r="F3" s="379"/>
      <c r="G3" s="379"/>
      <c r="H3" s="379"/>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row>
    <row r="4" spans="1:43" ht="12" customHeight="1">
      <c r="A4" s="52"/>
      <c r="B4" s="52"/>
      <c r="C4" s="52"/>
      <c r="D4" s="52"/>
      <c r="E4" s="52"/>
      <c r="F4" s="52"/>
      <c r="G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row>
    <row r="5" spans="1:43" ht="12" customHeight="1">
      <c r="A5" s="52"/>
      <c r="B5" s="52"/>
      <c r="C5" s="52"/>
      <c r="D5" s="52"/>
      <c r="E5" s="52"/>
      <c r="F5" s="52"/>
      <c r="G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row>
    <row r="6" spans="1:43" ht="12" customHeight="1">
      <c r="A6" s="52"/>
      <c r="B6" s="319" t="s">
        <v>294</v>
      </c>
      <c r="C6" s="52"/>
      <c r="D6" s="381" t="s">
        <v>219</v>
      </c>
      <c r="E6" s="381"/>
      <c r="F6" s="382"/>
      <c r="G6" s="382"/>
      <c r="H6" s="38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row>
    <row r="7" spans="1:43" ht="12" customHeight="1">
      <c r="A7" s="52"/>
      <c r="B7" s="383"/>
      <c r="C7" s="52"/>
      <c r="D7" s="384"/>
      <c r="E7" s="384"/>
      <c r="F7" s="384"/>
      <c r="G7" s="384"/>
      <c r="H7" s="384"/>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row>
    <row r="8" spans="1:43" ht="12" customHeight="1">
      <c r="A8" s="52"/>
      <c r="B8" s="319" t="s">
        <v>295</v>
      </c>
      <c r="C8" s="52"/>
      <c r="D8" s="385" t="s">
        <v>296</v>
      </c>
      <c r="E8" s="384"/>
      <c r="F8" s="384"/>
      <c r="G8" s="384"/>
      <c r="H8" s="384"/>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row>
    <row r="9" spans="1:43" ht="12" customHeight="1">
      <c r="A9" s="52"/>
      <c r="B9" s="383"/>
      <c r="C9" s="52"/>
      <c r="D9" s="384"/>
      <c r="E9" s="384"/>
      <c r="F9" s="384"/>
      <c r="G9" s="384"/>
      <c r="H9" s="384"/>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row>
    <row r="10" spans="1:43" ht="12" customHeight="1">
      <c r="A10" s="52"/>
      <c r="B10" s="52"/>
      <c r="C10" s="52"/>
      <c r="D10" s="306" t="s">
        <v>297</v>
      </c>
      <c r="F10" s="386">
        <v>232</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row>
    <row r="11" spans="1:43" ht="12" customHeight="1">
      <c r="A11" s="52"/>
      <c r="B11" s="52"/>
      <c r="C11" s="52"/>
      <c r="D11" s="52"/>
      <c r="E11" s="387"/>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row>
    <row r="12" spans="1:43" ht="12" customHeight="1">
      <c r="A12" s="52"/>
      <c r="B12" s="52"/>
      <c r="C12" s="52"/>
      <c r="D12" s="306"/>
      <c r="E12" s="52"/>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309"/>
      <c r="AL12" s="625" t="s">
        <v>6</v>
      </c>
      <c r="AM12" s="589"/>
      <c r="AN12" s="590"/>
      <c r="AO12" s="52"/>
      <c r="AP12" s="626" t="str">
        <f>"Impact "&amp;AE12&amp;" vs "&amp;AL12</f>
        <v>Impact 2029F vs 2030F</v>
      </c>
      <c r="AQ12" s="590"/>
    </row>
    <row r="13" spans="1:43" ht="12" customHeight="1">
      <c r="A13" s="52"/>
      <c r="B13" s="52"/>
      <c r="C13" s="52"/>
      <c r="D13" s="633" t="s">
        <v>299</v>
      </c>
      <c r="E13" s="52"/>
      <c r="F13" s="389" t="s">
        <v>300</v>
      </c>
      <c r="G13" s="390"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388"/>
      <c r="AL13" s="389" t="s">
        <v>300</v>
      </c>
      <c r="AM13" s="390" t="s">
        <v>301</v>
      </c>
      <c r="AN13" s="391" t="s">
        <v>302</v>
      </c>
      <c r="AO13" s="52"/>
      <c r="AP13" s="629" t="s">
        <v>303</v>
      </c>
      <c r="AQ13" s="631" t="s">
        <v>304</v>
      </c>
    </row>
    <row r="14" spans="1:43" ht="12" customHeight="1">
      <c r="A14" s="52"/>
      <c r="B14" s="52"/>
      <c r="C14" s="52"/>
      <c r="D14" s="615"/>
      <c r="E14" s="52"/>
      <c r="F14" s="392" t="s">
        <v>305</v>
      </c>
      <c r="G14" s="39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388"/>
      <c r="AL14" s="392" t="s">
        <v>305</v>
      </c>
      <c r="AM14" s="393"/>
      <c r="AN14" s="394" t="s">
        <v>305</v>
      </c>
      <c r="AO14" s="52"/>
      <c r="AP14" s="630"/>
      <c r="AQ14" s="632"/>
    </row>
    <row r="15" spans="1:43" ht="12" customHeight="1">
      <c r="A15" s="52"/>
      <c r="B15" s="320" t="s">
        <v>218</v>
      </c>
      <c r="C15" s="395" t="str">
        <f t="shared" ref="C15:C28" si="0">D$6&amp;"."&amp;B15</f>
        <v>Residential.Monthly Service Charge</v>
      </c>
      <c r="D15" s="396" t="s">
        <v>306</v>
      </c>
      <c r="E15" s="128"/>
      <c r="F15" s="397">
        <f>IFERROR(VLOOKUP($C15,'Proposed Rates'!$B:$J,F$11,FALSE),0)</f>
        <v>34.26</v>
      </c>
      <c r="G15" s="398">
        <f t="shared" ref="G15:G28" si="1">IF($D15="Monthly",1,IF($D15="per KWH",$F$10,0))</f>
        <v>1</v>
      </c>
      <c r="H15" s="400">
        <f t="shared" ref="H15:H28" si="2">G15*F15</f>
        <v>34.26</v>
      </c>
      <c r="I15" s="52"/>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403"/>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row>
    <row r="16" spans="1:43" ht="12" customHeight="1">
      <c r="A16" s="52"/>
      <c r="B16" s="320" t="s">
        <v>307</v>
      </c>
      <c r="C16" s="395" t="str">
        <f t="shared" si="0"/>
        <v>Residential.Smart Meter Rate Adder</v>
      </c>
      <c r="D16" s="396" t="s">
        <v>306</v>
      </c>
      <c r="E16" s="128"/>
      <c r="F16" s="397">
        <f>IFERROR(VLOOKUP($C16,'Proposed Rates'!$B:$J,F$11,FALSE),0)</f>
        <v>0</v>
      </c>
      <c r="G16" s="398">
        <f t="shared" si="1"/>
        <v>1</v>
      </c>
      <c r="H16" s="400">
        <f t="shared" si="2"/>
        <v>0</v>
      </c>
      <c r="I16" s="52"/>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403"/>
      <c r="AL16" s="397">
        <f>IFERROR(VLOOKUP($C16,'Proposed Rates'!$B:$J,AL$11,FALSE),0)</f>
        <v>0</v>
      </c>
      <c r="AM16" s="398">
        <f t="shared" si="19"/>
        <v>1</v>
      </c>
      <c r="AN16" s="400">
        <f t="shared" si="20"/>
        <v>0</v>
      </c>
      <c r="AO16" s="128"/>
      <c r="AP16" s="401">
        <f t="shared" si="21"/>
        <v>0</v>
      </c>
      <c r="AQ16" s="402" t="str">
        <f t="shared" si="22"/>
        <v/>
      </c>
    </row>
    <row r="17" spans="1:43" ht="12" customHeight="1">
      <c r="A17" s="52"/>
      <c r="B17" s="404" t="str">
        <f>'Proposed Rates'!C115</f>
        <v>Rate Rider Calculation for PILs</v>
      </c>
      <c r="C17" s="395" t="str">
        <f t="shared" si="0"/>
        <v>Residential.Rate Rider Calculation for PILs</v>
      </c>
      <c r="D17" s="396" t="s">
        <v>308</v>
      </c>
      <c r="E17" s="128"/>
      <c r="F17" s="397">
        <f>IFERROR(VLOOKUP($C17,'Proposed Rates'!$B:$J,F$11,FALSE),0)</f>
        <v>0</v>
      </c>
      <c r="G17" s="398">
        <f t="shared" si="1"/>
        <v>232</v>
      </c>
      <c r="H17" s="400">
        <f t="shared" si="2"/>
        <v>0</v>
      </c>
      <c r="I17" s="52"/>
      <c r="J17" s="397">
        <f>IFERROR(VLOOKUP($C17,'Proposed Rates'!$B:$J,J$11,FALSE),0)</f>
        <v>0</v>
      </c>
      <c r="K17" s="398">
        <f t="shared" si="3"/>
        <v>232</v>
      </c>
      <c r="L17" s="400">
        <f t="shared" si="4"/>
        <v>0</v>
      </c>
      <c r="M17" s="128"/>
      <c r="N17" s="401">
        <f t="shared" si="5"/>
        <v>0</v>
      </c>
      <c r="O17" s="402" t="str">
        <f t="shared" si="6"/>
        <v/>
      </c>
      <c r="P17" s="52"/>
      <c r="Q17" s="397">
        <f>IFERROR(VLOOKUP($C17,'Proposed Rates'!$B:$J,Q$11,FALSE),0)</f>
        <v>0</v>
      </c>
      <c r="R17" s="398">
        <f t="shared" si="7"/>
        <v>232</v>
      </c>
      <c r="S17" s="400">
        <f t="shared" si="8"/>
        <v>0</v>
      </c>
      <c r="T17" s="128"/>
      <c r="U17" s="401">
        <f t="shared" si="9"/>
        <v>0</v>
      </c>
      <c r="V17" s="402" t="str">
        <f t="shared" si="10"/>
        <v/>
      </c>
      <c r="W17" s="52"/>
      <c r="X17" s="397">
        <f>IFERROR(VLOOKUP($C17,'Proposed Rates'!$B:$J,X$11,FALSE),0)</f>
        <v>0</v>
      </c>
      <c r="Y17" s="398">
        <f t="shared" si="11"/>
        <v>232</v>
      </c>
      <c r="Z17" s="400">
        <f t="shared" si="12"/>
        <v>0</v>
      </c>
      <c r="AA17" s="128"/>
      <c r="AB17" s="401">
        <f t="shared" si="13"/>
        <v>0</v>
      </c>
      <c r="AC17" s="402" t="str">
        <f t="shared" si="14"/>
        <v/>
      </c>
      <c r="AD17" s="52"/>
      <c r="AE17" s="397">
        <f>IFERROR(VLOOKUP($C17,'Proposed Rates'!$B:$J,AE$11,FALSE),0)</f>
        <v>0</v>
      </c>
      <c r="AF17" s="398">
        <f t="shared" si="15"/>
        <v>232</v>
      </c>
      <c r="AG17" s="400">
        <f t="shared" si="16"/>
        <v>0</v>
      </c>
      <c r="AH17" s="128"/>
      <c r="AI17" s="401">
        <f t="shared" si="17"/>
        <v>0</v>
      </c>
      <c r="AJ17" s="402" t="str">
        <f t="shared" si="18"/>
        <v/>
      </c>
      <c r="AK17" s="403"/>
      <c r="AL17" s="397">
        <f>IFERROR(VLOOKUP($C17,'Proposed Rates'!$B:$J,AL$11,FALSE),0)</f>
        <v>0</v>
      </c>
      <c r="AM17" s="398">
        <f t="shared" si="19"/>
        <v>232</v>
      </c>
      <c r="AN17" s="400">
        <f t="shared" si="20"/>
        <v>0</v>
      </c>
      <c r="AO17" s="128"/>
      <c r="AP17" s="401">
        <f t="shared" si="21"/>
        <v>0</v>
      </c>
      <c r="AQ17" s="402" t="str">
        <f t="shared" si="22"/>
        <v/>
      </c>
    </row>
    <row r="18" spans="1:43" ht="12" customHeight="1">
      <c r="A18" s="52"/>
      <c r="B18" s="404" t="str">
        <f>'Proposed Rates'!C128</f>
        <v>Rate Rider Calculation for Generic</v>
      </c>
      <c r="C18" s="395" t="str">
        <f t="shared" si="0"/>
        <v>Residential.Rate Rider Calculation for Generic</v>
      </c>
      <c r="D18" s="396" t="s">
        <v>306</v>
      </c>
      <c r="E18" s="128"/>
      <c r="F18" s="397">
        <f>IFERROR(VLOOKUP($C18,'Proposed Rates'!$B:$J,F$11,FALSE),0)</f>
        <v>0</v>
      </c>
      <c r="G18" s="398">
        <f t="shared" si="1"/>
        <v>1</v>
      </c>
      <c r="H18" s="400">
        <f t="shared" si="2"/>
        <v>0</v>
      </c>
      <c r="I18" s="52"/>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403"/>
      <c r="AL18" s="397">
        <f>IFERROR(VLOOKUP($C18,'Proposed Rates'!$B:$J,AL$11,FALSE),0)</f>
        <v>0</v>
      </c>
      <c r="AM18" s="398">
        <f t="shared" si="19"/>
        <v>1</v>
      </c>
      <c r="AN18" s="400">
        <f t="shared" si="20"/>
        <v>0</v>
      </c>
      <c r="AO18" s="128"/>
      <c r="AP18" s="401">
        <f t="shared" si="21"/>
        <v>0</v>
      </c>
      <c r="AQ18" s="402" t="str">
        <f t="shared" si="22"/>
        <v/>
      </c>
    </row>
    <row r="19" spans="1:43" ht="12" customHeight="1">
      <c r="A19" s="52"/>
      <c r="B19" s="320" t="s">
        <v>59</v>
      </c>
      <c r="C19" s="395" t="str">
        <f t="shared" si="0"/>
        <v>Residential.Distribution Volumetric Rate</v>
      </c>
      <c r="D19" s="396" t="s">
        <v>308</v>
      </c>
      <c r="E19" s="128"/>
      <c r="F19" s="397">
        <f>IFERROR(VLOOKUP($C19,'Proposed Rates'!$B:$J,F$11,FALSE),0)</f>
        <v>0</v>
      </c>
      <c r="G19" s="398">
        <f t="shared" si="1"/>
        <v>232</v>
      </c>
      <c r="H19" s="400">
        <f t="shared" si="2"/>
        <v>0</v>
      </c>
      <c r="I19" s="52"/>
      <c r="J19" s="397">
        <f>IFERROR(VLOOKUP($C19,'Proposed Rates'!$B:$J,J$11,FALSE),0)</f>
        <v>0</v>
      </c>
      <c r="K19" s="398">
        <f t="shared" si="3"/>
        <v>232</v>
      </c>
      <c r="L19" s="400">
        <f t="shared" si="4"/>
        <v>0</v>
      </c>
      <c r="M19" s="128"/>
      <c r="N19" s="401">
        <f t="shared" si="5"/>
        <v>0</v>
      </c>
      <c r="O19" s="402" t="str">
        <f t="shared" si="6"/>
        <v/>
      </c>
      <c r="P19" s="52"/>
      <c r="Q19" s="397">
        <f>IFERROR(VLOOKUP($C19,'Proposed Rates'!$B:$J,Q$11,FALSE),0)</f>
        <v>0</v>
      </c>
      <c r="R19" s="398">
        <f t="shared" si="7"/>
        <v>232</v>
      </c>
      <c r="S19" s="400">
        <f t="shared" si="8"/>
        <v>0</v>
      </c>
      <c r="T19" s="128"/>
      <c r="U19" s="401">
        <f t="shared" si="9"/>
        <v>0</v>
      </c>
      <c r="V19" s="402" t="str">
        <f t="shared" si="10"/>
        <v/>
      </c>
      <c r="W19" s="52"/>
      <c r="X19" s="397">
        <f>IFERROR(VLOOKUP($C19,'Proposed Rates'!$B:$J,X$11,FALSE),0)</f>
        <v>0</v>
      </c>
      <c r="Y19" s="398">
        <f t="shared" si="11"/>
        <v>232</v>
      </c>
      <c r="Z19" s="400">
        <f t="shared" si="12"/>
        <v>0</v>
      </c>
      <c r="AA19" s="128"/>
      <c r="AB19" s="401">
        <f t="shared" si="13"/>
        <v>0</v>
      </c>
      <c r="AC19" s="402" t="str">
        <f t="shared" si="14"/>
        <v/>
      </c>
      <c r="AD19" s="52"/>
      <c r="AE19" s="397">
        <f>IFERROR(VLOOKUP($C19,'Proposed Rates'!$B:$J,AE$11,FALSE),0)</f>
        <v>0</v>
      </c>
      <c r="AF19" s="398">
        <f t="shared" si="15"/>
        <v>232</v>
      </c>
      <c r="AG19" s="400">
        <f t="shared" si="16"/>
        <v>0</v>
      </c>
      <c r="AH19" s="128"/>
      <c r="AI19" s="401">
        <f t="shared" si="17"/>
        <v>0</v>
      </c>
      <c r="AJ19" s="402" t="str">
        <f t="shared" si="18"/>
        <v/>
      </c>
      <c r="AK19" s="403"/>
      <c r="AL19" s="397">
        <f>IFERROR(VLOOKUP($C19,'Proposed Rates'!$B:$J,AL$11,FALSE),0)</f>
        <v>0</v>
      </c>
      <c r="AM19" s="398">
        <f t="shared" si="19"/>
        <v>232</v>
      </c>
      <c r="AN19" s="400">
        <f t="shared" si="20"/>
        <v>0</v>
      </c>
      <c r="AO19" s="128"/>
      <c r="AP19" s="401">
        <f t="shared" si="21"/>
        <v>0</v>
      </c>
      <c r="AQ19" s="402" t="str">
        <f t="shared" si="22"/>
        <v/>
      </c>
    </row>
    <row r="20" spans="1:43" ht="12" customHeight="1">
      <c r="A20" s="52"/>
      <c r="B20" s="320" t="s">
        <v>309</v>
      </c>
      <c r="C20" s="395" t="str">
        <f t="shared" si="0"/>
        <v>Residential.Smart Meter Disposition Rider</v>
      </c>
      <c r="D20" s="396" t="s">
        <v>308</v>
      </c>
      <c r="E20" s="128"/>
      <c r="F20" s="397">
        <f>IFERROR(VLOOKUP($C20,'Proposed Rates'!$B:$J,F$11,FALSE),0)</f>
        <v>0</v>
      </c>
      <c r="G20" s="398">
        <f t="shared" si="1"/>
        <v>232</v>
      </c>
      <c r="H20" s="400">
        <f t="shared" si="2"/>
        <v>0</v>
      </c>
      <c r="I20" s="52"/>
      <c r="J20" s="397">
        <f>IFERROR(VLOOKUP($C20,'Proposed Rates'!$B:$J,J$11,FALSE),0)</f>
        <v>0</v>
      </c>
      <c r="K20" s="398">
        <f t="shared" si="3"/>
        <v>232</v>
      </c>
      <c r="L20" s="400">
        <f t="shared" si="4"/>
        <v>0</v>
      </c>
      <c r="M20" s="128"/>
      <c r="N20" s="401">
        <f t="shared" si="5"/>
        <v>0</v>
      </c>
      <c r="O20" s="402" t="str">
        <f t="shared" si="6"/>
        <v/>
      </c>
      <c r="P20" s="52"/>
      <c r="Q20" s="397">
        <f>IFERROR(VLOOKUP($C20,'Proposed Rates'!$B:$J,Q$11,FALSE),0)</f>
        <v>0</v>
      </c>
      <c r="R20" s="398">
        <f t="shared" si="7"/>
        <v>232</v>
      </c>
      <c r="S20" s="400">
        <f t="shared" si="8"/>
        <v>0</v>
      </c>
      <c r="T20" s="128"/>
      <c r="U20" s="401">
        <f t="shared" si="9"/>
        <v>0</v>
      </c>
      <c r="V20" s="402" t="str">
        <f t="shared" si="10"/>
        <v/>
      </c>
      <c r="W20" s="52"/>
      <c r="X20" s="397">
        <f>IFERROR(VLOOKUP($C20,'Proposed Rates'!$B:$J,X$11,FALSE),0)</f>
        <v>0</v>
      </c>
      <c r="Y20" s="398">
        <f t="shared" si="11"/>
        <v>232</v>
      </c>
      <c r="Z20" s="400">
        <f t="shared" si="12"/>
        <v>0</v>
      </c>
      <c r="AA20" s="128"/>
      <c r="AB20" s="401">
        <f t="shared" si="13"/>
        <v>0</v>
      </c>
      <c r="AC20" s="402" t="str">
        <f t="shared" si="14"/>
        <v/>
      </c>
      <c r="AD20" s="52"/>
      <c r="AE20" s="397">
        <f>IFERROR(VLOOKUP($C20,'Proposed Rates'!$B:$J,AE$11,FALSE),0)</f>
        <v>0</v>
      </c>
      <c r="AF20" s="398">
        <f t="shared" si="15"/>
        <v>232</v>
      </c>
      <c r="AG20" s="400">
        <f t="shared" si="16"/>
        <v>0</v>
      </c>
      <c r="AH20" s="128"/>
      <c r="AI20" s="401">
        <f t="shared" si="17"/>
        <v>0</v>
      </c>
      <c r="AJ20" s="402" t="str">
        <f t="shared" si="18"/>
        <v/>
      </c>
      <c r="AK20" s="403"/>
      <c r="AL20" s="397">
        <f>IFERROR(VLOOKUP($C20,'Proposed Rates'!$B:$J,AL$11,FALSE),0)</f>
        <v>0</v>
      </c>
      <c r="AM20" s="398">
        <f t="shared" si="19"/>
        <v>232</v>
      </c>
      <c r="AN20" s="400">
        <f t="shared" si="20"/>
        <v>0</v>
      </c>
      <c r="AO20" s="128"/>
      <c r="AP20" s="401">
        <f t="shared" si="21"/>
        <v>0</v>
      </c>
      <c r="AQ20" s="402" t="str">
        <f t="shared" si="22"/>
        <v/>
      </c>
    </row>
    <row r="21" spans="1:43" ht="12" customHeight="1">
      <c r="A21" s="52"/>
      <c r="B21" s="320" t="s">
        <v>241</v>
      </c>
      <c r="C21" s="395" t="str">
        <f t="shared" si="0"/>
        <v>Residential.LRAM Rate Rider</v>
      </c>
      <c r="D21" s="396" t="s">
        <v>306</v>
      </c>
      <c r="E21" s="128"/>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403"/>
      <c r="AL21" s="397">
        <f>IFERROR(VLOOKUP($C21,'Proposed Rates'!$B:$J,AL$11,FALSE),0)</f>
        <v>0</v>
      </c>
      <c r="AM21" s="398">
        <f t="shared" si="19"/>
        <v>1</v>
      </c>
      <c r="AN21" s="400">
        <f t="shared" si="20"/>
        <v>0</v>
      </c>
      <c r="AO21" s="128"/>
      <c r="AP21" s="401">
        <f t="shared" si="21"/>
        <v>0</v>
      </c>
      <c r="AQ21" s="402" t="str">
        <f t="shared" si="22"/>
        <v/>
      </c>
    </row>
    <row r="22" spans="1:43" ht="12" customHeight="1">
      <c r="A22" s="52"/>
      <c r="B22" s="404" t="s">
        <v>237</v>
      </c>
      <c r="C22" s="395" t="str">
        <f t="shared" si="0"/>
        <v>Residential.Deferral/Variance Account Disposition Rate Rider Group 2</v>
      </c>
      <c r="D22" s="396" t="s">
        <v>306</v>
      </c>
      <c r="E22" s="128"/>
      <c r="F22" s="397">
        <f>IFERROR(VLOOKUP($C22,'Proposed Rates'!$B:$J,F$11,FALSE),0)</f>
        <v>0</v>
      </c>
      <c r="G22" s="398">
        <f t="shared" si="1"/>
        <v>1</v>
      </c>
      <c r="H22" s="400">
        <f t="shared" si="2"/>
        <v>0</v>
      </c>
      <c r="I22" s="52"/>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403"/>
      <c r="AL22" s="397">
        <f>IFERROR(VLOOKUP($C22,'Proposed Rates'!$B:$J,AL$11,FALSE),0)</f>
        <v>0</v>
      </c>
      <c r="AM22" s="398">
        <f t="shared" si="19"/>
        <v>1</v>
      </c>
      <c r="AN22" s="400">
        <f t="shared" si="20"/>
        <v>0</v>
      </c>
      <c r="AO22" s="128"/>
      <c r="AP22" s="401">
        <f t="shared" si="21"/>
        <v>0</v>
      </c>
      <c r="AQ22" s="402" t="str">
        <f t="shared" si="22"/>
        <v/>
      </c>
    </row>
    <row r="23" spans="1:43" ht="12" customHeight="1">
      <c r="A23" s="52"/>
      <c r="B23" s="404"/>
      <c r="C23" s="395" t="str">
        <f t="shared" si="0"/>
        <v>Residential.</v>
      </c>
      <c r="D23" s="396"/>
      <c r="E23" s="128"/>
      <c r="F23" s="397">
        <f>IFERROR(VLOOKUP($C23,'Proposed Rates'!$B:$J,F$11,FALSE),0)</f>
        <v>0</v>
      </c>
      <c r="G23" s="398">
        <f t="shared" si="1"/>
        <v>0</v>
      </c>
      <c r="H23" s="400">
        <f t="shared" si="2"/>
        <v>0</v>
      </c>
      <c r="I23" s="52"/>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403"/>
      <c r="AL23" s="397">
        <f>IFERROR(VLOOKUP($C23,'Proposed Rates'!$B:$J,AL$11,FALSE),0)</f>
        <v>0</v>
      </c>
      <c r="AM23" s="398">
        <f t="shared" si="19"/>
        <v>0</v>
      </c>
      <c r="AN23" s="400">
        <f t="shared" si="20"/>
        <v>0</v>
      </c>
      <c r="AO23" s="128"/>
      <c r="AP23" s="401">
        <f t="shared" si="21"/>
        <v>0</v>
      </c>
      <c r="AQ23" s="402" t="str">
        <f t="shared" si="22"/>
        <v/>
      </c>
    </row>
    <row r="24" spans="1:43" ht="12" customHeight="1">
      <c r="A24" s="52"/>
      <c r="B24" s="404"/>
      <c r="C24" s="395" t="str">
        <f t="shared" si="0"/>
        <v>Residential.</v>
      </c>
      <c r="D24" s="396"/>
      <c r="E24" s="128"/>
      <c r="F24" s="397">
        <f>IFERROR(VLOOKUP($C24,'Proposed Rates'!$B:$J,F$11,FALSE),0)</f>
        <v>0</v>
      </c>
      <c r="G24" s="398">
        <f t="shared" si="1"/>
        <v>0</v>
      </c>
      <c r="H24" s="400">
        <f t="shared" si="2"/>
        <v>0</v>
      </c>
      <c r="I24" s="52"/>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403"/>
      <c r="AL24" s="397">
        <f>IFERROR(VLOOKUP($C24,'Proposed Rates'!$B:$J,AL$11,FALSE),0)</f>
        <v>0</v>
      </c>
      <c r="AM24" s="398">
        <f t="shared" si="19"/>
        <v>0</v>
      </c>
      <c r="AN24" s="400">
        <f t="shared" si="20"/>
        <v>0</v>
      </c>
      <c r="AO24" s="128"/>
      <c r="AP24" s="401">
        <f t="shared" si="21"/>
        <v>0</v>
      </c>
      <c r="AQ24" s="402" t="str">
        <f t="shared" si="22"/>
        <v/>
      </c>
    </row>
    <row r="25" spans="1:43" ht="12" customHeight="1">
      <c r="A25" s="52"/>
      <c r="B25" s="404"/>
      <c r="C25" s="395" t="str">
        <f t="shared" si="0"/>
        <v>Residential.</v>
      </c>
      <c r="D25" s="396"/>
      <c r="E25" s="128"/>
      <c r="F25" s="397">
        <f>IFERROR(VLOOKUP($C25,'Proposed Rates'!$B:$J,F$11,FALSE),0)</f>
        <v>0</v>
      </c>
      <c r="G25" s="398">
        <f t="shared" si="1"/>
        <v>0</v>
      </c>
      <c r="H25" s="400">
        <f t="shared" si="2"/>
        <v>0</v>
      </c>
      <c r="I25" s="52"/>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403"/>
      <c r="AL25" s="397">
        <f>IFERROR(VLOOKUP($C25,'Proposed Rates'!$B:$J,AL$11,FALSE),0)</f>
        <v>0</v>
      </c>
      <c r="AM25" s="398">
        <f t="shared" si="19"/>
        <v>0</v>
      </c>
      <c r="AN25" s="400">
        <f t="shared" si="20"/>
        <v>0</v>
      </c>
      <c r="AO25" s="128"/>
      <c r="AP25" s="401">
        <f t="shared" si="21"/>
        <v>0</v>
      </c>
      <c r="AQ25" s="402" t="str">
        <f t="shared" si="22"/>
        <v/>
      </c>
    </row>
    <row r="26" spans="1:43" ht="12" customHeight="1">
      <c r="A26" s="52"/>
      <c r="B26" s="404"/>
      <c r="C26" s="395" t="str">
        <f t="shared" si="0"/>
        <v>Residential.</v>
      </c>
      <c r="D26" s="396"/>
      <c r="E26" s="128"/>
      <c r="F26" s="397">
        <f>IFERROR(VLOOKUP($C26,'Proposed Rates'!$B:$J,F$11,FALSE),0)</f>
        <v>0</v>
      </c>
      <c r="G26" s="398">
        <f t="shared" si="1"/>
        <v>0</v>
      </c>
      <c r="H26" s="400">
        <f t="shared" si="2"/>
        <v>0</v>
      </c>
      <c r="I26" s="52"/>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403"/>
      <c r="AL26" s="397">
        <f>IFERROR(VLOOKUP($C26,'Proposed Rates'!$B:$J,AL$11,FALSE),0)</f>
        <v>0</v>
      </c>
      <c r="AM26" s="398">
        <f t="shared" si="19"/>
        <v>0</v>
      </c>
      <c r="AN26" s="400">
        <f t="shared" si="20"/>
        <v>0</v>
      </c>
      <c r="AO26" s="128"/>
      <c r="AP26" s="401">
        <f t="shared" si="21"/>
        <v>0</v>
      </c>
      <c r="AQ26" s="402" t="str">
        <f t="shared" si="22"/>
        <v/>
      </c>
    </row>
    <row r="27" spans="1:43" ht="12" customHeight="1">
      <c r="A27" s="52"/>
      <c r="B27" s="404"/>
      <c r="C27" s="395" t="str">
        <f t="shared" si="0"/>
        <v>Residential.</v>
      </c>
      <c r="D27" s="396"/>
      <c r="E27" s="128"/>
      <c r="F27" s="397">
        <f>IFERROR(VLOOKUP($C27,'Proposed Rates'!$B:$J,F$11,FALSE),0)</f>
        <v>0</v>
      </c>
      <c r="G27" s="398">
        <f t="shared" si="1"/>
        <v>0</v>
      </c>
      <c r="H27" s="400">
        <f t="shared" si="2"/>
        <v>0</v>
      </c>
      <c r="I27" s="52"/>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403"/>
      <c r="AL27" s="397">
        <f>IFERROR(VLOOKUP($C27,'Proposed Rates'!$B:$J,AL$11,FALSE),0)</f>
        <v>0</v>
      </c>
      <c r="AM27" s="398">
        <f t="shared" si="19"/>
        <v>0</v>
      </c>
      <c r="AN27" s="400">
        <f t="shared" si="20"/>
        <v>0</v>
      </c>
      <c r="AO27" s="128"/>
      <c r="AP27" s="401">
        <f t="shared" si="21"/>
        <v>0</v>
      </c>
      <c r="AQ27" s="402" t="str">
        <f t="shared" si="22"/>
        <v/>
      </c>
    </row>
    <row r="28" spans="1:43" ht="12" customHeight="1">
      <c r="A28" s="52"/>
      <c r="B28" s="404"/>
      <c r="C28" s="395" t="str">
        <f t="shared" si="0"/>
        <v>Residential.</v>
      </c>
      <c r="D28" s="396"/>
      <c r="E28" s="128"/>
      <c r="F28" s="397">
        <f>IFERROR(VLOOKUP($C28,'Proposed Rates'!$B:$J,F$11,FALSE),0)</f>
        <v>0</v>
      </c>
      <c r="G28" s="398">
        <f t="shared" si="1"/>
        <v>0</v>
      </c>
      <c r="H28" s="400">
        <f t="shared" si="2"/>
        <v>0</v>
      </c>
      <c r="I28" s="52"/>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403"/>
      <c r="AL28" s="397">
        <f>IFERROR(VLOOKUP($C28,'Proposed Rates'!$B:$J,AL$11,FALSE),0)</f>
        <v>0</v>
      </c>
      <c r="AM28" s="398">
        <f t="shared" si="19"/>
        <v>0</v>
      </c>
      <c r="AN28" s="400">
        <f t="shared" si="20"/>
        <v>0</v>
      </c>
      <c r="AO28" s="128"/>
      <c r="AP28" s="401">
        <f t="shared" si="21"/>
        <v>0</v>
      </c>
      <c r="AQ28" s="402" t="str">
        <f t="shared" si="22"/>
        <v/>
      </c>
    </row>
    <row r="29" spans="1:43" ht="12" customHeight="1">
      <c r="A29" s="306"/>
      <c r="B29" s="405" t="s">
        <v>310</v>
      </c>
      <c r="C29" s="406"/>
      <c r="D29" s="406"/>
      <c r="E29" s="410"/>
      <c r="F29" s="407"/>
      <c r="G29" s="408"/>
      <c r="H29" s="409">
        <f>SUM(H15:H28)</f>
        <v>34.51</v>
      </c>
      <c r="I29" s="306"/>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413"/>
      <c r="AL29" s="407"/>
      <c r="AM29" s="408"/>
      <c r="AN29" s="409">
        <f>SUM(AN15:AN28)</f>
        <v>54.07</v>
      </c>
      <c r="AO29" s="410"/>
      <c r="AP29" s="411">
        <f t="shared" si="21"/>
        <v>2.9200000000000017</v>
      </c>
      <c r="AQ29" s="412">
        <f t="shared" si="22"/>
        <v>5.7086999022482932E-2</v>
      </c>
    </row>
    <row r="30" spans="1:43" ht="12" customHeight="1">
      <c r="A30" s="52"/>
      <c r="B30" s="404" t="s">
        <v>234</v>
      </c>
      <c r="C30" s="395" t="str">
        <f t="shared" ref="C30:C36" si="23">D$6&amp;"."&amp;B30</f>
        <v>Residential.DVA Disposition Rate Rider Group 1 -2025</v>
      </c>
      <c r="D30" s="396" t="s">
        <v>308</v>
      </c>
      <c r="E30" s="128"/>
      <c r="F30" s="414">
        <f>IFERROR(VLOOKUP($C30,'Proposed Rates'!$B:$J,F$11,FALSE),0)</f>
        <v>-2.0000000000000001E-4</v>
      </c>
      <c r="G30" s="415">
        <f t="shared" ref="G30:G33" si="24">IF($D30="Monthly",1,IF($D30="per KWH",$F$10,0))</f>
        <v>232</v>
      </c>
      <c r="H30" s="416">
        <f t="shared" ref="H30:H36" si="25">G30*F30</f>
        <v>-4.6400000000000004E-2</v>
      </c>
      <c r="I30" s="52"/>
      <c r="J30" s="414">
        <f>IFERROR(VLOOKUP($C30,'Proposed Rates'!$B:$J,J$11,FALSE),0)</f>
        <v>-5.9999999999999995E-4</v>
      </c>
      <c r="K30" s="415">
        <f t="shared" ref="K30:K33" si="26">IF($D30="Monthly",1,IF($D30="per KWH",$F$10,0))</f>
        <v>232</v>
      </c>
      <c r="L30" s="400">
        <f t="shared" ref="L30:L36" si="27">K30*J30</f>
        <v>-0.13919999999999999</v>
      </c>
      <c r="M30" s="128"/>
      <c r="N30" s="401">
        <f t="shared" si="5"/>
        <v>-9.2799999999999994E-2</v>
      </c>
      <c r="O30" s="402">
        <f t="shared" si="6"/>
        <v>1.9999999999999998</v>
      </c>
      <c r="P30" s="52"/>
      <c r="Q30" s="414">
        <f>IFERROR(VLOOKUP($C30,'Proposed Rates'!$B:$J,Q$11,FALSE),0)</f>
        <v>0</v>
      </c>
      <c r="R30" s="415">
        <f t="shared" ref="R30:R33" si="28">IF($D30="Monthly",1,IF($D30="per KWH",$F$10,0))</f>
        <v>232</v>
      </c>
      <c r="S30" s="400">
        <f t="shared" ref="S30:S36" si="29">R30*Q30</f>
        <v>0</v>
      </c>
      <c r="T30" s="128"/>
      <c r="U30" s="401">
        <f t="shared" si="9"/>
        <v>0.13919999999999999</v>
      </c>
      <c r="V30" s="402">
        <f t="shared" si="10"/>
        <v>-1</v>
      </c>
      <c r="W30" s="52"/>
      <c r="X30" s="414">
        <f>IFERROR(VLOOKUP($C30,'Proposed Rates'!$B:$J,X$11,FALSE),0)</f>
        <v>0</v>
      </c>
      <c r="Y30" s="415">
        <f t="shared" ref="Y30:Y33" si="30">IF($D30="Monthly",1,IF($D30="per KWH",$F$10,0))</f>
        <v>232</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232</v>
      </c>
      <c r="AG30" s="400">
        <f t="shared" ref="AG30:AG36" si="33">AF30*AE30</f>
        <v>0</v>
      </c>
      <c r="AH30" s="128"/>
      <c r="AI30" s="401">
        <f t="shared" si="17"/>
        <v>0</v>
      </c>
      <c r="AJ30" s="402" t="str">
        <f t="shared" si="18"/>
        <v/>
      </c>
      <c r="AK30" s="403"/>
      <c r="AL30" s="414">
        <f>IFERROR(VLOOKUP($C30,'Proposed Rates'!$B:$J,AL$11,FALSE),0)</f>
        <v>0</v>
      </c>
      <c r="AM30" s="415">
        <f t="shared" ref="AM30:AM33" si="34">IF($D30="Monthly",1,IF($D30="per KWH",$F$10,0))</f>
        <v>232</v>
      </c>
      <c r="AN30" s="400">
        <f t="shared" ref="AN30:AN36" si="35">AM30*AL30</f>
        <v>0</v>
      </c>
      <c r="AO30" s="128"/>
      <c r="AP30" s="401">
        <f t="shared" si="21"/>
        <v>0</v>
      </c>
      <c r="AQ30" s="402" t="str">
        <f t="shared" si="22"/>
        <v/>
      </c>
    </row>
    <row r="31" spans="1:43" ht="12" customHeight="1">
      <c r="A31" s="52"/>
      <c r="B31" s="404" t="s">
        <v>236</v>
      </c>
      <c r="C31" s="395" t="str">
        <f t="shared" si="23"/>
        <v>Residential.DVA Disposition Rate Rider Group 1 - 2024</v>
      </c>
      <c r="D31" s="396" t="s">
        <v>308</v>
      </c>
      <c r="E31" s="128"/>
      <c r="F31" s="414">
        <f>IFERROR(VLOOKUP($C31,'Proposed Rates'!$B:$J,F$11,FALSE),0)</f>
        <v>0</v>
      </c>
      <c r="G31" s="415">
        <f t="shared" si="24"/>
        <v>232</v>
      </c>
      <c r="H31" s="400">
        <f t="shared" si="25"/>
        <v>0</v>
      </c>
      <c r="I31" s="52"/>
      <c r="J31" s="414">
        <f>IFERROR(VLOOKUP($C31,'Proposed Rates'!$B:$J,J$11,FALSE),0)</f>
        <v>0</v>
      </c>
      <c r="K31" s="415">
        <f t="shared" si="26"/>
        <v>232</v>
      </c>
      <c r="L31" s="400">
        <f t="shared" si="27"/>
        <v>0</v>
      </c>
      <c r="M31" s="417"/>
      <c r="N31" s="401">
        <f t="shared" si="5"/>
        <v>0</v>
      </c>
      <c r="O31" s="402" t="str">
        <f t="shared" si="6"/>
        <v/>
      </c>
      <c r="P31" s="52"/>
      <c r="Q31" s="414">
        <f>IFERROR(VLOOKUP($C31,'Proposed Rates'!$B:$J,Q$11,FALSE),0)</f>
        <v>0</v>
      </c>
      <c r="R31" s="415">
        <f t="shared" si="28"/>
        <v>232</v>
      </c>
      <c r="S31" s="400">
        <f t="shared" si="29"/>
        <v>0</v>
      </c>
      <c r="T31" s="417"/>
      <c r="U31" s="401">
        <f t="shared" si="9"/>
        <v>0</v>
      </c>
      <c r="V31" s="402" t="str">
        <f t="shared" si="10"/>
        <v/>
      </c>
      <c r="W31" s="52"/>
      <c r="X31" s="414">
        <f>IFERROR(VLOOKUP($C31,'Proposed Rates'!$B:$J,X$11,FALSE),0)</f>
        <v>0</v>
      </c>
      <c r="Y31" s="415">
        <f t="shared" si="30"/>
        <v>232</v>
      </c>
      <c r="Z31" s="400">
        <f t="shared" si="31"/>
        <v>0</v>
      </c>
      <c r="AA31" s="417"/>
      <c r="AB31" s="401">
        <f t="shared" si="13"/>
        <v>0</v>
      </c>
      <c r="AC31" s="402" t="str">
        <f t="shared" si="14"/>
        <v/>
      </c>
      <c r="AD31" s="52"/>
      <c r="AE31" s="414">
        <f>IFERROR(VLOOKUP($C31,'Proposed Rates'!$B:$J,AE$11,FALSE),0)</f>
        <v>0</v>
      </c>
      <c r="AF31" s="415">
        <f t="shared" si="32"/>
        <v>232</v>
      </c>
      <c r="AG31" s="400">
        <f t="shared" si="33"/>
        <v>0</v>
      </c>
      <c r="AH31" s="417"/>
      <c r="AI31" s="401">
        <f t="shared" si="17"/>
        <v>0</v>
      </c>
      <c r="AJ31" s="402" t="str">
        <f t="shared" si="18"/>
        <v/>
      </c>
      <c r="AK31" s="403"/>
      <c r="AL31" s="414">
        <f>IFERROR(VLOOKUP($C31,'Proposed Rates'!$B:$J,AL$11,FALSE),0)</f>
        <v>0</v>
      </c>
      <c r="AM31" s="415">
        <f t="shared" si="34"/>
        <v>232</v>
      </c>
      <c r="AN31" s="400">
        <f t="shared" si="35"/>
        <v>0</v>
      </c>
      <c r="AO31" s="417"/>
      <c r="AP31" s="401">
        <f t="shared" si="21"/>
        <v>0</v>
      </c>
      <c r="AQ31" s="402" t="str">
        <f t="shared" si="22"/>
        <v/>
      </c>
    </row>
    <row r="32" spans="1:43" ht="12" customHeight="1">
      <c r="A32" s="52"/>
      <c r="B32" s="404" t="s">
        <v>244</v>
      </c>
      <c r="C32" s="395" t="str">
        <f t="shared" si="23"/>
        <v>Residential.CBR Class B Rate Riders</v>
      </c>
      <c r="D32" s="396" t="s">
        <v>308</v>
      </c>
      <c r="E32" s="128"/>
      <c r="F32" s="414">
        <f>IFERROR(VLOOKUP($C32,'Proposed Rates'!$B:$J,F$11,FALSE),0)</f>
        <v>2.0000000000000001E-4</v>
      </c>
      <c r="G32" s="415">
        <f t="shared" si="24"/>
        <v>232</v>
      </c>
      <c r="H32" s="400">
        <f t="shared" si="25"/>
        <v>4.6400000000000004E-2</v>
      </c>
      <c r="I32" s="52"/>
      <c r="J32" s="414">
        <f>IFERROR(VLOOKUP($C32,'Proposed Rates'!$B:$J,J$11,FALSE),0)</f>
        <v>4.0000000000000002E-4</v>
      </c>
      <c r="K32" s="415">
        <f t="shared" si="26"/>
        <v>232</v>
      </c>
      <c r="L32" s="400">
        <f t="shared" si="27"/>
        <v>9.2800000000000007E-2</v>
      </c>
      <c r="M32" s="417"/>
      <c r="N32" s="401">
        <f t="shared" si="5"/>
        <v>4.6400000000000004E-2</v>
      </c>
      <c r="O32" s="402">
        <f t="shared" si="6"/>
        <v>1</v>
      </c>
      <c r="P32" s="52"/>
      <c r="Q32" s="414">
        <f>IFERROR(VLOOKUP($C32,'Proposed Rates'!$B:$J,Q$11,FALSE),0)</f>
        <v>0</v>
      </c>
      <c r="R32" s="415">
        <f t="shared" si="28"/>
        <v>232</v>
      </c>
      <c r="S32" s="400">
        <f t="shared" si="29"/>
        <v>0</v>
      </c>
      <c r="T32" s="417"/>
      <c r="U32" s="401">
        <f t="shared" si="9"/>
        <v>-9.2800000000000007E-2</v>
      </c>
      <c r="V32" s="402">
        <f t="shared" si="10"/>
        <v>-1</v>
      </c>
      <c r="W32" s="52"/>
      <c r="X32" s="414">
        <f>IFERROR(VLOOKUP($C32,'Proposed Rates'!$B:$J,X$11,FALSE),0)</f>
        <v>0</v>
      </c>
      <c r="Y32" s="415">
        <f t="shared" si="30"/>
        <v>232</v>
      </c>
      <c r="Z32" s="400">
        <f t="shared" si="31"/>
        <v>0</v>
      </c>
      <c r="AA32" s="417"/>
      <c r="AB32" s="401">
        <f t="shared" si="13"/>
        <v>0</v>
      </c>
      <c r="AC32" s="402" t="str">
        <f t="shared" si="14"/>
        <v/>
      </c>
      <c r="AD32" s="52"/>
      <c r="AE32" s="414">
        <f>IFERROR(VLOOKUP($C32,'Proposed Rates'!$B:$J,AE$11,FALSE),0)</f>
        <v>0</v>
      </c>
      <c r="AF32" s="415">
        <f t="shared" si="32"/>
        <v>232</v>
      </c>
      <c r="AG32" s="400">
        <f t="shared" si="33"/>
        <v>0</v>
      </c>
      <c r="AH32" s="417"/>
      <c r="AI32" s="401">
        <f t="shared" si="17"/>
        <v>0</v>
      </c>
      <c r="AJ32" s="402" t="str">
        <f t="shared" si="18"/>
        <v/>
      </c>
      <c r="AK32" s="403"/>
      <c r="AL32" s="414">
        <f>IFERROR(VLOOKUP($C32,'Proposed Rates'!$B:$J,AL$11,FALSE),0)</f>
        <v>0</v>
      </c>
      <c r="AM32" s="415">
        <f t="shared" si="34"/>
        <v>232</v>
      </c>
      <c r="AN32" s="400">
        <f t="shared" si="35"/>
        <v>0</v>
      </c>
      <c r="AO32" s="417"/>
      <c r="AP32" s="401">
        <f t="shared" si="21"/>
        <v>0</v>
      </c>
      <c r="AQ32" s="402" t="str">
        <f t="shared" si="22"/>
        <v/>
      </c>
    </row>
    <row r="33" spans="1:43" ht="12" customHeight="1">
      <c r="A33" s="52"/>
      <c r="B33" s="404" t="s">
        <v>311</v>
      </c>
      <c r="C33" s="395" t="str">
        <f t="shared" si="23"/>
        <v>Residential.GA Disposition Rate Rider-NonRPP</v>
      </c>
      <c r="D33" s="396" t="s">
        <v>308</v>
      </c>
      <c r="E33" s="128"/>
      <c r="F33" s="414">
        <f>IFERROR(VLOOKUP($C33,'Proposed Rates'!$B:$J,F$11,FALSE),0)</f>
        <v>0</v>
      </c>
      <c r="G33" s="415">
        <f t="shared" si="24"/>
        <v>232</v>
      </c>
      <c r="H33" s="400">
        <f t="shared" si="25"/>
        <v>0</v>
      </c>
      <c r="I33" s="52"/>
      <c r="J33" s="414">
        <f>IFERROR(VLOOKUP($C33,'Proposed Rates'!$B:$J,J$11,FALSE),0)</f>
        <v>0</v>
      </c>
      <c r="K33" s="415">
        <f t="shared" si="26"/>
        <v>232</v>
      </c>
      <c r="L33" s="400">
        <f t="shared" si="27"/>
        <v>0</v>
      </c>
      <c r="M33" s="417"/>
      <c r="N33" s="401">
        <f t="shared" si="5"/>
        <v>0</v>
      </c>
      <c r="O33" s="402" t="str">
        <f t="shared" si="6"/>
        <v/>
      </c>
      <c r="P33" s="52"/>
      <c r="Q33" s="414">
        <f>IFERROR(VLOOKUP($C33,'Proposed Rates'!$B:$J,Q$11,FALSE),0)</f>
        <v>0</v>
      </c>
      <c r="R33" s="415">
        <f t="shared" si="28"/>
        <v>232</v>
      </c>
      <c r="S33" s="400">
        <f t="shared" si="29"/>
        <v>0</v>
      </c>
      <c r="T33" s="417"/>
      <c r="U33" s="401">
        <f t="shared" si="9"/>
        <v>0</v>
      </c>
      <c r="V33" s="402" t="str">
        <f t="shared" si="10"/>
        <v/>
      </c>
      <c r="W33" s="52"/>
      <c r="X33" s="414">
        <f>IFERROR(VLOOKUP($C33,'Proposed Rates'!$B:$J,X$11,FALSE),0)</f>
        <v>0</v>
      </c>
      <c r="Y33" s="415">
        <f t="shared" si="30"/>
        <v>232</v>
      </c>
      <c r="Z33" s="400">
        <f t="shared" si="31"/>
        <v>0</v>
      </c>
      <c r="AA33" s="417"/>
      <c r="AB33" s="401">
        <f t="shared" si="13"/>
        <v>0</v>
      </c>
      <c r="AC33" s="402" t="str">
        <f t="shared" si="14"/>
        <v/>
      </c>
      <c r="AD33" s="52"/>
      <c r="AE33" s="414">
        <f>IFERROR(VLOOKUP($C33,'Proposed Rates'!$B:$J,AE$11,FALSE),0)</f>
        <v>0</v>
      </c>
      <c r="AF33" s="415">
        <f t="shared" si="32"/>
        <v>232</v>
      </c>
      <c r="AG33" s="400">
        <f t="shared" si="33"/>
        <v>0</v>
      </c>
      <c r="AH33" s="417"/>
      <c r="AI33" s="401">
        <f t="shared" si="17"/>
        <v>0</v>
      </c>
      <c r="AJ33" s="402" t="str">
        <f t="shared" si="18"/>
        <v/>
      </c>
      <c r="AK33" s="403"/>
      <c r="AL33" s="414">
        <f>IFERROR(VLOOKUP($C33,'Proposed Rates'!$B:$J,AL$11,FALSE),0)</f>
        <v>0</v>
      </c>
      <c r="AM33" s="415">
        <f t="shared" si="34"/>
        <v>232</v>
      </c>
      <c r="AN33" s="400">
        <f t="shared" si="35"/>
        <v>0</v>
      </c>
      <c r="AO33" s="417"/>
      <c r="AP33" s="401">
        <f t="shared" si="21"/>
        <v>0</v>
      </c>
      <c r="AQ33" s="402" t="str">
        <f t="shared" si="22"/>
        <v/>
      </c>
    </row>
    <row r="34" spans="1:43" ht="12" customHeight="1">
      <c r="A34" s="52"/>
      <c r="B34" s="320" t="s">
        <v>269</v>
      </c>
      <c r="C34" s="395" t="str">
        <f t="shared" si="23"/>
        <v>Residential.Low Voltage Service Charge</v>
      </c>
      <c r="D34" s="396" t="s">
        <v>308</v>
      </c>
      <c r="E34" s="128"/>
      <c r="F34" s="418">
        <f>IFERROR(VLOOKUP($C34,'Proposed Rates'!$B:$J,F$11,FALSE),0)</f>
        <v>5.0000000000000002E-5</v>
      </c>
      <c r="G34" s="419">
        <f>$F$10*(1+F$63)</f>
        <v>239.8416</v>
      </c>
      <c r="H34" s="400">
        <f t="shared" si="25"/>
        <v>1.199208E-2</v>
      </c>
      <c r="I34" s="52"/>
      <c r="J34" s="418">
        <f>IFERROR(VLOOKUP($C34,'Proposed Rates'!$B:$J,J$11,FALSE),0)</f>
        <v>6.9999999999999994E-5</v>
      </c>
      <c r="K34" s="419">
        <f>$F$10*(1+J$63)</f>
        <v>239.70239999999998</v>
      </c>
      <c r="L34" s="400">
        <f t="shared" si="27"/>
        <v>1.6779167999999997E-2</v>
      </c>
      <c r="M34" s="128"/>
      <c r="N34" s="401">
        <f t="shared" si="5"/>
        <v>4.7870879999999966E-3</v>
      </c>
      <c r="O34" s="402">
        <f t="shared" si="6"/>
        <v>0.3991874637260589</v>
      </c>
      <c r="P34" s="52"/>
      <c r="Q34" s="418">
        <f>IFERROR(VLOOKUP($C34,'Proposed Rates'!$B:$J,Q$11,FALSE),0)</f>
        <v>6.9999999999999994E-5</v>
      </c>
      <c r="R34" s="419">
        <f>$F$10*(1+Q$63)</f>
        <v>239.70239999999998</v>
      </c>
      <c r="S34" s="400">
        <f t="shared" si="29"/>
        <v>1.6779167999999997E-2</v>
      </c>
      <c r="T34" s="128"/>
      <c r="U34" s="401">
        <f t="shared" si="9"/>
        <v>0</v>
      </c>
      <c r="V34" s="402">
        <f t="shared" si="10"/>
        <v>0</v>
      </c>
      <c r="W34" s="52"/>
      <c r="X34" s="418">
        <f>IFERROR(VLOOKUP($C34,'Proposed Rates'!$B:$J,X$11,FALSE),0)</f>
        <v>8.0000000000000007E-5</v>
      </c>
      <c r="Y34" s="419">
        <f>$F$10*(1+X$63)</f>
        <v>239.70239999999998</v>
      </c>
      <c r="Z34" s="400">
        <f t="shared" si="31"/>
        <v>1.9176192000000002E-2</v>
      </c>
      <c r="AA34" s="128"/>
      <c r="AB34" s="401">
        <f t="shared" si="13"/>
        <v>2.3970240000000045E-3</v>
      </c>
      <c r="AC34" s="402">
        <f t="shared" si="14"/>
        <v>0.14285714285714315</v>
      </c>
      <c r="AD34" s="52"/>
      <c r="AE34" s="418">
        <f>IFERROR(VLOOKUP($C34,'Proposed Rates'!$B:$J,AE$11,FALSE),0)</f>
        <v>8.0000000000000007E-5</v>
      </c>
      <c r="AF34" s="419">
        <f>$F$10*(1+AE$63)</f>
        <v>239.70239999999998</v>
      </c>
      <c r="AG34" s="400">
        <f t="shared" si="33"/>
        <v>1.9176192000000002E-2</v>
      </c>
      <c r="AH34" s="128"/>
      <c r="AI34" s="401">
        <f t="shared" si="17"/>
        <v>0</v>
      </c>
      <c r="AJ34" s="402">
        <f t="shared" si="18"/>
        <v>0</v>
      </c>
      <c r="AK34" s="403"/>
      <c r="AL34" s="418">
        <f>IFERROR(VLOOKUP($C34,'Proposed Rates'!$B:$J,AL$11,FALSE),0)</f>
        <v>8.0000000000000007E-5</v>
      </c>
      <c r="AM34" s="419">
        <f>$F$10*(1+AL$63)</f>
        <v>239.70239999999998</v>
      </c>
      <c r="AN34" s="400">
        <f t="shared" si="35"/>
        <v>1.9176192000000002E-2</v>
      </c>
      <c r="AO34" s="128"/>
      <c r="AP34" s="401">
        <f t="shared" si="21"/>
        <v>0</v>
      </c>
      <c r="AQ34" s="402">
        <f t="shared" si="22"/>
        <v>0</v>
      </c>
    </row>
    <row r="35" spans="1:43" ht="12" customHeight="1">
      <c r="A35" s="52"/>
      <c r="B35" s="320" t="s">
        <v>312</v>
      </c>
      <c r="C35" s="395" t="str">
        <f t="shared" si="23"/>
        <v>Residential.Line Losses on Cost of Power</v>
      </c>
      <c r="D35" s="396" t="s">
        <v>308</v>
      </c>
      <c r="E35" s="128"/>
      <c r="F35" s="420">
        <f>'Proposed Rates'!$K$249*F$44+'Proposed Rates'!$K$250*F$45+'Proposed Rates'!$K$251*F$46</f>
        <v>0.12752000000000002</v>
      </c>
      <c r="G35" s="421">
        <f>$F$10*(1+F$63)-$F$10</f>
        <v>7.8415999999999997</v>
      </c>
      <c r="H35" s="400">
        <f t="shared" si="25"/>
        <v>0.99996083200000019</v>
      </c>
      <c r="I35" s="52"/>
      <c r="J35" s="420">
        <f>'Proposed Rates'!$K$249*J$44+'Proposed Rates'!$K$250*J$45+'Proposed Rates'!$K$251*J$46</f>
        <v>0.12752000000000002</v>
      </c>
      <c r="K35" s="481">
        <f>$F$10*(1+J$63)-$F$10</f>
        <v>7.702399999999983</v>
      </c>
      <c r="L35" s="400">
        <f t="shared" si="27"/>
        <v>0.982210047999998</v>
      </c>
      <c r="M35" s="128"/>
      <c r="N35" s="401">
        <f t="shared" si="5"/>
        <v>-1.7750784000002184E-2</v>
      </c>
      <c r="O35" s="402">
        <f t="shared" si="6"/>
        <v>-1.7751479289943011E-2</v>
      </c>
      <c r="P35" s="52"/>
      <c r="Q35" s="420">
        <f>'Proposed Rates'!$K$249*Q$44+'Proposed Rates'!$K$250*Q$45+'Proposed Rates'!$K$251*Q$46</f>
        <v>0.12752000000000002</v>
      </c>
      <c r="R35" s="421">
        <f>$F$10*(1+Q$63)-$F$10</f>
        <v>7.702399999999983</v>
      </c>
      <c r="S35" s="400">
        <f t="shared" si="29"/>
        <v>0.982210047999998</v>
      </c>
      <c r="T35" s="128"/>
      <c r="U35" s="401">
        <f t="shared" si="9"/>
        <v>0</v>
      </c>
      <c r="V35" s="402">
        <f t="shared" si="10"/>
        <v>0</v>
      </c>
      <c r="W35" s="52"/>
      <c r="X35" s="420">
        <f>'Proposed Rates'!$K$249*X$44+'Proposed Rates'!$K$250*X$45+'Proposed Rates'!$K$251*X$46</f>
        <v>0.12752000000000002</v>
      </c>
      <c r="Y35" s="421">
        <f>$F$10*(1+X$63)-$F$10</f>
        <v>7.702399999999983</v>
      </c>
      <c r="Z35" s="400">
        <f t="shared" si="31"/>
        <v>0.982210047999998</v>
      </c>
      <c r="AA35" s="128"/>
      <c r="AB35" s="401">
        <f t="shared" si="13"/>
        <v>0</v>
      </c>
      <c r="AC35" s="402">
        <f t="shared" si="14"/>
        <v>0</v>
      </c>
      <c r="AD35" s="52"/>
      <c r="AE35" s="420">
        <f>'Proposed Rates'!$K$249*AE$44+'Proposed Rates'!$K$250*AE$45+'Proposed Rates'!$K$251*AE$46</f>
        <v>0.12752000000000002</v>
      </c>
      <c r="AF35" s="421">
        <f>$F$10*(1+AE$63)-$F$10</f>
        <v>7.702399999999983</v>
      </c>
      <c r="AG35" s="400">
        <f t="shared" si="33"/>
        <v>0.982210047999998</v>
      </c>
      <c r="AH35" s="128"/>
      <c r="AI35" s="401">
        <f t="shared" si="17"/>
        <v>0</v>
      </c>
      <c r="AJ35" s="402">
        <f t="shared" si="18"/>
        <v>0</v>
      </c>
      <c r="AK35" s="403"/>
      <c r="AL35" s="420">
        <f>'Proposed Rates'!$K$249*AL$44+'Proposed Rates'!$K$250*AL$45+'Proposed Rates'!$K$251*AL$46</f>
        <v>0.12752000000000002</v>
      </c>
      <c r="AM35" s="421">
        <f>$F$10*(1+AL$63)-$F$10</f>
        <v>7.702399999999983</v>
      </c>
      <c r="AN35" s="400">
        <f t="shared" si="35"/>
        <v>0.982210047999998</v>
      </c>
      <c r="AO35" s="128"/>
      <c r="AP35" s="401">
        <f t="shared" si="21"/>
        <v>0</v>
      </c>
      <c r="AQ35" s="402">
        <f t="shared" si="22"/>
        <v>0</v>
      </c>
    </row>
    <row r="36" spans="1:43" ht="12" customHeight="1">
      <c r="A36" s="52"/>
      <c r="B36" s="320" t="s">
        <v>271</v>
      </c>
      <c r="C36" s="395" t="str">
        <f t="shared" si="23"/>
        <v>Residential.Smart Meter Entity Charge</v>
      </c>
      <c r="D36" s="396" t="s">
        <v>306</v>
      </c>
      <c r="E36" s="128"/>
      <c r="F36" s="397">
        <f>IFERROR(VLOOKUP($C36,'Proposed Rates'!$B:$J,F$11,FALSE),0)</f>
        <v>0.42</v>
      </c>
      <c r="G36" s="415">
        <f>IF($D36="Monthly",1,IF($D36="per KWH",$F$10,0))</f>
        <v>1</v>
      </c>
      <c r="H36" s="400">
        <f t="shared" si="25"/>
        <v>0.42</v>
      </c>
      <c r="I36" s="52"/>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403"/>
      <c r="AL36" s="397">
        <f>IFERROR(VLOOKUP($C36,'Proposed Rates'!$B:$J,AL$11,FALSE),0)</f>
        <v>0.45</v>
      </c>
      <c r="AM36" s="415">
        <f>IF($D36="Monthly",1,IF($D36="per KWH",$F$10,0))</f>
        <v>1</v>
      </c>
      <c r="AN36" s="400">
        <f t="shared" si="35"/>
        <v>0.45</v>
      </c>
      <c r="AO36" s="128"/>
      <c r="AP36" s="401">
        <f t="shared" si="21"/>
        <v>1.0000000000000009E-2</v>
      </c>
      <c r="AQ36" s="402">
        <f t="shared" si="22"/>
        <v>2.2727272727272749E-2</v>
      </c>
    </row>
    <row r="37" spans="1:43" ht="12" customHeight="1">
      <c r="A37" s="52"/>
      <c r="B37" s="405" t="s">
        <v>313</v>
      </c>
      <c r="C37" s="422"/>
      <c r="D37" s="422"/>
      <c r="E37" s="425"/>
      <c r="F37" s="423"/>
      <c r="G37" s="424"/>
      <c r="H37" s="409">
        <f>SUM(H30:H36)+H29</f>
        <v>35.941952911999998</v>
      </c>
      <c r="I37" s="52"/>
      <c r="J37" s="423"/>
      <c r="K37" s="424"/>
      <c r="L37" s="409">
        <f>SUM(L30:L36)+L29</f>
        <v>41.862589216000003</v>
      </c>
      <c r="M37" s="425"/>
      <c r="N37" s="411">
        <f t="shared" si="5"/>
        <v>5.9206363040000056</v>
      </c>
      <c r="O37" s="412">
        <f t="shared" si="6"/>
        <v>0.16472772969504595</v>
      </c>
      <c r="P37" s="52"/>
      <c r="Q37" s="423"/>
      <c r="R37" s="424"/>
      <c r="S37" s="409">
        <f>SUM(S30:S36)+S29</f>
        <v>45.548989216000003</v>
      </c>
      <c r="T37" s="425"/>
      <c r="U37" s="411">
        <f t="shared" si="9"/>
        <v>3.686399999999999</v>
      </c>
      <c r="V37" s="412">
        <f t="shared" si="10"/>
        <v>8.80595316495867E-2</v>
      </c>
      <c r="W37" s="52"/>
      <c r="X37" s="423"/>
      <c r="Y37" s="424"/>
      <c r="Z37" s="409">
        <f>SUM(Z30:Z36)+Z29</f>
        <v>49.501386239999995</v>
      </c>
      <c r="AA37" s="425"/>
      <c r="AB37" s="411">
        <f t="shared" si="13"/>
        <v>3.9523970239999926</v>
      </c>
      <c r="AC37" s="412">
        <f t="shared" si="14"/>
        <v>8.6772441980153395E-2</v>
      </c>
      <c r="AD37" s="52"/>
      <c r="AE37" s="423"/>
      <c r="AF37" s="424"/>
      <c r="AG37" s="409">
        <f>SUM(AG30:AG36)+AG29</f>
        <v>52.591386239999999</v>
      </c>
      <c r="AH37" s="425"/>
      <c r="AI37" s="411">
        <f t="shared" si="17"/>
        <v>3.0900000000000034</v>
      </c>
      <c r="AJ37" s="412">
        <f t="shared" si="18"/>
        <v>6.2422494291747815E-2</v>
      </c>
      <c r="AK37" s="413"/>
      <c r="AL37" s="423"/>
      <c r="AM37" s="424"/>
      <c r="AN37" s="409">
        <f>SUM(AN30:AN36)+AN29</f>
        <v>55.521386239999998</v>
      </c>
      <c r="AO37" s="425"/>
      <c r="AP37" s="411">
        <f t="shared" si="21"/>
        <v>2.9299999999999997</v>
      </c>
      <c r="AQ37" s="412">
        <f t="shared" si="22"/>
        <v>5.5712545522739958E-2</v>
      </c>
    </row>
    <row r="38" spans="1:43" ht="12"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239.8416</v>
      </c>
      <c r="H38" s="400">
        <f t="shared" ref="H38:H39" si="38">G38*F38</f>
        <v>3.0220041599999998</v>
      </c>
      <c r="I38" s="52"/>
      <c r="J38" s="414">
        <f>IFERROR(VLOOKUP($C38,'Proposed Rates'!$B:$J,J$11,FALSE),0)</f>
        <v>1.38E-2</v>
      </c>
      <c r="K38" s="419">
        <f t="shared" ref="K38:K39" si="39">$F$10*(1+J$63)</f>
        <v>239.70239999999998</v>
      </c>
      <c r="L38" s="400">
        <f t="shared" ref="L38:L39" si="40">K38*J38</f>
        <v>3.3078931199999997</v>
      </c>
      <c r="M38" s="128"/>
      <c r="N38" s="401">
        <f t="shared" si="5"/>
        <v>0.28588895999999986</v>
      </c>
      <c r="O38" s="402">
        <f t="shared" si="6"/>
        <v>9.4602437608821782E-2</v>
      </c>
      <c r="P38" s="52"/>
      <c r="Q38" s="414">
        <f>IFERROR(VLOOKUP($C38,'Proposed Rates'!$B:$J,Q$11,FALSE),0)</f>
        <v>1.38E-2</v>
      </c>
      <c r="R38" s="419">
        <f t="shared" ref="R38:R39" si="41">$F$10*(1+Q$63)</f>
        <v>239.70239999999998</v>
      </c>
      <c r="S38" s="400">
        <f t="shared" ref="S38:S39" si="42">R38*Q38</f>
        <v>3.3078931199999997</v>
      </c>
      <c r="T38" s="128"/>
      <c r="U38" s="401">
        <f t="shared" si="9"/>
        <v>0</v>
      </c>
      <c r="V38" s="402">
        <f t="shared" si="10"/>
        <v>0</v>
      </c>
      <c r="W38" s="52"/>
      <c r="X38" s="414">
        <f>IFERROR(VLOOKUP($C38,'Proposed Rates'!$B:$J,X$11,FALSE),0)</f>
        <v>1.38E-2</v>
      </c>
      <c r="Y38" s="419">
        <f t="shared" ref="Y38:Y39" si="43">$F$10*(1+X$63)</f>
        <v>239.70239999999998</v>
      </c>
      <c r="Z38" s="400">
        <f t="shared" ref="Z38:Z39" si="44">Y38*X38</f>
        <v>3.3078931199999997</v>
      </c>
      <c r="AA38" s="128"/>
      <c r="AB38" s="401">
        <f t="shared" si="13"/>
        <v>0</v>
      </c>
      <c r="AC38" s="402">
        <f t="shared" si="14"/>
        <v>0</v>
      </c>
      <c r="AD38" s="52"/>
      <c r="AE38" s="414">
        <f>IFERROR(VLOOKUP($C38,'Proposed Rates'!$B:$J,AE$11,FALSE),0)</f>
        <v>1.38E-2</v>
      </c>
      <c r="AF38" s="419">
        <f t="shared" ref="AF38:AF39" si="45">$F$10*(1+AE$63)</f>
        <v>239.70239999999998</v>
      </c>
      <c r="AG38" s="400">
        <f t="shared" ref="AG38:AG39" si="46">AF38*AE38</f>
        <v>3.3078931199999997</v>
      </c>
      <c r="AH38" s="128"/>
      <c r="AI38" s="401">
        <f t="shared" si="17"/>
        <v>0</v>
      </c>
      <c r="AJ38" s="402">
        <f t="shared" si="18"/>
        <v>0</v>
      </c>
      <c r="AK38" s="403"/>
      <c r="AL38" s="414">
        <f>IFERROR(VLOOKUP($C38,'Proposed Rates'!$B:$J,AL$11,FALSE),0)</f>
        <v>1.38E-2</v>
      </c>
      <c r="AM38" s="419">
        <f t="shared" ref="AM38:AM39" si="47">$F$10*(1+AL$63)</f>
        <v>239.70239999999998</v>
      </c>
      <c r="AN38" s="400">
        <f t="shared" ref="AN38:AN39" si="48">AM38*AL38</f>
        <v>3.3078931199999997</v>
      </c>
      <c r="AO38" s="128"/>
      <c r="AP38" s="401">
        <f t="shared" si="21"/>
        <v>0</v>
      </c>
      <c r="AQ38" s="402">
        <f t="shared" si="22"/>
        <v>0</v>
      </c>
    </row>
    <row r="39" spans="1:43" ht="12" customHeight="1">
      <c r="A39" s="52"/>
      <c r="B39" s="128" t="s">
        <v>256</v>
      </c>
      <c r="C39" s="395" t="str">
        <f t="shared" si="36"/>
        <v>Residential.RTSR - Line and Transformation Connection</v>
      </c>
      <c r="D39" s="426" t="s">
        <v>308</v>
      </c>
      <c r="E39" s="128"/>
      <c r="F39" s="414">
        <f>IFERROR(VLOOKUP($C39,'Proposed Rates'!$B:$J,F$11,FALSE),0)</f>
        <v>7.1999999999999998E-3</v>
      </c>
      <c r="G39" s="419">
        <f t="shared" si="37"/>
        <v>239.8416</v>
      </c>
      <c r="H39" s="400">
        <f t="shared" si="38"/>
        <v>1.7268595199999999</v>
      </c>
      <c r="I39" s="52"/>
      <c r="J39" s="414">
        <f>IFERROR(VLOOKUP($C39,'Proposed Rates'!$B:$J,J$11,FALSE),0)</f>
        <v>7.7999999999999996E-3</v>
      </c>
      <c r="K39" s="419">
        <f t="shared" si="39"/>
        <v>239.70239999999998</v>
      </c>
      <c r="L39" s="400">
        <f t="shared" si="40"/>
        <v>1.8696787199999998</v>
      </c>
      <c r="M39" s="128"/>
      <c r="N39" s="401">
        <f t="shared" si="5"/>
        <v>0.14281919999999992</v>
      </c>
      <c r="O39" s="402">
        <f t="shared" si="6"/>
        <v>8.2704585026117203E-2</v>
      </c>
      <c r="P39" s="52"/>
      <c r="Q39" s="414">
        <f>IFERROR(VLOOKUP($C39,'Proposed Rates'!$B:$J,Q$11,FALSE),0)</f>
        <v>7.7999999999999996E-3</v>
      </c>
      <c r="R39" s="419">
        <f t="shared" si="41"/>
        <v>239.70239999999998</v>
      </c>
      <c r="S39" s="400">
        <f t="shared" si="42"/>
        <v>1.8696787199999998</v>
      </c>
      <c r="T39" s="128"/>
      <c r="U39" s="401">
        <f t="shared" si="9"/>
        <v>0</v>
      </c>
      <c r="V39" s="402">
        <f t="shared" si="10"/>
        <v>0</v>
      </c>
      <c r="W39" s="52"/>
      <c r="X39" s="414">
        <f>IFERROR(VLOOKUP($C39,'Proposed Rates'!$B:$J,X$11,FALSE),0)</f>
        <v>7.7999999999999996E-3</v>
      </c>
      <c r="Y39" s="419">
        <f t="shared" si="43"/>
        <v>239.70239999999998</v>
      </c>
      <c r="Z39" s="400">
        <f t="shared" si="44"/>
        <v>1.8696787199999998</v>
      </c>
      <c r="AA39" s="128"/>
      <c r="AB39" s="401">
        <f t="shared" si="13"/>
        <v>0</v>
      </c>
      <c r="AC39" s="402">
        <f t="shared" si="14"/>
        <v>0</v>
      </c>
      <c r="AD39" s="52"/>
      <c r="AE39" s="414">
        <f>IFERROR(VLOOKUP($C39,'Proposed Rates'!$B:$J,AE$11,FALSE),0)</f>
        <v>7.7999999999999996E-3</v>
      </c>
      <c r="AF39" s="419">
        <f t="shared" si="45"/>
        <v>239.70239999999998</v>
      </c>
      <c r="AG39" s="400">
        <f t="shared" si="46"/>
        <v>1.8696787199999998</v>
      </c>
      <c r="AH39" s="128"/>
      <c r="AI39" s="401">
        <f t="shared" si="17"/>
        <v>0</v>
      </c>
      <c r="AJ39" s="402">
        <f t="shared" si="18"/>
        <v>0</v>
      </c>
      <c r="AK39" s="403"/>
      <c r="AL39" s="414">
        <f>IFERROR(VLOOKUP($C39,'Proposed Rates'!$B:$J,AL$11,FALSE),0)</f>
        <v>7.7999999999999996E-3</v>
      </c>
      <c r="AM39" s="419">
        <f t="shared" si="47"/>
        <v>239.70239999999998</v>
      </c>
      <c r="AN39" s="400">
        <f t="shared" si="48"/>
        <v>1.8696787199999998</v>
      </c>
      <c r="AO39" s="128"/>
      <c r="AP39" s="401">
        <f t="shared" si="21"/>
        <v>0</v>
      </c>
      <c r="AQ39" s="402">
        <f t="shared" si="22"/>
        <v>0</v>
      </c>
    </row>
    <row r="40" spans="1:43" ht="12" customHeight="1">
      <c r="A40" s="52"/>
      <c r="B40" s="405" t="s">
        <v>314</v>
      </c>
      <c r="C40" s="427"/>
      <c r="D40" s="427"/>
      <c r="E40" s="410"/>
      <c r="F40" s="428"/>
      <c r="G40" s="429"/>
      <c r="H40" s="409">
        <f>SUM(H37:H39)</f>
        <v>40.690816591999997</v>
      </c>
      <c r="I40" s="52"/>
      <c r="J40" s="428"/>
      <c r="K40" s="429"/>
      <c r="L40" s="409">
        <f>SUM(L37:L39)</f>
        <v>47.040161056000009</v>
      </c>
      <c r="M40" s="410"/>
      <c r="N40" s="411">
        <f t="shared" si="5"/>
        <v>6.3493444640000121</v>
      </c>
      <c r="O40" s="412">
        <f t="shared" si="6"/>
        <v>0.15603875753253676</v>
      </c>
      <c r="P40" s="52"/>
      <c r="Q40" s="428"/>
      <c r="R40" s="429"/>
      <c r="S40" s="409">
        <f>SUM(S37:S39)</f>
        <v>50.726561056000008</v>
      </c>
      <c r="T40" s="410"/>
      <c r="U40" s="411">
        <f t="shared" si="9"/>
        <v>3.686399999999999</v>
      </c>
      <c r="V40" s="412">
        <f t="shared" si="10"/>
        <v>7.8367078624825323E-2</v>
      </c>
      <c r="W40" s="52"/>
      <c r="X40" s="428"/>
      <c r="Y40" s="429"/>
      <c r="Z40" s="409">
        <f>SUM(Z37:Z39)</f>
        <v>54.678958080000001</v>
      </c>
      <c r="AA40" s="410"/>
      <c r="AB40" s="411">
        <f t="shared" si="13"/>
        <v>3.9523970239999926</v>
      </c>
      <c r="AC40" s="412">
        <f t="shared" si="14"/>
        <v>7.791572978181413E-2</v>
      </c>
      <c r="AD40" s="52"/>
      <c r="AE40" s="428"/>
      <c r="AF40" s="429"/>
      <c r="AG40" s="409">
        <f>SUM(AG37:AG39)</f>
        <v>57.768958080000004</v>
      </c>
      <c r="AH40" s="410"/>
      <c r="AI40" s="411">
        <f t="shared" si="17"/>
        <v>3.0900000000000034</v>
      </c>
      <c r="AJ40" s="412">
        <f t="shared" si="18"/>
        <v>5.6511683991473806E-2</v>
      </c>
      <c r="AK40" s="413"/>
      <c r="AL40" s="428"/>
      <c r="AM40" s="429"/>
      <c r="AN40" s="409">
        <f>SUM(AN37:AN39)</f>
        <v>60.698958080000004</v>
      </c>
      <c r="AO40" s="410"/>
      <c r="AP40" s="411">
        <f t="shared" si="21"/>
        <v>2.9299999999999997</v>
      </c>
      <c r="AQ40" s="412">
        <f t="shared" si="22"/>
        <v>5.0719280689509011E-2</v>
      </c>
    </row>
    <row r="41" spans="1:43" ht="12" customHeight="1">
      <c r="A41" s="52"/>
      <c r="B41" s="320" t="s">
        <v>257</v>
      </c>
      <c r="C41" s="395" t="str">
        <f t="shared" ref="C41:C48" si="49">D$6&amp;"."&amp;B41</f>
        <v>Residential.Wholesale Market Service Charge (WMSC)</v>
      </c>
      <c r="D41" s="396" t="s">
        <v>308</v>
      </c>
      <c r="E41" s="128"/>
      <c r="F41" s="414">
        <f>IFERROR(VLOOKUP($C41,'Proposed Rates'!$B:$J,F$11,FALSE),0)</f>
        <v>4.4999999999999997E-3</v>
      </c>
      <c r="G41" s="419">
        <f t="shared" ref="G41:G42" si="50">$F$10*(1+F$63)</f>
        <v>239.8416</v>
      </c>
      <c r="H41" s="400">
        <f t="shared" ref="H41:H48" si="51">G41*F41</f>
        <v>1.0792872</v>
      </c>
      <c r="I41" s="52"/>
      <c r="J41" s="414">
        <f>IFERROR(VLOOKUP($C41,'Proposed Rates'!$B:$J,J$11,FALSE),0)</f>
        <v>4.4999999999999997E-3</v>
      </c>
      <c r="K41" s="419">
        <f t="shared" ref="K41:K42" si="52">$F$10*(1+J$63)</f>
        <v>239.70239999999998</v>
      </c>
      <c r="L41" s="400">
        <f t="shared" ref="L41:L48" si="53">K41*J41</f>
        <v>1.0786607999999998</v>
      </c>
      <c r="M41" s="128"/>
      <c r="N41" s="401">
        <f t="shared" si="5"/>
        <v>-6.2640000000024898E-4</v>
      </c>
      <c r="O41" s="402">
        <f t="shared" si="6"/>
        <v>-5.8038305281508853E-4</v>
      </c>
      <c r="P41" s="52"/>
      <c r="Q41" s="414">
        <f>IFERROR(VLOOKUP($C41,'Proposed Rates'!$B:$J,Q$11,FALSE),0)</f>
        <v>4.4999999999999997E-3</v>
      </c>
      <c r="R41" s="419">
        <f t="shared" ref="R41:R42" si="54">$F$10*(1+Q$63)</f>
        <v>239.70239999999998</v>
      </c>
      <c r="S41" s="400">
        <f t="shared" ref="S41:S48" si="55">R41*Q41</f>
        <v>1.0786607999999998</v>
      </c>
      <c r="T41" s="128"/>
      <c r="U41" s="401">
        <f t="shared" si="9"/>
        <v>0</v>
      </c>
      <c r="V41" s="402">
        <f t="shared" si="10"/>
        <v>0</v>
      </c>
      <c r="W41" s="52"/>
      <c r="X41" s="414">
        <f>IFERROR(VLOOKUP($C41,'Proposed Rates'!$B:$J,X$11,FALSE),0)</f>
        <v>4.4999999999999997E-3</v>
      </c>
      <c r="Y41" s="419">
        <f t="shared" ref="Y41:Y42" si="56">$F$10*(1+X$63)</f>
        <v>239.70239999999998</v>
      </c>
      <c r="Z41" s="400">
        <f t="shared" ref="Z41:Z48" si="57">Y41*X41</f>
        <v>1.0786607999999998</v>
      </c>
      <c r="AA41" s="128"/>
      <c r="AB41" s="401">
        <f t="shared" si="13"/>
        <v>0</v>
      </c>
      <c r="AC41" s="402">
        <f t="shared" si="14"/>
        <v>0</v>
      </c>
      <c r="AD41" s="52"/>
      <c r="AE41" s="414">
        <f>IFERROR(VLOOKUP($C41,'Proposed Rates'!$B:$J,AE$11,FALSE),0)</f>
        <v>4.4999999999999997E-3</v>
      </c>
      <c r="AF41" s="419">
        <f t="shared" ref="AF41:AF42" si="58">$F$10*(1+AE$63)</f>
        <v>239.70239999999998</v>
      </c>
      <c r="AG41" s="400">
        <f t="shared" ref="AG41:AG48" si="59">AF41*AE41</f>
        <v>1.0786607999999998</v>
      </c>
      <c r="AH41" s="128"/>
      <c r="AI41" s="401">
        <f t="shared" si="17"/>
        <v>0</v>
      </c>
      <c r="AJ41" s="402">
        <f t="shared" si="18"/>
        <v>0</v>
      </c>
      <c r="AK41" s="403"/>
      <c r="AL41" s="414">
        <f>IFERROR(VLOOKUP($C41,'Proposed Rates'!$B:$J,AL$11,FALSE),0)</f>
        <v>4.4999999999999997E-3</v>
      </c>
      <c r="AM41" s="419">
        <f t="shared" ref="AM41:AM42" si="60">$F$10*(1+AL$63)</f>
        <v>239.70239999999998</v>
      </c>
      <c r="AN41" s="400">
        <f t="shared" ref="AN41:AN48" si="61">AM41*AL41</f>
        <v>1.0786607999999998</v>
      </c>
      <c r="AO41" s="128"/>
      <c r="AP41" s="401">
        <f t="shared" si="21"/>
        <v>0</v>
      </c>
      <c r="AQ41" s="402">
        <f t="shared" si="22"/>
        <v>0</v>
      </c>
    </row>
    <row r="42" spans="1:43" ht="12" customHeight="1">
      <c r="A42" s="52"/>
      <c r="B42" s="320" t="s">
        <v>258</v>
      </c>
      <c r="C42" s="395" t="str">
        <f t="shared" si="49"/>
        <v>Residential.Rural and Remote Rate Protection (RRRP)</v>
      </c>
      <c r="D42" s="396" t="s">
        <v>308</v>
      </c>
      <c r="E42" s="128"/>
      <c r="F42" s="414">
        <f>IFERROR(VLOOKUP($C42,'Proposed Rates'!$B:$J,F$11,FALSE),0)</f>
        <v>1.5E-3</v>
      </c>
      <c r="G42" s="419">
        <f t="shared" si="50"/>
        <v>239.8416</v>
      </c>
      <c r="H42" s="400">
        <f t="shared" si="51"/>
        <v>0.35976239999999998</v>
      </c>
      <c r="I42" s="52"/>
      <c r="J42" s="414">
        <f>IFERROR(VLOOKUP($C42,'Proposed Rates'!$B:$J,J$11,FALSE),0)</f>
        <v>1.5E-3</v>
      </c>
      <c r="K42" s="419">
        <f t="shared" si="52"/>
        <v>239.70239999999998</v>
      </c>
      <c r="L42" s="400">
        <f t="shared" si="53"/>
        <v>0.35955359999999997</v>
      </c>
      <c r="M42" s="128"/>
      <c r="N42" s="401">
        <f t="shared" si="5"/>
        <v>-2.0880000000000898E-4</v>
      </c>
      <c r="O42" s="402">
        <f t="shared" si="6"/>
        <v>-5.8038305281488275E-4</v>
      </c>
      <c r="P42" s="52"/>
      <c r="Q42" s="414">
        <f>IFERROR(VLOOKUP($C42,'Proposed Rates'!$B:$J,Q$11,FALSE),0)</f>
        <v>1.5E-3</v>
      </c>
      <c r="R42" s="419">
        <f t="shared" si="54"/>
        <v>239.70239999999998</v>
      </c>
      <c r="S42" s="400">
        <f t="shared" si="55"/>
        <v>0.35955359999999997</v>
      </c>
      <c r="T42" s="128"/>
      <c r="U42" s="401">
        <f t="shared" si="9"/>
        <v>0</v>
      </c>
      <c r="V42" s="402">
        <f t="shared" si="10"/>
        <v>0</v>
      </c>
      <c r="W42" s="52"/>
      <c r="X42" s="414">
        <f>IFERROR(VLOOKUP($C42,'Proposed Rates'!$B:$J,X$11,FALSE),0)</f>
        <v>1.5E-3</v>
      </c>
      <c r="Y42" s="419">
        <f t="shared" si="56"/>
        <v>239.70239999999998</v>
      </c>
      <c r="Z42" s="400">
        <f t="shared" si="57"/>
        <v>0.35955359999999997</v>
      </c>
      <c r="AA42" s="128"/>
      <c r="AB42" s="401">
        <f t="shared" si="13"/>
        <v>0</v>
      </c>
      <c r="AC42" s="402">
        <f t="shared" si="14"/>
        <v>0</v>
      </c>
      <c r="AD42" s="52"/>
      <c r="AE42" s="414">
        <f>IFERROR(VLOOKUP($C42,'Proposed Rates'!$B:$J,AE$11,FALSE),0)</f>
        <v>1.5E-3</v>
      </c>
      <c r="AF42" s="419">
        <f t="shared" si="58"/>
        <v>239.70239999999998</v>
      </c>
      <c r="AG42" s="400">
        <f t="shared" si="59"/>
        <v>0.35955359999999997</v>
      </c>
      <c r="AH42" s="128"/>
      <c r="AI42" s="401">
        <f t="shared" si="17"/>
        <v>0</v>
      </c>
      <c r="AJ42" s="402">
        <f t="shared" si="18"/>
        <v>0</v>
      </c>
      <c r="AK42" s="403"/>
      <c r="AL42" s="414">
        <f>IFERROR(VLOOKUP($C42,'Proposed Rates'!$B:$J,AL$11,FALSE),0)</f>
        <v>1.5E-3</v>
      </c>
      <c r="AM42" s="419">
        <f t="shared" si="60"/>
        <v>239.70239999999998</v>
      </c>
      <c r="AN42" s="400">
        <f t="shared" si="61"/>
        <v>0.35955359999999997</v>
      </c>
      <c r="AO42" s="128"/>
      <c r="AP42" s="401">
        <f t="shared" si="21"/>
        <v>0</v>
      </c>
      <c r="AQ42" s="402">
        <f t="shared" si="22"/>
        <v>0</v>
      </c>
    </row>
    <row r="43" spans="1:43" ht="12" customHeight="1">
      <c r="A43" s="52"/>
      <c r="B43" s="320" t="s">
        <v>260</v>
      </c>
      <c r="C43" s="395" t="str">
        <f t="shared" si="49"/>
        <v>Residential.Standard Supply Service Charge</v>
      </c>
      <c r="D43" s="396" t="s">
        <v>306</v>
      </c>
      <c r="E43" s="128"/>
      <c r="F43" s="414">
        <f>IFERROR(VLOOKUP($C43,'Proposed Rates'!$B:$J,F$11,FALSE),0)</f>
        <v>0.25</v>
      </c>
      <c r="G43" s="415">
        <f>IF($D43="Monthly",1,IF($D43="per KWH",$F$10,0))</f>
        <v>1</v>
      </c>
      <c r="H43" s="400">
        <f t="shared" si="51"/>
        <v>0.25</v>
      </c>
      <c r="I43" s="52"/>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403"/>
      <c r="AL43" s="414">
        <f>IFERROR(VLOOKUP($C43,'Proposed Rates'!$B:$J,AL$11,FALSE),0)</f>
        <v>1.63</v>
      </c>
      <c r="AM43" s="415">
        <f>IF($D43="Monthly",1,IF($D43="per KWH",$F$10,0))</f>
        <v>1</v>
      </c>
      <c r="AN43" s="400">
        <f t="shared" si="61"/>
        <v>1.63</v>
      </c>
      <c r="AO43" s="128"/>
      <c r="AP43" s="401">
        <f t="shared" si="21"/>
        <v>2.9999999999999805E-2</v>
      </c>
      <c r="AQ43" s="402">
        <f t="shared" si="22"/>
        <v>1.8749999999999878E-2</v>
      </c>
    </row>
    <row r="44" spans="1:43" ht="12" customHeight="1">
      <c r="A44" s="52"/>
      <c r="B44" s="320" t="s">
        <v>262</v>
      </c>
      <c r="C44" s="395" t="str">
        <f t="shared" si="49"/>
        <v>Residential.TOU - Off Peak</v>
      </c>
      <c r="D44" s="396" t="s">
        <v>308</v>
      </c>
      <c r="E44" s="128"/>
      <c r="F44" s="430">
        <f>VLOOKUP($B44,'Proposed Rates'!$D$248:$J$254,+F$11-2,FALSE)</f>
        <v>9.8000000000000004E-2</v>
      </c>
      <c r="G44" s="421">
        <f>$F$10*'Proposed Rates'!$K$249</f>
        <v>148.47999999999999</v>
      </c>
      <c r="H44" s="400">
        <f t="shared" si="51"/>
        <v>14.55104</v>
      </c>
      <c r="I44" s="52"/>
      <c r="J44" s="430">
        <f>VLOOKUP($B44,'Proposed Rates'!$D$248:$J$254,+J$11-2,FALSE)</f>
        <v>9.8000000000000004E-2</v>
      </c>
      <c r="K44" s="421">
        <f>$F$10*'Proposed Rates'!$K$249</f>
        <v>148.47999999999999</v>
      </c>
      <c r="L44" s="400">
        <f t="shared" si="53"/>
        <v>14.55104</v>
      </c>
      <c r="M44" s="128"/>
      <c r="N44" s="401">
        <f t="shared" si="5"/>
        <v>0</v>
      </c>
      <c r="O44" s="402">
        <f t="shared" si="6"/>
        <v>0</v>
      </c>
      <c r="P44" s="52"/>
      <c r="Q44" s="430">
        <f>VLOOKUP($B44,'Proposed Rates'!$D$248:$J$254,+Q$11-2,FALSE)</f>
        <v>9.8000000000000004E-2</v>
      </c>
      <c r="R44" s="421">
        <f>$F$10*'Proposed Rates'!$K$249</f>
        <v>148.47999999999999</v>
      </c>
      <c r="S44" s="400">
        <f t="shared" si="55"/>
        <v>14.55104</v>
      </c>
      <c r="T44" s="128"/>
      <c r="U44" s="401">
        <f t="shared" si="9"/>
        <v>0</v>
      </c>
      <c r="V44" s="402">
        <f t="shared" si="10"/>
        <v>0</v>
      </c>
      <c r="W44" s="52"/>
      <c r="X44" s="430">
        <f>VLOOKUP($B44,'Proposed Rates'!$D$248:$J$254,+X$11-2,FALSE)</f>
        <v>9.8000000000000004E-2</v>
      </c>
      <c r="Y44" s="421">
        <f>$F$10*'Proposed Rates'!$K$249</f>
        <v>148.47999999999999</v>
      </c>
      <c r="Z44" s="400">
        <f t="shared" si="57"/>
        <v>14.55104</v>
      </c>
      <c r="AA44" s="128"/>
      <c r="AB44" s="401">
        <f t="shared" si="13"/>
        <v>0</v>
      </c>
      <c r="AC44" s="402">
        <f t="shared" si="14"/>
        <v>0</v>
      </c>
      <c r="AD44" s="52"/>
      <c r="AE44" s="430">
        <f>VLOOKUP($B44,'Proposed Rates'!$D$248:$J$254,+AE$11-2,FALSE)</f>
        <v>9.8000000000000004E-2</v>
      </c>
      <c r="AF44" s="421">
        <f>$F$10*'Proposed Rates'!$K$249</f>
        <v>148.47999999999999</v>
      </c>
      <c r="AG44" s="400">
        <f t="shared" si="59"/>
        <v>14.55104</v>
      </c>
      <c r="AH44" s="128"/>
      <c r="AI44" s="401">
        <f t="shared" si="17"/>
        <v>0</v>
      </c>
      <c r="AJ44" s="402">
        <f t="shared" si="18"/>
        <v>0</v>
      </c>
      <c r="AK44" s="403"/>
      <c r="AL44" s="430">
        <f>VLOOKUP($B44,'Proposed Rates'!$D$248:$J$254,+AL$11-2,FALSE)</f>
        <v>9.8000000000000004E-2</v>
      </c>
      <c r="AM44" s="421">
        <f>$F$10*'Proposed Rates'!$K$249</f>
        <v>148.47999999999999</v>
      </c>
      <c r="AN44" s="400">
        <f t="shared" si="61"/>
        <v>14.55104</v>
      </c>
      <c r="AO44" s="128"/>
      <c r="AP44" s="401">
        <f t="shared" si="21"/>
        <v>0</v>
      </c>
      <c r="AQ44" s="402">
        <f t="shared" si="22"/>
        <v>0</v>
      </c>
    </row>
    <row r="45" spans="1:43" ht="12" customHeight="1">
      <c r="A45" s="52"/>
      <c r="B45" s="320" t="s">
        <v>263</v>
      </c>
      <c r="C45" s="395" t="str">
        <f t="shared" si="49"/>
        <v>Residential.TOU - Mid Peak</v>
      </c>
      <c r="D45" s="396" t="s">
        <v>308</v>
      </c>
      <c r="E45" s="128"/>
      <c r="F45" s="430">
        <f>VLOOKUP($B45,'Proposed Rates'!$D$248:$J$254,+F$11-2,FALSE)</f>
        <v>0.157</v>
      </c>
      <c r="G45" s="421">
        <f>$F$10*'Proposed Rates'!$K$250</f>
        <v>41.76</v>
      </c>
      <c r="H45" s="400">
        <f t="shared" si="51"/>
        <v>6.5563199999999995</v>
      </c>
      <c r="I45" s="52"/>
      <c r="J45" s="430">
        <f>VLOOKUP($B45,'Proposed Rates'!$D$248:$J$254,+J$11-2,FALSE)</f>
        <v>0.157</v>
      </c>
      <c r="K45" s="421">
        <f>$F$10*'Proposed Rates'!$K$250</f>
        <v>41.76</v>
      </c>
      <c r="L45" s="400">
        <f t="shared" si="53"/>
        <v>6.5563199999999995</v>
      </c>
      <c r="M45" s="128"/>
      <c r="N45" s="401">
        <f t="shared" si="5"/>
        <v>0</v>
      </c>
      <c r="O45" s="402">
        <f t="shared" si="6"/>
        <v>0</v>
      </c>
      <c r="P45" s="52"/>
      <c r="Q45" s="430">
        <f>VLOOKUP($B45,'Proposed Rates'!$D$248:$J$254,+Q$11-2,FALSE)</f>
        <v>0.157</v>
      </c>
      <c r="R45" s="421">
        <f>$F$10*'Proposed Rates'!$K$250</f>
        <v>41.76</v>
      </c>
      <c r="S45" s="400">
        <f t="shared" si="55"/>
        <v>6.5563199999999995</v>
      </c>
      <c r="T45" s="128"/>
      <c r="U45" s="401">
        <f t="shared" si="9"/>
        <v>0</v>
      </c>
      <c r="V45" s="402">
        <f t="shared" si="10"/>
        <v>0</v>
      </c>
      <c r="W45" s="52"/>
      <c r="X45" s="430">
        <f>VLOOKUP($B45,'Proposed Rates'!$D$248:$J$254,+X$11-2,FALSE)</f>
        <v>0.157</v>
      </c>
      <c r="Y45" s="421">
        <f>$F$10*'Proposed Rates'!$K$250</f>
        <v>41.76</v>
      </c>
      <c r="Z45" s="400">
        <f t="shared" si="57"/>
        <v>6.5563199999999995</v>
      </c>
      <c r="AA45" s="128"/>
      <c r="AB45" s="401">
        <f t="shared" si="13"/>
        <v>0</v>
      </c>
      <c r="AC45" s="402">
        <f t="shared" si="14"/>
        <v>0</v>
      </c>
      <c r="AD45" s="52"/>
      <c r="AE45" s="430">
        <f>VLOOKUP($B45,'Proposed Rates'!$D$248:$J$254,+AE$11-2,FALSE)</f>
        <v>0.157</v>
      </c>
      <c r="AF45" s="421">
        <f>$F$10*'Proposed Rates'!$K$250</f>
        <v>41.76</v>
      </c>
      <c r="AG45" s="400">
        <f t="shared" si="59"/>
        <v>6.5563199999999995</v>
      </c>
      <c r="AH45" s="128"/>
      <c r="AI45" s="401">
        <f t="shared" si="17"/>
        <v>0</v>
      </c>
      <c r="AJ45" s="402">
        <f t="shared" si="18"/>
        <v>0</v>
      </c>
      <c r="AK45" s="403"/>
      <c r="AL45" s="430">
        <f>VLOOKUP($B45,'Proposed Rates'!$D$248:$J$254,+AL$11-2,FALSE)</f>
        <v>0.157</v>
      </c>
      <c r="AM45" s="421">
        <f>$F$10*'Proposed Rates'!$K$250</f>
        <v>41.76</v>
      </c>
      <c r="AN45" s="400">
        <f t="shared" si="61"/>
        <v>6.5563199999999995</v>
      </c>
      <c r="AO45" s="128"/>
      <c r="AP45" s="401">
        <f t="shared" si="21"/>
        <v>0</v>
      </c>
      <c r="AQ45" s="402">
        <f t="shared" si="22"/>
        <v>0</v>
      </c>
    </row>
    <row r="46" spans="1:43" ht="12" customHeight="1">
      <c r="A46" s="52"/>
      <c r="B46" s="52" t="s">
        <v>264</v>
      </c>
      <c r="C46" s="395" t="str">
        <f t="shared" si="49"/>
        <v>Residential.TOU - On Peak</v>
      </c>
      <c r="D46" s="396" t="s">
        <v>308</v>
      </c>
      <c r="E46" s="128"/>
      <c r="F46" s="430">
        <f>VLOOKUP($B46,'Proposed Rates'!$D$248:$J$254,+F$11-2,FALSE)</f>
        <v>0.20300000000000001</v>
      </c>
      <c r="G46" s="421">
        <f>$F$10*'Proposed Rates'!$K$251</f>
        <v>41.76</v>
      </c>
      <c r="H46" s="400">
        <f t="shared" si="51"/>
        <v>8.4772800000000004</v>
      </c>
      <c r="I46" s="52"/>
      <c r="J46" s="430">
        <f>VLOOKUP($B46,'Proposed Rates'!$D$248:$J$254,+J$11-2,FALSE)</f>
        <v>0.20300000000000001</v>
      </c>
      <c r="K46" s="421">
        <f>$F$10*'Proposed Rates'!$K$251</f>
        <v>41.76</v>
      </c>
      <c r="L46" s="400">
        <f t="shared" si="53"/>
        <v>8.4772800000000004</v>
      </c>
      <c r="M46" s="128"/>
      <c r="N46" s="401">
        <f t="shared" si="5"/>
        <v>0</v>
      </c>
      <c r="O46" s="402">
        <f t="shared" si="6"/>
        <v>0</v>
      </c>
      <c r="P46" s="52"/>
      <c r="Q46" s="430">
        <f>VLOOKUP($B46,'Proposed Rates'!$D$248:$J$254,+Q$11-2,FALSE)</f>
        <v>0.20300000000000001</v>
      </c>
      <c r="R46" s="421">
        <f>$F$10*'Proposed Rates'!$K$251</f>
        <v>41.76</v>
      </c>
      <c r="S46" s="400">
        <f t="shared" si="55"/>
        <v>8.4772800000000004</v>
      </c>
      <c r="T46" s="128"/>
      <c r="U46" s="401">
        <f t="shared" si="9"/>
        <v>0</v>
      </c>
      <c r="V46" s="402">
        <f t="shared" si="10"/>
        <v>0</v>
      </c>
      <c r="W46" s="52"/>
      <c r="X46" s="430">
        <f>VLOOKUP($B46,'Proposed Rates'!$D$248:$J$254,+X$11-2,FALSE)</f>
        <v>0.20300000000000001</v>
      </c>
      <c r="Y46" s="421">
        <f>$F$10*'Proposed Rates'!$K$251</f>
        <v>41.76</v>
      </c>
      <c r="Z46" s="400">
        <f t="shared" si="57"/>
        <v>8.4772800000000004</v>
      </c>
      <c r="AA46" s="128"/>
      <c r="AB46" s="401">
        <f t="shared" si="13"/>
        <v>0</v>
      </c>
      <c r="AC46" s="402">
        <f t="shared" si="14"/>
        <v>0</v>
      </c>
      <c r="AD46" s="52"/>
      <c r="AE46" s="430">
        <f>VLOOKUP($B46,'Proposed Rates'!$D$248:$J$254,+AE$11-2,FALSE)</f>
        <v>0.20300000000000001</v>
      </c>
      <c r="AF46" s="421">
        <f>$F$10*'Proposed Rates'!$K$251</f>
        <v>41.76</v>
      </c>
      <c r="AG46" s="400">
        <f t="shared" si="59"/>
        <v>8.4772800000000004</v>
      </c>
      <c r="AH46" s="128"/>
      <c r="AI46" s="401">
        <f t="shared" si="17"/>
        <v>0</v>
      </c>
      <c r="AJ46" s="402">
        <f t="shared" si="18"/>
        <v>0</v>
      </c>
      <c r="AK46" s="403"/>
      <c r="AL46" s="430">
        <f>VLOOKUP($B46,'Proposed Rates'!$D$248:$J$254,+AL$11-2,FALSE)</f>
        <v>0.20300000000000001</v>
      </c>
      <c r="AM46" s="421">
        <f>$F$10*'Proposed Rates'!$K$251</f>
        <v>41.76</v>
      </c>
      <c r="AN46" s="400">
        <f t="shared" si="61"/>
        <v>8.4772800000000004</v>
      </c>
      <c r="AO46" s="128"/>
      <c r="AP46" s="401">
        <f t="shared" si="21"/>
        <v>0</v>
      </c>
      <c r="AQ46" s="402">
        <f t="shared" si="22"/>
        <v>0</v>
      </c>
    </row>
    <row r="47" spans="1:43" ht="12" customHeight="1">
      <c r="A47" s="52"/>
      <c r="B47" s="320" t="s">
        <v>265</v>
      </c>
      <c r="C47" s="395" t="str">
        <f t="shared" si="49"/>
        <v>Residential.Energy - RPP - Tier 1</v>
      </c>
      <c r="D47" s="396" t="s">
        <v>308</v>
      </c>
      <c r="E47" s="128"/>
      <c r="F47" s="430">
        <f>VLOOKUP($B47,'Proposed Rates'!$D$248:$J$254,+F$11-2,FALSE)</f>
        <v>0.12</v>
      </c>
      <c r="G47" s="431">
        <f>IF(AND($S$2=1, $F$10&gt;=600), 600, IF(AND($S$2=1, AND($F$10&lt;600, $F$10&gt;=0)), $F$10, IF(AND($S$2=2, $F$10&gt;=1000), 1000, IF(AND($S$2=2, AND($F$10&lt;1000, $F$10&gt;=0)), $F$10))))</f>
        <v>232</v>
      </c>
      <c r="H47" s="400">
        <f t="shared" si="51"/>
        <v>27.84</v>
      </c>
      <c r="I47" s="52"/>
      <c r="J47" s="430">
        <f>VLOOKUP($B47,'Proposed Rates'!$D$248:$J$254,+J$11-2,FALSE)</f>
        <v>0.12</v>
      </c>
      <c r="K47" s="431">
        <f>IF(AND($S$2=1, $F$10&gt;=600), 600, IF(AND($S$2=1, AND($F$10&lt;600, $F$10&gt;=0)), $F$10, IF(AND($S$2=2, $F$10&gt;=1000), 1000, IF(AND($S$2=2, AND($F$10&lt;1000, $F$10&gt;=0)), $F$10))))</f>
        <v>232</v>
      </c>
      <c r="L47" s="400">
        <f t="shared" si="53"/>
        <v>27.84</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232</v>
      </c>
      <c r="S47" s="400">
        <f t="shared" si="55"/>
        <v>27.84</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232</v>
      </c>
      <c r="Z47" s="400">
        <f t="shared" si="57"/>
        <v>27.84</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232</v>
      </c>
      <c r="AG47" s="400">
        <f t="shared" si="59"/>
        <v>27.84</v>
      </c>
      <c r="AH47" s="128"/>
      <c r="AI47" s="401">
        <f t="shared" si="17"/>
        <v>0</v>
      </c>
      <c r="AJ47" s="402">
        <f t="shared" si="18"/>
        <v>0</v>
      </c>
      <c r="AK47" s="403"/>
      <c r="AL47" s="430">
        <f>VLOOKUP($B47,'Proposed Rates'!$D$248:$J$254,+AL$11-2,FALSE)</f>
        <v>0.12</v>
      </c>
      <c r="AM47" s="431">
        <f>IF(AND($S$2=1, $F$10&gt;=600), 600, IF(AND($S$2=1, AND($F$10&lt;600, $F$10&gt;=0)), $F$10, IF(AND($S$2=2, $F$10&gt;=1000), 1000, IF(AND($S$2=2, AND($F$10&lt;1000, $F$10&gt;=0)), $F$10))))</f>
        <v>232</v>
      </c>
      <c r="AN47" s="400">
        <f t="shared" si="61"/>
        <v>27.84</v>
      </c>
      <c r="AO47" s="128"/>
      <c r="AP47" s="401">
        <f t="shared" si="21"/>
        <v>0</v>
      </c>
      <c r="AQ47" s="402">
        <f t="shared" si="22"/>
        <v>0</v>
      </c>
    </row>
    <row r="48" spans="1:43" ht="12" customHeight="1">
      <c r="A48" s="52"/>
      <c r="B48" s="320" t="s">
        <v>266</v>
      </c>
      <c r="C48" s="395" t="str">
        <f t="shared" si="49"/>
        <v>Residential.Energy - RPP - Tier 2</v>
      </c>
      <c r="D48" s="396" t="s">
        <v>308</v>
      </c>
      <c r="E48" s="128"/>
      <c r="F48" s="430">
        <f>VLOOKUP($B48,'Proposed Rates'!$D$248:$J$254,+F$11-2,FALSE)</f>
        <v>0.14199999999999999</v>
      </c>
      <c r="G48" s="433">
        <f>IF(AND($S$2=1, $F$10&gt;=600), $F$10-600, IF(AND($S$2=1, AND($F$10&lt;600, $F$10&gt;=0)), 0, IF(AND($S$2=2, $F$10&gt;=1000), $F$10-1000, IF(AND($S$2=2, AND($F$10&lt;1000, $F$10&gt;=0)), 0))))</f>
        <v>0</v>
      </c>
      <c r="H48" s="400">
        <f t="shared" si="51"/>
        <v>0</v>
      </c>
      <c r="I48" s="52"/>
      <c r="J48" s="430">
        <f>VLOOKUP($B48,'Proposed Rates'!$D$248:$J$254,+J$11-2,FALSE)</f>
        <v>0.14199999999999999</v>
      </c>
      <c r="K48" s="433">
        <f>IF(AND($S$2=1, $F$10&gt;=600), $F$10-600, IF(AND($S$2=1, AND($F$10&lt;600, $F$10&gt;=0)), 0, IF(AND($S$2=2, $F$10&gt;=1000), $F$10-1000, IF(AND($S$2=2, AND($F$10&lt;1000, $F$10&gt;=0)), 0))))</f>
        <v>0</v>
      </c>
      <c r="L48" s="400">
        <f t="shared" si="53"/>
        <v>0</v>
      </c>
      <c r="M48" s="128"/>
      <c r="N48" s="401">
        <f t="shared" si="5"/>
        <v>0</v>
      </c>
      <c r="O48" s="402" t="str">
        <f t="shared" si="6"/>
        <v/>
      </c>
      <c r="P48" s="52"/>
      <c r="Q48" s="430">
        <f>VLOOKUP($B48,'Proposed Rates'!$D$248:$J$254,+Q$11-2,FALSE)</f>
        <v>0.14199999999999999</v>
      </c>
      <c r="R48" s="433">
        <f>IF(AND($S$2=1, $F$10&gt;=600), $F$10-600, IF(AND($S$2=1, AND($F$10&lt;600, $F$10&gt;=0)), 0, IF(AND($S$2=2, $F$10&gt;=1000), $F$10-1000, IF(AND($S$2=2, AND($F$10&lt;1000, $F$10&gt;=0)), 0))))</f>
        <v>0</v>
      </c>
      <c r="S48" s="400">
        <f t="shared" si="55"/>
        <v>0</v>
      </c>
      <c r="T48" s="128"/>
      <c r="U48" s="401">
        <f t="shared" si="9"/>
        <v>0</v>
      </c>
      <c r="V48" s="402" t="str">
        <f t="shared" si="10"/>
        <v/>
      </c>
      <c r="W48" s="52"/>
      <c r="X48" s="430">
        <f>VLOOKUP($B48,'Proposed Rates'!$D$248:$J$254,+X$11-2,FALSE)</f>
        <v>0.14199999999999999</v>
      </c>
      <c r="Y48" s="433">
        <f>IF(AND($S$2=1, $F$10&gt;=600), $F$10-600, IF(AND($S$2=1, AND($F$10&lt;600, $F$10&gt;=0)), 0, IF(AND($S$2=2, $F$10&gt;=1000), $F$10-1000, IF(AND($S$2=2, AND($F$10&lt;1000, $F$10&gt;=0)), 0))))</f>
        <v>0</v>
      </c>
      <c r="Z48" s="400">
        <f t="shared" si="57"/>
        <v>0</v>
      </c>
      <c r="AA48" s="128"/>
      <c r="AB48" s="401">
        <f t="shared" si="13"/>
        <v>0</v>
      </c>
      <c r="AC48" s="402" t="str">
        <f t="shared" si="14"/>
        <v/>
      </c>
      <c r="AD48" s="52"/>
      <c r="AE48" s="430">
        <f>VLOOKUP($B48,'Proposed Rates'!$D$248:$J$254,+AE$11-2,FALSE)</f>
        <v>0.14199999999999999</v>
      </c>
      <c r="AF48" s="433">
        <f>IF(AND($S$2=1, $F$10&gt;=600), $F$10-600, IF(AND($S$2=1, AND($F$10&lt;600, $F$10&gt;=0)), 0, IF(AND($S$2=2, $F$10&gt;=1000), $F$10-1000, IF(AND($S$2=2, AND($F$10&lt;1000, $F$10&gt;=0)), 0))))</f>
        <v>0</v>
      </c>
      <c r="AG48" s="400">
        <f t="shared" si="59"/>
        <v>0</v>
      </c>
      <c r="AH48" s="128"/>
      <c r="AI48" s="401">
        <f t="shared" si="17"/>
        <v>0</v>
      </c>
      <c r="AJ48" s="402" t="str">
        <f t="shared" si="18"/>
        <v/>
      </c>
      <c r="AK48" s="403"/>
      <c r="AL48" s="430">
        <f>VLOOKUP($B48,'Proposed Rates'!$D$248:$J$254,+AL$11-2,FALSE)</f>
        <v>0.14199999999999999</v>
      </c>
      <c r="AM48" s="433">
        <f>IF(AND($S$2=1, $F$10&gt;=600), $F$10-600, IF(AND($S$2=1, AND($F$10&lt;600, $F$10&gt;=0)), 0, IF(AND($S$2=2, $F$10&gt;=1000), $F$10-1000, IF(AND($S$2=2, AND($F$10&lt;1000, $F$10&gt;=0)), 0))))</f>
        <v>0</v>
      </c>
      <c r="AN48" s="400">
        <f t="shared" si="61"/>
        <v>0</v>
      </c>
      <c r="AO48" s="128"/>
      <c r="AP48" s="401">
        <f t="shared" si="21"/>
        <v>0</v>
      </c>
      <c r="AQ48" s="402" t="str">
        <f t="shared" si="22"/>
        <v/>
      </c>
    </row>
    <row r="49" spans="1:43" ht="12" customHeight="1">
      <c r="A49" s="52"/>
      <c r="B49" s="434"/>
      <c r="C49" s="435"/>
      <c r="D49" s="435"/>
      <c r="E49" s="440"/>
      <c r="F49" s="436"/>
      <c r="G49" s="437"/>
      <c r="H49" s="438"/>
      <c r="I49" s="52"/>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443"/>
      <c r="AL49" s="436"/>
      <c r="AM49" s="437"/>
      <c r="AN49" s="438"/>
      <c r="AO49" s="440"/>
      <c r="AP49" s="441"/>
      <c r="AQ49" s="442"/>
    </row>
    <row r="50" spans="1:43" ht="12" customHeight="1">
      <c r="A50" s="52"/>
      <c r="B50" s="444" t="s">
        <v>315</v>
      </c>
      <c r="C50" s="320"/>
      <c r="D50" s="320"/>
      <c r="E50" s="482"/>
      <c r="F50" s="445"/>
      <c r="G50" s="446"/>
      <c r="H50" s="447">
        <f>SUM(H41:H46,H40)</f>
        <v>71.964506192000002</v>
      </c>
      <c r="I50" s="52"/>
      <c r="J50" s="446"/>
      <c r="K50" s="446"/>
      <c r="L50" s="448">
        <f>SUM(L41:L46,L40)</f>
        <v>79.573015456000007</v>
      </c>
      <c r="M50" s="449"/>
      <c r="N50" s="448">
        <f t="shared" ref="N50:N54" si="62">L50-H50</f>
        <v>7.6085092640000056</v>
      </c>
      <c r="O50" s="450">
        <f t="shared" ref="O50:O54" si="63">IF((H50)=0,"",(N50/H50))</f>
        <v>0.1057258594077008</v>
      </c>
      <c r="P50" s="52"/>
      <c r="Q50" s="446"/>
      <c r="R50" s="446"/>
      <c r="S50" s="448">
        <f>SUM(S41:S46,S40)</f>
        <v>83.289415456</v>
      </c>
      <c r="T50" s="449"/>
      <c r="U50" s="448">
        <f t="shared" ref="U50:U54" si="64">S50-L50</f>
        <v>3.716399999999993</v>
      </c>
      <c r="V50" s="450">
        <f t="shared" ref="V50:V54" si="65">IF((L50)=0,"",(U50/L50))</f>
        <v>4.6704275044785512E-2</v>
      </c>
      <c r="W50" s="52"/>
      <c r="X50" s="446"/>
      <c r="Y50" s="446"/>
      <c r="Z50" s="448">
        <f>SUM(Z41:Z46,Z40)</f>
        <v>87.271812479999994</v>
      </c>
      <c r="AA50" s="449"/>
      <c r="AB50" s="448">
        <f t="shared" ref="AB50:AB54" si="66">Z50-S50</f>
        <v>3.9823970239999937</v>
      </c>
      <c r="AC50" s="450">
        <f t="shared" ref="AC50:AC54" si="67">IF((S50)=0,"",(AB50/S50))</f>
        <v>4.7813962941111142E-2</v>
      </c>
      <c r="AD50" s="52"/>
      <c r="AE50" s="446"/>
      <c r="AF50" s="446"/>
      <c r="AG50" s="448">
        <f>SUM(AG41:AG46,AG40)</f>
        <v>90.391812479999999</v>
      </c>
      <c r="AH50" s="449"/>
      <c r="AI50" s="448">
        <f t="shared" ref="AI50:AI54" si="68">AG50-Z50</f>
        <v>3.1200000000000045</v>
      </c>
      <c r="AJ50" s="450">
        <f t="shared" ref="AJ50:AJ54" si="69">IF((Z50)=0,"",(AI50/Z50))</f>
        <v>3.5750374735428032E-2</v>
      </c>
      <c r="AK50" s="451"/>
      <c r="AL50" s="446"/>
      <c r="AM50" s="446"/>
      <c r="AN50" s="448">
        <f>SUM(AN41:AN46,AN40)</f>
        <v>93.351812480000007</v>
      </c>
      <c r="AO50" s="449"/>
      <c r="AP50" s="448">
        <f t="shared" ref="AP50:AP54" si="70">AN50-AG50</f>
        <v>2.960000000000008</v>
      </c>
      <c r="AQ50" s="450">
        <f t="shared" ref="AQ50:AQ54" si="71">IF((AG50)=0,"",(AP50/AG50))</f>
        <v>3.2746328663947687E-2</v>
      </c>
    </row>
    <row r="51" spans="1:43" ht="12" customHeight="1">
      <c r="A51" s="52"/>
      <c r="B51" s="452" t="s">
        <v>316</v>
      </c>
      <c r="C51" s="320"/>
      <c r="D51" s="320"/>
      <c r="E51" s="417"/>
      <c r="F51" s="445">
        <v>0.13</v>
      </c>
      <c r="G51" s="417"/>
      <c r="H51" s="400">
        <f>H50*F51</f>
        <v>9.3553858049600009</v>
      </c>
      <c r="I51" s="52"/>
      <c r="J51" s="453">
        <v>0.13</v>
      </c>
      <c r="K51" s="417"/>
      <c r="L51" s="400">
        <f>L50*J51</f>
        <v>10.344492009280001</v>
      </c>
      <c r="M51" s="128"/>
      <c r="N51" s="401">
        <f t="shared" si="62"/>
        <v>0.98910620432000051</v>
      </c>
      <c r="O51" s="402">
        <f t="shared" si="63"/>
        <v>0.10572585940770077</v>
      </c>
      <c r="P51" s="52"/>
      <c r="Q51" s="453">
        <v>0.13</v>
      </c>
      <c r="R51" s="417"/>
      <c r="S51" s="400">
        <f>S50*Q51</f>
        <v>10.827624009280001</v>
      </c>
      <c r="T51" s="128"/>
      <c r="U51" s="401">
        <f t="shared" si="64"/>
        <v>0.48313199999999945</v>
      </c>
      <c r="V51" s="402">
        <f t="shared" si="65"/>
        <v>4.6704275044785547E-2</v>
      </c>
      <c r="W51" s="52"/>
      <c r="X51" s="453">
        <v>0.13</v>
      </c>
      <c r="Y51" s="417"/>
      <c r="Z51" s="400">
        <f>Z50*X51</f>
        <v>11.3453356224</v>
      </c>
      <c r="AA51" s="128"/>
      <c r="AB51" s="401">
        <f t="shared" si="66"/>
        <v>0.51771161311999947</v>
      </c>
      <c r="AC51" s="402">
        <f t="shared" si="67"/>
        <v>4.781396294111117E-2</v>
      </c>
      <c r="AD51" s="52"/>
      <c r="AE51" s="453">
        <v>0.13</v>
      </c>
      <c r="AF51" s="417"/>
      <c r="AG51" s="400">
        <f>AG50*AE51</f>
        <v>11.7509356224</v>
      </c>
      <c r="AH51" s="128"/>
      <c r="AI51" s="401">
        <f t="shared" si="68"/>
        <v>0.40559999999999974</v>
      </c>
      <c r="AJ51" s="402">
        <f t="shared" si="69"/>
        <v>3.5750374735427949E-2</v>
      </c>
      <c r="AK51" s="403"/>
      <c r="AL51" s="453">
        <v>0.13</v>
      </c>
      <c r="AM51" s="417"/>
      <c r="AN51" s="400">
        <f>AN50*AL51</f>
        <v>12.135735622400002</v>
      </c>
      <c r="AO51" s="128"/>
      <c r="AP51" s="401">
        <f t="shared" si="70"/>
        <v>0.38480000000000203</v>
      </c>
      <c r="AQ51" s="402">
        <f t="shared" si="71"/>
        <v>3.274632866394777E-2</v>
      </c>
    </row>
    <row r="52" spans="1:43" ht="12" customHeight="1">
      <c r="A52" s="52"/>
      <c r="B52" s="454" t="s">
        <v>335</v>
      </c>
      <c r="C52" s="320"/>
      <c r="D52" s="320"/>
      <c r="E52" s="417"/>
      <c r="F52" s="455"/>
      <c r="G52" s="417"/>
      <c r="H52" s="400">
        <f>H50+H51</f>
        <v>81.319891996959996</v>
      </c>
      <c r="I52" s="52"/>
      <c r="J52" s="417"/>
      <c r="K52" s="417"/>
      <c r="L52" s="400">
        <f>L50+L51</f>
        <v>89.917507465280011</v>
      </c>
      <c r="M52" s="128"/>
      <c r="N52" s="401">
        <f t="shared" si="62"/>
        <v>8.597615468320015</v>
      </c>
      <c r="O52" s="402">
        <f t="shared" si="63"/>
        <v>0.10572585940770091</v>
      </c>
      <c r="P52" s="52"/>
      <c r="Q52" s="417"/>
      <c r="R52" s="417"/>
      <c r="S52" s="400">
        <f>S50+S51</f>
        <v>94.117039465280001</v>
      </c>
      <c r="T52" s="128"/>
      <c r="U52" s="401">
        <f t="shared" si="64"/>
        <v>4.1995319999999907</v>
      </c>
      <c r="V52" s="402">
        <f t="shared" si="65"/>
        <v>4.6704275044785498E-2</v>
      </c>
      <c r="W52" s="52"/>
      <c r="X52" s="417"/>
      <c r="Y52" s="417"/>
      <c r="Z52" s="400">
        <f>Z50+Z51</f>
        <v>98.617148102399995</v>
      </c>
      <c r="AA52" s="128"/>
      <c r="AB52" s="401">
        <f t="shared" si="66"/>
        <v>4.5001086371199932</v>
      </c>
      <c r="AC52" s="402">
        <f t="shared" si="67"/>
        <v>4.7813962941111149E-2</v>
      </c>
      <c r="AD52" s="52"/>
      <c r="AE52" s="417"/>
      <c r="AF52" s="417"/>
      <c r="AG52" s="400">
        <f>AG50+AG51</f>
        <v>102.14274810239999</v>
      </c>
      <c r="AH52" s="128"/>
      <c r="AI52" s="401">
        <f t="shared" si="68"/>
        <v>3.5255999999999972</v>
      </c>
      <c r="AJ52" s="402">
        <f t="shared" si="69"/>
        <v>3.5750374735427949E-2</v>
      </c>
      <c r="AK52" s="403"/>
      <c r="AL52" s="417"/>
      <c r="AM52" s="417"/>
      <c r="AN52" s="400">
        <f>AN50+AN51</f>
        <v>105.48754810240001</v>
      </c>
      <c r="AO52" s="128"/>
      <c r="AP52" s="401">
        <f t="shared" si="70"/>
        <v>3.3448000000000206</v>
      </c>
      <c r="AQ52" s="402">
        <f t="shared" si="71"/>
        <v>3.2746328663947798E-2</v>
      </c>
    </row>
    <row r="53" spans="1:43" ht="12" customHeight="1">
      <c r="A53" s="52"/>
      <c r="B53" s="628" t="s">
        <v>273</v>
      </c>
      <c r="C53" s="615"/>
      <c r="D53" s="615"/>
      <c r="E53" s="417"/>
      <c r="F53" s="456">
        <f>'Proposed Rates'!E286</f>
        <v>0.23499999999999999</v>
      </c>
      <c r="G53" s="417"/>
      <c r="H53" s="457">
        <f>F53*H50</f>
        <v>16.91165895512</v>
      </c>
      <c r="I53" s="52"/>
      <c r="J53" s="458">
        <f>'Proposed Rates'!F286</f>
        <v>0.23499999999999999</v>
      </c>
      <c r="K53" s="417"/>
      <c r="L53" s="457">
        <f>J53*L50</f>
        <v>18.699658632160002</v>
      </c>
      <c r="M53" s="128"/>
      <c r="N53" s="457">
        <f t="shared" si="62"/>
        <v>1.787999677040002</v>
      </c>
      <c r="O53" s="459">
        <f t="shared" si="63"/>
        <v>0.10572585940770084</v>
      </c>
      <c r="P53" s="52"/>
      <c r="Q53" s="458">
        <f>'Proposed Rates'!G286</f>
        <v>0.23499999999999999</v>
      </c>
      <c r="R53" s="417"/>
      <c r="S53" s="457">
        <f>Q53*S50</f>
        <v>19.573012632159998</v>
      </c>
      <c r="T53" s="128"/>
      <c r="U53" s="457">
        <f t="shared" si="64"/>
        <v>0.87335399999999552</v>
      </c>
      <c r="V53" s="459">
        <f t="shared" si="65"/>
        <v>4.6704275044785359E-2</v>
      </c>
      <c r="W53" s="52"/>
      <c r="X53" s="458">
        <f>'Proposed Rates'!H286</f>
        <v>0.23499999999999999</v>
      </c>
      <c r="Y53" s="417"/>
      <c r="Z53" s="457">
        <f>X53*Z50</f>
        <v>20.508875932799999</v>
      </c>
      <c r="AA53" s="128"/>
      <c r="AB53" s="457">
        <f t="shared" si="66"/>
        <v>0.93586330064000123</v>
      </c>
      <c r="AC53" s="459">
        <f t="shared" si="67"/>
        <v>4.7813962941111288E-2</v>
      </c>
      <c r="AD53" s="52"/>
      <c r="AE53" s="458">
        <f>'Proposed Rates'!I286</f>
        <v>0.23499999999999999</v>
      </c>
      <c r="AF53" s="417"/>
      <c r="AG53" s="457">
        <f>AE53*AG50</f>
        <v>21.242075932799999</v>
      </c>
      <c r="AH53" s="128"/>
      <c r="AI53" s="457">
        <f t="shared" si="68"/>
        <v>0.73320000000000007</v>
      </c>
      <c r="AJ53" s="459">
        <f t="shared" si="69"/>
        <v>3.5750374735427984E-2</v>
      </c>
      <c r="AK53" s="460"/>
      <c r="AL53" s="458">
        <f>'Proposed Rates'!J286</f>
        <v>0.23499999999999999</v>
      </c>
      <c r="AM53" s="417"/>
      <c r="AN53" s="457">
        <f>AL53*AN50</f>
        <v>21.937675932800001</v>
      </c>
      <c r="AO53" s="128"/>
      <c r="AP53" s="457">
        <f t="shared" si="70"/>
        <v>0.69560000000000244</v>
      </c>
      <c r="AQ53" s="459">
        <f t="shared" si="71"/>
        <v>3.2746328663947714E-2</v>
      </c>
    </row>
    <row r="54" spans="1:43" ht="12" customHeight="1">
      <c r="A54" s="52"/>
      <c r="B54" s="627" t="s">
        <v>318</v>
      </c>
      <c r="C54" s="613"/>
      <c r="D54" s="613"/>
      <c r="E54" s="463"/>
      <c r="F54" s="462"/>
      <c r="G54" s="463"/>
      <c r="H54" s="464">
        <f>H52-H53</f>
        <v>64.408233041839992</v>
      </c>
      <c r="I54" s="52"/>
      <c r="J54" s="463"/>
      <c r="K54" s="463"/>
      <c r="L54" s="464">
        <f>L52-L53</f>
        <v>71.217848833120001</v>
      </c>
      <c r="M54" s="465"/>
      <c r="N54" s="466">
        <f t="shared" si="62"/>
        <v>6.8096157912800095</v>
      </c>
      <c r="O54" s="467">
        <f t="shared" si="63"/>
        <v>0.10572585940770088</v>
      </c>
      <c r="P54" s="52"/>
      <c r="Q54" s="463"/>
      <c r="R54" s="463"/>
      <c r="S54" s="464">
        <f>S52-S53</f>
        <v>74.54402683312</v>
      </c>
      <c r="T54" s="465"/>
      <c r="U54" s="466">
        <f t="shared" si="64"/>
        <v>3.3261779999999987</v>
      </c>
      <c r="V54" s="467">
        <f t="shared" si="65"/>
        <v>4.6704275044785588E-2</v>
      </c>
      <c r="W54" s="52"/>
      <c r="X54" s="463"/>
      <c r="Y54" s="463"/>
      <c r="Z54" s="464">
        <f>Z52-Z53</f>
        <v>78.108272169599999</v>
      </c>
      <c r="AA54" s="465"/>
      <c r="AB54" s="466">
        <f t="shared" si="66"/>
        <v>3.5642453364799991</v>
      </c>
      <c r="AC54" s="467">
        <f t="shared" si="67"/>
        <v>4.7813962941111204E-2</v>
      </c>
      <c r="AD54" s="52"/>
      <c r="AE54" s="463"/>
      <c r="AF54" s="463"/>
      <c r="AG54" s="464">
        <f>AG52-AG53</f>
        <v>80.9006721696</v>
      </c>
      <c r="AH54" s="465"/>
      <c r="AI54" s="466">
        <f t="shared" si="68"/>
        <v>2.7924000000000007</v>
      </c>
      <c r="AJ54" s="467">
        <f t="shared" si="69"/>
        <v>3.5750374735427984E-2</v>
      </c>
      <c r="AK54" s="468"/>
      <c r="AL54" s="463"/>
      <c r="AM54" s="463"/>
      <c r="AN54" s="464">
        <f>AN52-AN53</f>
        <v>83.549872169600008</v>
      </c>
      <c r="AO54" s="465"/>
      <c r="AP54" s="466">
        <f t="shared" si="70"/>
        <v>2.6492000000000075</v>
      </c>
      <c r="AQ54" s="467">
        <f t="shared" si="71"/>
        <v>3.2746328663947687E-2</v>
      </c>
    </row>
    <row r="55" spans="1:43" ht="12" customHeight="1">
      <c r="A55" s="52"/>
      <c r="B55" s="434"/>
      <c r="C55" s="435"/>
      <c r="D55" s="435"/>
      <c r="E55" s="440"/>
      <c r="F55" s="436"/>
      <c r="G55" s="437"/>
      <c r="H55" s="438"/>
      <c r="I55" s="52"/>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443"/>
      <c r="AL55" s="436"/>
      <c r="AM55" s="437"/>
      <c r="AN55" s="438"/>
      <c r="AO55" s="440"/>
      <c r="AP55" s="441"/>
      <c r="AQ55" s="442"/>
    </row>
    <row r="56" spans="1:43" ht="12" customHeight="1">
      <c r="A56" s="52"/>
      <c r="B56" s="444" t="s">
        <v>319</v>
      </c>
      <c r="C56" s="320"/>
      <c r="D56" s="320"/>
      <c r="E56" s="482"/>
      <c r="F56" s="445"/>
      <c r="G56" s="446"/>
      <c r="H56" s="447">
        <f>SUM(H47:H48,H40,H41:H43)</f>
        <v>70.219866191999984</v>
      </c>
      <c r="I56" s="52"/>
      <c r="J56" s="446"/>
      <c r="K56" s="446"/>
      <c r="L56" s="448">
        <f>SUM(L47:L48,L40,L41:L43)</f>
        <v>77.828375456000003</v>
      </c>
      <c r="M56" s="449"/>
      <c r="N56" s="448">
        <f t="shared" ref="N56:N60" si="72">L56-H56</f>
        <v>7.6085092640000198</v>
      </c>
      <c r="O56" s="450">
        <f t="shared" ref="O56:O60" si="73">IF((H56)=0,"",(N56/H56))</f>
        <v>0.10835265967605678</v>
      </c>
      <c r="P56" s="52"/>
      <c r="Q56" s="446"/>
      <c r="R56" s="446"/>
      <c r="S56" s="448">
        <f>SUM(S47:S48,S40,S41:S43)</f>
        <v>81.544775456000011</v>
      </c>
      <c r="T56" s="449"/>
      <c r="U56" s="448">
        <f t="shared" ref="U56:U60" si="74">S56-L56</f>
        <v>3.7164000000000073</v>
      </c>
      <c r="V56" s="450">
        <f t="shared" ref="V56:V60" si="75">IF((L56)=0,"",(U56/L56))</f>
        <v>4.7751221559302122E-2</v>
      </c>
      <c r="W56" s="52"/>
      <c r="X56" s="446"/>
      <c r="Y56" s="446"/>
      <c r="Z56" s="448">
        <f>SUM(Z47:Z48,Z40,Z41:Z43)</f>
        <v>85.52717247999999</v>
      </c>
      <c r="AA56" s="449"/>
      <c r="AB56" s="448">
        <f t="shared" ref="AB56:AB60" si="76">Z56-S56</f>
        <v>3.9823970239999795</v>
      </c>
      <c r="AC56" s="450">
        <f t="shared" ref="AC56:AC60" si="77">IF((S56)=0,"",(AB56/S56))</f>
        <v>4.8836936538611285E-2</v>
      </c>
      <c r="AD56" s="52"/>
      <c r="AE56" s="446"/>
      <c r="AF56" s="446"/>
      <c r="AG56" s="448">
        <f>SUM(AG47:AG48,AG40,AG41:AG43)</f>
        <v>88.647172479999995</v>
      </c>
      <c r="AH56" s="449"/>
      <c r="AI56" s="448">
        <f t="shared" ref="AI56:AI60" si="78">AG56-Z56</f>
        <v>3.1200000000000045</v>
      </c>
      <c r="AJ56" s="450">
        <f t="shared" ref="AJ56:AJ60" si="79">IF((Z56)=0,"",(AI56/Z56))</f>
        <v>3.6479634594837072E-2</v>
      </c>
      <c r="AK56" s="451"/>
      <c r="AL56" s="446"/>
      <c r="AM56" s="446"/>
      <c r="AN56" s="448">
        <f>SUM(AN47:AN48,AN40,AN41:AN43)</f>
        <v>91.607172479999988</v>
      </c>
      <c r="AO56" s="449"/>
      <c r="AP56" s="448">
        <f t="shared" ref="AP56:AP60" si="80">AN56-AG56</f>
        <v>2.9599999999999937</v>
      </c>
      <c r="AQ56" s="450">
        <f t="shared" ref="AQ56:AQ60" si="81">IF((AG56)=0,"",(AP56/AG56))</f>
        <v>3.3390799922781628E-2</v>
      </c>
    </row>
    <row r="57" spans="1:43" ht="12" customHeight="1">
      <c r="A57" s="52"/>
      <c r="B57" s="452" t="s">
        <v>316</v>
      </c>
      <c r="C57" s="320"/>
      <c r="D57" s="320"/>
      <c r="E57" s="417"/>
      <c r="F57" s="445">
        <v>0.13</v>
      </c>
      <c r="G57" s="453"/>
      <c r="H57" s="400">
        <f>H56*F57</f>
        <v>9.1285826049599983</v>
      </c>
      <c r="I57" s="52"/>
      <c r="J57" s="445">
        <v>0.13</v>
      </c>
      <c r="K57" s="453"/>
      <c r="L57" s="400">
        <f>L56*J57</f>
        <v>10.117688809280001</v>
      </c>
      <c r="M57" s="128"/>
      <c r="N57" s="401">
        <f t="shared" si="72"/>
        <v>0.98910620432000229</v>
      </c>
      <c r="O57" s="402">
        <f t="shared" si="73"/>
        <v>0.10835265967605676</v>
      </c>
      <c r="P57" s="52"/>
      <c r="Q57" s="445">
        <v>0.13</v>
      </c>
      <c r="R57" s="453"/>
      <c r="S57" s="400">
        <f>S56*Q57</f>
        <v>10.600820809280002</v>
      </c>
      <c r="T57" s="128"/>
      <c r="U57" s="401">
        <f t="shared" si="74"/>
        <v>0.48313200000000123</v>
      </c>
      <c r="V57" s="402">
        <f t="shared" si="75"/>
        <v>4.775122155930215E-2</v>
      </c>
      <c r="W57" s="52"/>
      <c r="X57" s="445">
        <v>0.13</v>
      </c>
      <c r="Y57" s="453"/>
      <c r="Z57" s="400">
        <f>Z56*X57</f>
        <v>11.1185324224</v>
      </c>
      <c r="AA57" s="128"/>
      <c r="AB57" s="401">
        <f t="shared" si="76"/>
        <v>0.51771161311999769</v>
      </c>
      <c r="AC57" s="402">
        <f t="shared" si="77"/>
        <v>4.8836936538611313E-2</v>
      </c>
      <c r="AD57" s="52"/>
      <c r="AE57" s="445">
        <v>0.13</v>
      </c>
      <c r="AF57" s="453"/>
      <c r="AG57" s="400">
        <f>AG56*AE57</f>
        <v>11.524132422399999</v>
      </c>
      <c r="AH57" s="128"/>
      <c r="AI57" s="401">
        <f t="shared" si="78"/>
        <v>0.40559999999999974</v>
      </c>
      <c r="AJ57" s="402">
        <f t="shared" si="79"/>
        <v>3.6479634594836989E-2</v>
      </c>
      <c r="AK57" s="403"/>
      <c r="AL57" s="445">
        <v>0.13</v>
      </c>
      <c r="AM57" s="453"/>
      <c r="AN57" s="400">
        <f>AN56*AL57</f>
        <v>11.908932422399999</v>
      </c>
      <c r="AO57" s="128"/>
      <c r="AP57" s="401">
        <f t="shared" si="80"/>
        <v>0.38480000000000025</v>
      </c>
      <c r="AQ57" s="402">
        <f t="shared" si="81"/>
        <v>3.3390799922781725E-2</v>
      </c>
    </row>
    <row r="58" spans="1:43" ht="12" customHeight="1">
      <c r="A58" s="52"/>
      <c r="B58" s="454" t="s">
        <v>336</v>
      </c>
      <c r="C58" s="320"/>
      <c r="D58" s="320"/>
      <c r="E58" s="417"/>
      <c r="F58" s="455"/>
      <c r="G58" s="417"/>
      <c r="H58" s="400">
        <f>H56+H57</f>
        <v>79.348448796959985</v>
      </c>
      <c r="I58" s="52"/>
      <c r="J58" s="417"/>
      <c r="K58" s="417"/>
      <c r="L58" s="400">
        <f>L56+L57</f>
        <v>87.94606426528</v>
      </c>
      <c r="M58" s="128"/>
      <c r="N58" s="401">
        <f t="shared" si="72"/>
        <v>8.597615468320015</v>
      </c>
      <c r="O58" s="402">
        <f t="shared" si="73"/>
        <v>0.10835265967605669</v>
      </c>
      <c r="P58" s="52"/>
      <c r="Q58" s="417"/>
      <c r="R58" s="417"/>
      <c r="S58" s="400">
        <f>S56+S57</f>
        <v>92.145596265280005</v>
      </c>
      <c r="T58" s="128"/>
      <c r="U58" s="401">
        <f t="shared" si="74"/>
        <v>4.1995320000000049</v>
      </c>
      <c r="V58" s="402">
        <f t="shared" si="75"/>
        <v>4.775122155930208E-2</v>
      </c>
      <c r="W58" s="52"/>
      <c r="X58" s="417"/>
      <c r="Y58" s="417"/>
      <c r="Z58" s="400">
        <f>Z56+Z57</f>
        <v>96.645704902399984</v>
      </c>
      <c r="AA58" s="128"/>
      <c r="AB58" s="401">
        <f t="shared" si="76"/>
        <v>4.500108637119979</v>
      </c>
      <c r="AC58" s="402">
        <f t="shared" si="77"/>
        <v>4.8836936538611313E-2</v>
      </c>
      <c r="AD58" s="52"/>
      <c r="AE58" s="417"/>
      <c r="AF58" s="417"/>
      <c r="AG58" s="400">
        <f>AG56+AG57</f>
        <v>100.1713049024</v>
      </c>
      <c r="AH58" s="128"/>
      <c r="AI58" s="401">
        <f t="shared" si="78"/>
        <v>3.5256000000000114</v>
      </c>
      <c r="AJ58" s="402">
        <f t="shared" si="79"/>
        <v>3.6479634594837135E-2</v>
      </c>
      <c r="AK58" s="403"/>
      <c r="AL58" s="417"/>
      <c r="AM58" s="417"/>
      <c r="AN58" s="400">
        <f>AN56+AN57</f>
        <v>103.51610490239999</v>
      </c>
      <c r="AO58" s="128"/>
      <c r="AP58" s="401">
        <f t="shared" si="80"/>
        <v>3.3447999999999922</v>
      </c>
      <c r="AQ58" s="402">
        <f t="shared" si="81"/>
        <v>3.3390799922781621E-2</v>
      </c>
    </row>
    <row r="59" spans="1:43" ht="12" customHeight="1">
      <c r="A59" s="52"/>
      <c r="B59" s="628" t="s">
        <v>273</v>
      </c>
      <c r="C59" s="615"/>
      <c r="D59" s="615"/>
      <c r="E59" s="417"/>
      <c r="F59" s="456">
        <f>F53</f>
        <v>0.23499999999999999</v>
      </c>
      <c r="G59" s="417"/>
      <c r="H59" s="457">
        <f>F59*H56</f>
        <v>16.501668555119995</v>
      </c>
      <c r="I59" s="52"/>
      <c r="J59" s="458">
        <f>J53</f>
        <v>0.23499999999999999</v>
      </c>
      <c r="K59" s="417"/>
      <c r="L59" s="457">
        <f>J59*L56</f>
        <v>18.28966823216</v>
      </c>
      <c r="M59" s="128"/>
      <c r="N59" s="457">
        <f t="shared" si="72"/>
        <v>1.7879996770400055</v>
      </c>
      <c r="O59" s="459">
        <f t="shared" si="73"/>
        <v>0.10835265967605684</v>
      </c>
      <c r="P59" s="52"/>
      <c r="Q59" s="458">
        <f>Q53</f>
        <v>0.23499999999999999</v>
      </c>
      <c r="R59" s="417"/>
      <c r="S59" s="457">
        <f>Q59*S56</f>
        <v>19.163022232160003</v>
      </c>
      <c r="T59" s="128"/>
      <c r="U59" s="457">
        <f t="shared" si="74"/>
        <v>0.87335400000000263</v>
      </c>
      <c r="V59" s="459">
        <f t="shared" si="75"/>
        <v>4.775122155930217E-2</v>
      </c>
      <c r="W59" s="52"/>
      <c r="X59" s="458">
        <f>X53</f>
        <v>0.23499999999999999</v>
      </c>
      <c r="Y59" s="417"/>
      <c r="Z59" s="457">
        <f>X59*Z56</f>
        <v>20.098885532799997</v>
      </c>
      <c r="AA59" s="128"/>
      <c r="AB59" s="457">
        <f t="shared" si="76"/>
        <v>0.93586330063999412</v>
      </c>
      <c r="AC59" s="459">
        <f t="shared" si="77"/>
        <v>4.8836936538611229E-2</v>
      </c>
      <c r="AD59" s="52"/>
      <c r="AE59" s="458">
        <f>AE53</f>
        <v>0.23499999999999999</v>
      </c>
      <c r="AF59" s="417"/>
      <c r="AG59" s="457">
        <f>AE59*AG56</f>
        <v>20.832085532799997</v>
      </c>
      <c r="AH59" s="128"/>
      <c r="AI59" s="457">
        <f t="shared" si="78"/>
        <v>0.73320000000000007</v>
      </c>
      <c r="AJ59" s="459">
        <f t="shared" si="79"/>
        <v>3.6479634594837024E-2</v>
      </c>
      <c r="AK59" s="460"/>
      <c r="AL59" s="458">
        <f>AL53</f>
        <v>0.23499999999999999</v>
      </c>
      <c r="AM59" s="417"/>
      <c r="AN59" s="457">
        <f>AL59*AN56</f>
        <v>21.527685532799996</v>
      </c>
      <c r="AO59" s="128"/>
      <c r="AP59" s="457">
        <f t="shared" si="80"/>
        <v>0.69559999999999889</v>
      </c>
      <c r="AQ59" s="459">
        <f t="shared" si="81"/>
        <v>3.3390799922781648E-2</v>
      </c>
    </row>
    <row r="60" spans="1:43" ht="12" customHeight="1">
      <c r="A60" s="52"/>
      <c r="B60" s="627" t="s">
        <v>321</v>
      </c>
      <c r="C60" s="613"/>
      <c r="D60" s="613"/>
      <c r="E60" s="470"/>
      <c r="F60" s="469"/>
      <c r="G60" s="470"/>
      <c r="H60" s="471">
        <f>H58-H59</f>
        <v>62.846780241839994</v>
      </c>
      <c r="I60" s="52"/>
      <c r="J60" s="470"/>
      <c r="K60" s="470"/>
      <c r="L60" s="471">
        <f>L58-L59</f>
        <v>69.656396033120004</v>
      </c>
      <c r="M60" s="472"/>
      <c r="N60" s="473">
        <f t="shared" si="72"/>
        <v>6.8096157912800095</v>
      </c>
      <c r="O60" s="474">
        <f t="shared" si="73"/>
        <v>0.10835265967605665</v>
      </c>
      <c r="P60" s="52"/>
      <c r="Q60" s="470"/>
      <c r="R60" s="470"/>
      <c r="S60" s="471">
        <f>S58-S59</f>
        <v>72.982574033120002</v>
      </c>
      <c r="T60" s="472"/>
      <c r="U60" s="473">
        <f t="shared" si="74"/>
        <v>3.3261779999999987</v>
      </c>
      <c r="V60" s="474">
        <f t="shared" si="75"/>
        <v>4.7751221559302011E-2</v>
      </c>
      <c r="W60" s="52"/>
      <c r="X60" s="470"/>
      <c r="Y60" s="470"/>
      <c r="Z60" s="471">
        <f>Z58-Z59</f>
        <v>76.546819369599987</v>
      </c>
      <c r="AA60" s="472"/>
      <c r="AB60" s="473">
        <f t="shared" si="76"/>
        <v>3.5642453364799849</v>
      </c>
      <c r="AC60" s="474">
        <f t="shared" si="77"/>
        <v>4.8836936538611334E-2</v>
      </c>
      <c r="AD60" s="52"/>
      <c r="AE60" s="470"/>
      <c r="AF60" s="470"/>
      <c r="AG60" s="471">
        <f>AG58-AG59</f>
        <v>79.339219369600002</v>
      </c>
      <c r="AH60" s="472"/>
      <c r="AI60" s="473">
        <f t="shared" si="78"/>
        <v>2.7924000000000149</v>
      </c>
      <c r="AJ60" s="474">
        <f t="shared" si="79"/>
        <v>3.6479634594837211E-2</v>
      </c>
      <c r="AK60" s="468"/>
      <c r="AL60" s="470"/>
      <c r="AM60" s="470"/>
      <c r="AN60" s="471">
        <f>AN58-AN59</f>
        <v>81.988419369599995</v>
      </c>
      <c r="AO60" s="472"/>
      <c r="AP60" s="473">
        <f t="shared" si="80"/>
        <v>2.6491999999999933</v>
      </c>
      <c r="AQ60" s="474">
        <f t="shared" si="81"/>
        <v>3.3390799922781614E-2</v>
      </c>
    </row>
    <row r="61" spans="1:43" ht="12" customHeight="1">
      <c r="A61" s="52"/>
      <c r="B61" s="434"/>
      <c r="C61" s="435"/>
      <c r="D61" s="435"/>
      <c r="E61" s="476"/>
      <c r="F61" s="475"/>
      <c r="G61" s="476"/>
      <c r="H61" s="441"/>
      <c r="I61" s="52"/>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443"/>
      <c r="AL61" s="475"/>
      <c r="AM61" s="476"/>
      <c r="AN61" s="441"/>
      <c r="AO61" s="440"/>
      <c r="AP61" s="477"/>
      <c r="AQ61" s="442"/>
    </row>
    <row r="62" spans="1:43" ht="12" customHeight="1">
      <c r="A62" s="52"/>
      <c r="B62" s="52"/>
      <c r="C62" s="52"/>
      <c r="D62" s="52"/>
      <c r="E62" s="52"/>
      <c r="F62" s="52"/>
      <c r="G62" s="52"/>
      <c r="H62" s="186"/>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row>
    <row r="63" spans="1:43"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row>
    <row r="64" spans="1:43"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row>
    <row r="65" spans="1:43" ht="12" customHeight="1">
      <c r="A65" s="479" t="s">
        <v>337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row>
    <row r="66" spans="1:43"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row>
    <row r="67" spans="1:43" ht="12"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row>
    <row r="68" spans="1:43" ht="12"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row>
    <row r="69" spans="1:43"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row>
    <row r="70" spans="1:43" ht="12"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row>
    <row r="71" spans="1:43" ht="12"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row>
    <row r="72" spans="1:43"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row>
    <row r="73" spans="1:43" ht="12"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row>
    <row r="74" spans="1:43" ht="12"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row>
    <row r="75" spans="1:43" ht="12"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row>
    <row r="76" spans="1:43" ht="12"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row>
    <row r="77" spans="1:43" ht="12"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row>
    <row r="78" spans="1:43"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row>
    <row r="79" spans="1:43" ht="12"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row>
    <row r="80" spans="1:43"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row>
    <row r="81" spans="1:43" ht="12"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row>
    <row r="82" spans="1:43"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row>
    <row r="83" spans="1:43"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row>
    <row r="84" spans="1:43"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row>
    <row r="85" spans="1:43"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row>
    <row r="86" spans="1:43"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row>
    <row r="87" spans="1:43"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row>
    <row r="88" spans="1:43"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row>
    <row r="89" spans="1:43"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row>
    <row r="90" spans="1:43"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row>
    <row r="91" spans="1:43"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row>
    <row r="92" spans="1:43"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row>
    <row r="93" spans="1:43"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row>
    <row r="94" spans="1:43"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row>
    <row r="95" spans="1:43"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row>
    <row r="96" spans="1:43"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row>
    <row r="97" spans="1:43"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row>
    <row r="98" spans="1:43"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row>
    <row r="99" spans="1:43"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row>
    <row r="100" spans="1:43"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row>
    <row r="101" spans="1:43"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row>
    <row r="102" spans="1:43"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row>
    <row r="103" spans="1:43"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row>
    <row r="104" spans="1:43"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row>
    <row r="105" spans="1:43"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row>
    <row r="106" spans="1:43"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row>
    <row r="107" spans="1:43"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row>
    <row r="108" spans="1:43"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row>
    <row r="109" spans="1:43"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row>
    <row r="110" spans="1:43"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row>
    <row r="111" spans="1:43"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row>
    <row r="112" spans="1:43"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row>
    <row r="113" spans="1:43"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row>
    <row r="114" spans="1:43"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row>
    <row r="115" spans="1:43"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row>
    <row r="116" spans="1:43"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row>
    <row r="117" spans="1:43"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row>
    <row r="118" spans="1:43"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row>
    <row r="119" spans="1:43"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row>
    <row r="120" spans="1:43"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row>
    <row r="121" spans="1:43"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row>
    <row r="122" spans="1:43"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row>
    <row r="123" spans="1:43"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row>
    <row r="124" spans="1:43"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row>
    <row r="125" spans="1:43"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row>
    <row r="126" spans="1:43"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row>
    <row r="127" spans="1:43"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row>
    <row r="128" spans="1:43"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row>
    <row r="129" spans="1:43"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row>
    <row r="130" spans="1:43"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row>
    <row r="131" spans="1:43"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row>
    <row r="132" spans="1:43"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row>
    <row r="133" spans="1:43"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row>
    <row r="134" spans="1:43"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row>
    <row r="135" spans="1:43"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row>
    <row r="136" spans="1:43"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row>
    <row r="137" spans="1:43"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row>
    <row r="138" spans="1:43"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row>
    <row r="139" spans="1:43"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row>
    <row r="140" spans="1:43"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row>
    <row r="141" spans="1:43"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row>
    <row r="142" spans="1:43"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row>
    <row r="143" spans="1:43"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row>
    <row r="144" spans="1:43"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row>
    <row r="145" spans="1:43"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row>
    <row r="146" spans="1:43"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row>
    <row r="147" spans="1:43"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row>
    <row r="148" spans="1:43"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row>
    <row r="149" spans="1:43"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row>
    <row r="150" spans="1:43"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row>
    <row r="151" spans="1:43"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row>
    <row r="152" spans="1:43"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row>
    <row r="153" spans="1:43"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row>
    <row r="154" spans="1:43"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row>
    <row r="155" spans="1:43"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row>
    <row r="156" spans="1:43"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row>
    <row r="157" spans="1:43"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row>
    <row r="158" spans="1:43"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row>
    <row r="159" spans="1:43"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row>
    <row r="160" spans="1:43"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row>
    <row r="161" spans="1:43"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row>
    <row r="162" spans="1:43"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row>
    <row r="163" spans="1:43"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row>
    <row r="164" spans="1:43"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row>
    <row r="165" spans="1:43"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row>
    <row r="166" spans="1:43"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row>
    <row r="167" spans="1:43"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row>
    <row r="168" spans="1:43"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row>
    <row r="169" spans="1:43"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row>
    <row r="170" spans="1:43"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row>
    <row r="171" spans="1:43"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row>
    <row r="172" spans="1:43"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row>
    <row r="173" spans="1:43"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row>
    <row r="174" spans="1:43"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row>
    <row r="175" spans="1:43"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row>
    <row r="176" spans="1:43"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row>
    <row r="177" spans="1:43"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row>
    <row r="178" spans="1:43"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row>
    <row r="179" spans="1:43"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row>
    <row r="180" spans="1:43"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row>
    <row r="181" spans="1:43"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row>
    <row r="182" spans="1:43"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row>
    <row r="183" spans="1:43"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row>
    <row r="184" spans="1:43"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row>
    <row r="185" spans="1:43"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row>
    <row r="186" spans="1:43"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row>
    <row r="187" spans="1:43"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row>
    <row r="188" spans="1:43"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row>
    <row r="189" spans="1:43"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row>
    <row r="190" spans="1:43"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row>
    <row r="191" spans="1:43"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3"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2">
    <dataValidation type="list" allowBlank="1" showErrorMessage="1" sqref="D8" xr:uid="{00000000-0002-0000-0900-000000000000}">
      <formula1>"TOU,non-TOU"</formula1>
    </dataValidation>
    <dataValidation type="list" allowBlank="1" showInputMessage="1" showErrorMessage="1" prompt="Select Charge Unit - monthly, per kWh, per kW" sqref="D15:D28 D30:D36 D38:D39 D41:D49 D55 D61" xr:uid="{00000000-0002-0000-0900-000001000000}">
      <formula1>"Monthly,per kWh,per kW"</formula1>
    </dataValidation>
  </dataValidations>
  <pageMargins left="0.74803149606299213" right="0.74803149606299213" top="0.98425196850393704" bottom="0.98425196850393704"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8.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8.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8.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8.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8.28515625" customWidth="1"/>
    <col min="41" max="41" width="2.85546875" customWidth="1"/>
    <col min="42" max="42" width="9.42578125" customWidth="1"/>
    <col min="43" max="43" width="10" customWidth="1"/>
    <col min="44" max="44" width="1.140625" customWidth="1"/>
    <col min="45" max="45" width="12.42578125" customWidth="1"/>
  </cols>
  <sheetData>
    <row r="1" spans="1:45" ht="15"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c r="AS1" s="3"/>
    </row>
    <row r="2" spans="1:45" ht="18.75"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75"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row>
    <row r="8" spans="1:45"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75" customHeight="1">
      <c r="A10" s="52"/>
      <c r="B10" s="52"/>
      <c r="C10" s="52"/>
      <c r="D10" s="306" t="s">
        <v>297</v>
      </c>
      <c r="E10" s="306"/>
      <c r="F10" s="386">
        <v>250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30" si="21">AN15-AG15</f>
        <v>2.9200000000000017</v>
      </c>
      <c r="AQ15" s="402">
        <f t="shared" ref="AQ15:AQ30" si="22">IF((AG15)=0,"",(AP15/AG15))</f>
        <v>5.7086999022482932E-2</v>
      </c>
      <c r="AR15" s="403"/>
    </row>
    <row r="16" spans="1:45"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250</v>
      </c>
      <c r="H17" s="400">
        <f t="shared" si="2"/>
        <v>0</v>
      </c>
      <c r="I17" s="128"/>
      <c r="J17" s="397">
        <f>IFERROR(VLOOKUP($C17,'Proposed Rates'!$B:$J,J$11,FALSE),0)</f>
        <v>0</v>
      </c>
      <c r="K17" s="398">
        <f t="shared" si="3"/>
        <v>250</v>
      </c>
      <c r="L17" s="400">
        <f t="shared" si="4"/>
        <v>0</v>
      </c>
      <c r="M17" s="128"/>
      <c r="N17" s="401">
        <f t="shared" si="5"/>
        <v>0</v>
      </c>
      <c r="O17" s="402" t="str">
        <f t="shared" si="6"/>
        <v/>
      </c>
      <c r="P17" s="52"/>
      <c r="Q17" s="397">
        <f>IFERROR(VLOOKUP($C17,'Proposed Rates'!$B:$J,Q$11,FALSE),0)</f>
        <v>0</v>
      </c>
      <c r="R17" s="398">
        <f t="shared" si="7"/>
        <v>250</v>
      </c>
      <c r="S17" s="400">
        <f t="shared" si="8"/>
        <v>0</v>
      </c>
      <c r="T17" s="128"/>
      <c r="U17" s="401">
        <f t="shared" si="9"/>
        <v>0</v>
      </c>
      <c r="V17" s="402" t="str">
        <f t="shared" si="10"/>
        <v/>
      </c>
      <c r="W17" s="52"/>
      <c r="X17" s="397">
        <f>IFERROR(VLOOKUP($C17,'Proposed Rates'!$B:$J,X$11,FALSE),0)</f>
        <v>0</v>
      </c>
      <c r="Y17" s="398">
        <f t="shared" si="11"/>
        <v>250</v>
      </c>
      <c r="Z17" s="400">
        <f t="shared" si="12"/>
        <v>0</v>
      </c>
      <c r="AA17" s="128"/>
      <c r="AB17" s="401">
        <f t="shared" si="13"/>
        <v>0</v>
      </c>
      <c r="AC17" s="402" t="str">
        <f t="shared" si="14"/>
        <v/>
      </c>
      <c r="AD17" s="52"/>
      <c r="AE17" s="397">
        <f>IFERROR(VLOOKUP($C17,'Proposed Rates'!$B:$J,AE$11,FALSE),0)</f>
        <v>0</v>
      </c>
      <c r="AF17" s="398">
        <f t="shared" si="15"/>
        <v>250</v>
      </c>
      <c r="AG17" s="400">
        <f t="shared" si="16"/>
        <v>0</v>
      </c>
      <c r="AH17" s="128"/>
      <c r="AI17" s="401">
        <f t="shared" si="17"/>
        <v>0</v>
      </c>
      <c r="AJ17" s="402" t="str">
        <f t="shared" si="18"/>
        <v/>
      </c>
      <c r="AK17" s="52"/>
      <c r="AL17" s="397">
        <f>IFERROR(VLOOKUP($C17,'Proposed Rates'!$B:$J,AL$11,FALSE),0)</f>
        <v>0</v>
      </c>
      <c r="AM17" s="398">
        <f t="shared" si="19"/>
        <v>250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75" customHeight="1">
      <c r="A19" s="52"/>
      <c r="B19" s="320" t="s">
        <v>59</v>
      </c>
      <c r="C19" s="395" t="str">
        <f t="shared" si="0"/>
        <v>Residential.Distribution Volumetric Rate</v>
      </c>
      <c r="D19" s="396" t="s">
        <v>308</v>
      </c>
      <c r="E19" s="320"/>
      <c r="F19" s="397">
        <f>IFERROR(VLOOKUP($C19,'Proposed Rates'!$B:$J,F$11,FALSE),0)</f>
        <v>0</v>
      </c>
      <c r="G19" s="398">
        <f t="shared" si="1"/>
        <v>250</v>
      </c>
      <c r="H19" s="400">
        <f t="shared" si="2"/>
        <v>0</v>
      </c>
      <c r="I19" s="128"/>
      <c r="J19" s="397">
        <f>IFERROR(VLOOKUP($C19,'Proposed Rates'!$B:$J,J$11,FALSE),0)</f>
        <v>0</v>
      </c>
      <c r="K19" s="398">
        <f t="shared" si="3"/>
        <v>250</v>
      </c>
      <c r="L19" s="400">
        <f t="shared" si="4"/>
        <v>0</v>
      </c>
      <c r="M19" s="128"/>
      <c r="N19" s="401">
        <f t="shared" si="5"/>
        <v>0</v>
      </c>
      <c r="O19" s="402" t="str">
        <f t="shared" si="6"/>
        <v/>
      </c>
      <c r="P19" s="52"/>
      <c r="Q19" s="397">
        <f>IFERROR(VLOOKUP($C19,'Proposed Rates'!$B:$J,Q$11,FALSE),0)</f>
        <v>0</v>
      </c>
      <c r="R19" s="398">
        <f t="shared" si="7"/>
        <v>250</v>
      </c>
      <c r="S19" s="400">
        <f t="shared" si="8"/>
        <v>0</v>
      </c>
      <c r="T19" s="128"/>
      <c r="U19" s="401">
        <f t="shared" si="9"/>
        <v>0</v>
      </c>
      <c r="V19" s="402" t="str">
        <f t="shared" si="10"/>
        <v/>
      </c>
      <c r="W19" s="52"/>
      <c r="X19" s="397">
        <f>IFERROR(VLOOKUP($C19,'Proposed Rates'!$B:$J,X$11,FALSE),0)</f>
        <v>0</v>
      </c>
      <c r="Y19" s="398">
        <f t="shared" si="11"/>
        <v>250</v>
      </c>
      <c r="Z19" s="400">
        <f t="shared" si="12"/>
        <v>0</v>
      </c>
      <c r="AA19" s="128"/>
      <c r="AB19" s="401">
        <f t="shared" si="13"/>
        <v>0</v>
      </c>
      <c r="AC19" s="402" t="str">
        <f t="shared" si="14"/>
        <v/>
      </c>
      <c r="AD19" s="52"/>
      <c r="AE19" s="397">
        <f>IFERROR(VLOOKUP($C19,'Proposed Rates'!$B:$J,AE$11,FALSE),0)</f>
        <v>0</v>
      </c>
      <c r="AF19" s="398">
        <f t="shared" si="15"/>
        <v>250</v>
      </c>
      <c r="AG19" s="400">
        <f t="shared" si="16"/>
        <v>0</v>
      </c>
      <c r="AH19" s="128"/>
      <c r="AI19" s="401">
        <f t="shared" si="17"/>
        <v>0</v>
      </c>
      <c r="AJ19" s="402" t="str">
        <f t="shared" si="18"/>
        <v/>
      </c>
      <c r="AK19" s="52"/>
      <c r="AL19" s="397">
        <f>IFERROR(VLOOKUP($C19,'Proposed Rates'!$B:$J,AL$11,FALSE),0)</f>
        <v>0</v>
      </c>
      <c r="AM19" s="398">
        <f t="shared" si="19"/>
        <v>250</v>
      </c>
      <c r="AN19" s="400">
        <f t="shared" si="20"/>
        <v>0</v>
      </c>
      <c r="AO19" s="128"/>
      <c r="AP19" s="401">
        <f t="shared" si="21"/>
        <v>0</v>
      </c>
      <c r="AQ19" s="402" t="str">
        <f t="shared" si="22"/>
        <v/>
      </c>
      <c r="AR19" s="403"/>
    </row>
    <row r="20" spans="1:44" ht="12.75" customHeight="1">
      <c r="A20" s="52"/>
      <c r="B20" s="320" t="s">
        <v>309</v>
      </c>
      <c r="C20" s="395" t="str">
        <f t="shared" si="0"/>
        <v>Residential.Smart Meter Disposition Rider</v>
      </c>
      <c r="D20" s="396" t="s">
        <v>308</v>
      </c>
      <c r="E20" s="320"/>
      <c r="F20" s="397">
        <f>IFERROR(VLOOKUP($C20,'Proposed Rates'!$B:$J,F$11,FALSE),0)</f>
        <v>0</v>
      </c>
      <c r="G20" s="398">
        <f t="shared" si="1"/>
        <v>250</v>
      </c>
      <c r="H20" s="400">
        <f t="shared" si="2"/>
        <v>0</v>
      </c>
      <c r="I20" s="128"/>
      <c r="J20" s="397">
        <f>IFERROR(VLOOKUP($C20,'Proposed Rates'!$B:$J,J$11,FALSE),0)</f>
        <v>0</v>
      </c>
      <c r="K20" s="398">
        <f t="shared" si="3"/>
        <v>250</v>
      </c>
      <c r="L20" s="400">
        <f t="shared" si="4"/>
        <v>0</v>
      </c>
      <c r="M20" s="128"/>
      <c r="N20" s="401">
        <f t="shared" si="5"/>
        <v>0</v>
      </c>
      <c r="O20" s="402" t="str">
        <f t="shared" si="6"/>
        <v/>
      </c>
      <c r="P20" s="52"/>
      <c r="Q20" s="397">
        <f>IFERROR(VLOOKUP($C20,'Proposed Rates'!$B:$J,Q$11,FALSE),0)</f>
        <v>0</v>
      </c>
      <c r="R20" s="398">
        <f t="shared" si="7"/>
        <v>250</v>
      </c>
      <c r="S20" s="400">
        <f t="shared" si="8"/>
        <v>0</v>
      </c>
      <c r="T20" s="128"/>
      <c r="U20" s="401">
        <f t="shared" si="9"/>
        <v>0</v>
      </c>
      <c r="V20" s="402" t="str">
        <f t="shared" si="10"/>
        <v/>
      </c>
      <c r="W20" s="52"/>
      <c r="X20" s="397">
        <f>IFERROR(VLOOKUP($C20,'Proposed Rates'!$B:$J,X$11,FALSE),0)</f>
        <v>0</v>
      </c>
      <c r="Y20" s="398">
        <f t="shared" si="11"/>
        <v>250</v>
      </c>
      <c r="Z20" s="400">
        <f t="shared" si="12"/>
        <v>0</v>
      </c>
      <c r="AA20" s="128"/>
      <c r="AB20" s="401">
        <f t="shared" si="13"/>
        <v>0</v>
      </c>
      <c r="AC20" s="402" t="str">
        <f t="shared" si="14"/>
        <v/>
      </c>
      <c r="AD20" s="52"/>
      <c r="AE20" s="397">
        <f>IFERROR(VLOOKUP($C20,'Proposed Rates'!$B:$J,AE$11,FALSE),0)</f>
        <v>0</v>
      </c>
      <c r="AF20" s="398">
        <f t="shared" si="15"/>
        <v>250</v>
      </c>
      <c r="AG20" s="400">
        <f t="shared" si="16"/>
        <v>0</v>
      </c>
      <c r="AH20" s="128"/>
      <c r="AI20" s="401">
        <f t="shared" si="17"/>
        <v>0</v>
      </c>
      <c r="AJ20" s="402" t="str">
        <f t="shared" si="18"/>
        <v/>
      </c>
      <c r="AK20" s="52"/>
      <c r="AL20" s="397">
        <f>IFERROR(VLOOKUP($C20,'Proposed Rates'!$B:$J,AL$11,FALSE),0)</f>
        <v>0</v>
      </c>
      <c r="AM20" s="398">
        <f t="shared" si="19"/>
        <v>250</v>
      </c>
      <c r="AN20" s="400">
        <f t="shared" si="20"/>
        <v>0</v>
      </c>
      <c r="AO20" s="128"/>
      <c r="AP20" s="401">
        <f t="shared" si="21"/>
        <v>0</v>
      </c>
      <c r="AQ20" s="402" t="str">
        <f t="shared" si="22"/>
        <v/>
      </c>
      <c r="AR20" s="403"/>
    </row>
    <row r="21" spans="1:4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75" customHeight="1">
      <c r="A22" s="52"/>
      <c r="B22" s="48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75" customHeight="1">
      <c r="A26" s="52"/>
      <c r="B26" s="48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75"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250</v>
      </c>
      <c r="H30" s="400">
        <f t="shared" ref="H30:H36" si="25">G30*F30</f>
        <v>-0.05</v>
      </c>
      <c r="I30" s="128"/>
      <c r="J30" s="414">
        <f>IFERROR(VLOOKUP($C30,'Proposed Rates'!$B:$J,J$11,FALSE),0)</f>
        <v>-5.9999999999999995E-4</v>
      </c>
      <c r="K30" s="415">
        <f t="shared" ref="K30:K33" si="26">IF($D30="Monthly",1,IF($D30="per KWH",$F$10,0))</f>
        <v>250</v>
      </c>
      <c r="L30" s="416">
        <f t="shared" ref="L30:L36" si="27">K30*J30</f>
        <v>-0.15</v>
      </c>
      <c r="M30" s="128"/>
      <c r="N30" s="401">
        <f t="shared" si="5"/>
        <v>-9.9999999999999992E-2</v>
      </c>
      <c r="O30" s="402">
        <f t="shared" si="6"/>
        <v>1.9999999999999998</v>
      </c>
      <c r="P30" s="52"/>
      <c r="Q30" s="414">
        <f>IFERROR(VLOOKUP($C30,'Proposed Rates'!$B:$J,Q$11,FALSE),0)</f>
        <v>0</v>
      </c>
      <c r="R30" s="415">
        <f t="shared" ref="R30:R33" si="28">IF($D30="Monthly",1,IF($D30="per KWH",$F$10,0))</f>
        <v>250</v>
      </c>
      <c r="S30" s="400">
        <f t="shared" ref="S30:S36" si="29">R30*Q30</f>
        <v>0</v>
      </c>
      <c r="T30" s="128"/>
      <c r="U30" s="401">
        <f t="shared" si="9"/>
        <v>0.15</v>
      </c>
      <c r="V30" s="402">
        <f t="shared" si="10"/>
        <v>-1</v>
      </c>
      <c r="W30" s="52"/>
      <c r="X30" s="414">
        <f>IFERROR(VLOOKUP($C30,'Proposed Rates'!$B:$J,X$11,FALSE),0)</f>
        <v>0</v>
      </c>
      <c r="Y30" s="415">
        <f t="shared" ref="Y30:Y33" si="30">IF($D30="Monthly",1,IF($D30="per KWH",$F$10,0))</f>
        <v>250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250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250</v>
      </c>
      <c r="AN30" s="400">
        <f t="shared" ref="AN30:AN36" si="35">AM30*AL30</f>
        <v>0</v>
      </c>
      <c r="AO30" s="128"/>
      <c r="AP30" s="401">
        <f t="shared" si="21"/>
        <v>0</v>
      </c>
      <c r="AQ30" s="402" t="str">
        <f t="shared" si="22"/>
        <v/>
      </c>
      <c r="AR30" s="403"/>
    </row>
    <row r="31" spans="1:44" ht="12.75" customHeight="1">
      <c r="A31" s="52"/>
      <c r="B31" s="484" t="s">
        <v>236</v>
      </c>
      <c r="C31" s="395" t="str">
        <f t="shared" si="23"/>
        <v>Residential.DVA Disposition Rate Rider Group 1 - 2024</v>
      </c>
      <c r="D31" s="396" t="s">
        <v>308</v>
      </c>
      <c r="E31" s="320"/>
      <c r="F31" s="414">
        <f>IFERROR(VLOOKUP($C31,'Proposed Rates'!$B:$J,F$11,FALSE),0)</f>
        <v>0</v>
      </c>
      <c r="G31" s="415">
        <f t="shared" si="24"/>
        <v>250</v>
      </c>
      <c r="H31" s="400">
        <f t="shared" si="25"/>
        <v>0</v>
      </c>
      <c r="I31" s="485"/>
      <c r="J31" s="414">
        <f>IFERROR(VLOOKUP($C31,'Proposed Rates'!$B:$J,J$11,FALSE),0)</f>
        <v>0</v>
      </c>
      <c r="K31" s="415">
        <f t="shared" si="26"/>
        <v>250</v>
      </c>
      <c r="L31" s="416">
        <f t="shared" si="27"/>
        <v>0</v>
      </c>
      <c r="M31" s="128"/>
      <c r="N31" s="401">
        <f t="shared" si="5"/>
        <v>0</v>
      </c>
      <c r="O31" s="402" t="str">
        <f t="shared" si="6"/>
        <v/>
      </c>
      <c r="P31" s="52"/>
      <c r="Q31" s="414">
        <f>IFERROR(VLOOKUP($C31,'Proposed Rates'!$B:$J,Q$11,FALSE),0)</f>
        <v>0</v>
      </c>
      <c r="R31" s="415">
        <f t="shared" si="28"/>
        <v>250</v>
      </c>
      <c r="S31" s="400">
        <f t="shared" si="29"/>
        <v>0</v>
      </c>
      <c r="T31" s="128"/>
      <c r="U31" s="401">
        <f t="shared" si="9"/>
        <v>0</v>
      </c>
      <c r="V31" s="402" t="str">
        <f t="shared" si="10"/>
        <v/>
      </c>
      <c r="W31" s="52"/>
      <c r="X31" s="414">
        <f>IFERROR(VLOOKUP($C31,'Proposed Rates'!$B:$J,X$11,FALSE),0)</f>
        <v>0</v>
      </c>
      <c r="Y31" s="415">
        <f t="shared" si="30"/>
        <v>250</v>
      </c>
      <c r="Z31" s="400">
        <f t="shared" si="31"/>
        <v>0</v>
      </c>
      <c r="AA31" s="128"/>
      <c r="AB31" s="401">
        <f t="shared" si="13"/>
        <v>0</v>
      </c>
      <c r="AC31" s="402" t="str">
        <f t="shared" si="14"/>
        <v/>
      </c>
      <c r="AD31" s="52"/>
      <c r="AE31" s="414">
        <f>IFERROR(VLOOKUP($C31,'Proposed Rates'!$B:$J,AE$11,FALSE),0)</f>
        <v>0</v>
      </c>
      <c r="AF31" s="415">
        <f t="shared" si="32"/>
        <v>250</v>
      </c>
      <c r="AG31" s="400">
        <f t="shared" si="33"/>
        <v>0</v>
      </c>
      <c r="AH31" s="128"/>
      <c r="AI31" s="401">
        <f t="shared" si="17"/>
        <v>0</v>
      </c>
      <c r="AJ31" s="402" t="str">
        <f t="shared" si="18"/>
        <v/>
      </c>
      <c r="AK31" s="52"/>
      <c r="AL31" s="414">
        <f>IFERROR(VLOOKUP($C31,'Proposed Rates'!$B:$J,AL$11,FALSE),0)</f>
        <v>0</v>
      </c>
      <c r="AM31" s="415">
        <f t="shared" si="34"/>
        <v>250</v>
      </c>
      <c r="AN31" s="400">
        <f t="shared" si="35"/>
        <v>0</v>
      </c>
      <c r="AO31" s="417"/>
      <c r="AP31" s="401"/>
      <c r="AQ31" s="402"/>
      <c r="AR31" s="403"/>
    </row>
    <row r="32" spans="1:44" ht="12.75" customHeight="1">
      <c r="A32" s="52"/>
      <c r="B32" s="484" t="s">
        <v>244</v>
      </c>
      <c r="C32" s="395" t="str">
        <f t="shared" si="23"/>
        <v>Residential.CBR Class B Rate Riders</v>
      </c>
      <c r="D32" s="396" t="s">
        <v>308</v>
      </c>
      <c r="E32" s="320"/>
      <c r="F32" s="414">
        <f>IFERROR(VLOOKUP($C32,'Proposed Rates'!$B:$J,F$11,FALSE),0)</f>
        <v>2.0000000000000001E-4</v>
      </c>
      <c r="G32" s="415">
        <f t="shared" si="24"/>
        <v>250</v>
      </c>
      <c r="H32" s="400">
        <f t="shared" si="25"/>
        <v>0.05</v>
      </c>
      <c r="I32" s="485"/>
      <c r="J32" s="414">
        <f>IFERROR(VLOOKUP($C32,'Proposed Rates'!$B:$J,J$11,FALSE),0)</f>
        <v>4.0000000000000002E-4</v>
      </c>
      <c r="K32" s="415">
        <f t="shared" si="26"/>
        <v>250</v>
      </c>
      <c r="L32" s="400">
        <f t="shared" si="27"/>
        <v>0.1</v>
      </c>
      <c r="M32" s="417"/>
      <c r="N32" s="401">
        <f t="shared" si="5"/>
        <v>0.05</v>
      </c>
      <c r="O32" s="402">
        <f t="shared" si="6"/>
        <v>1</v>
      </c>
      <c r="P32" s="52"/>
      <c r="Q32" s="414">
        <f>IFERROR(VLOOKUP($C32,'Proposed Rates'!$B:$J,Q$11,FALSE),0)</f>
        <v>0</v>
      </c>
      <c r="R32" s="415">
        <f t="shared" si="28"/>
        <v>250</v>
      </c>
      <c r="S32" s="400">
        <f t="shared" si="29"/>
        <v>0</v>
      </c>
      <c r="T32" s="417"/>
      <c r="U32" s="401">
        <f t="shared" si="9"/>
        <v>-0.1</v>
      </c>
      <c r="V32" s="402">
        <f t="shared" si="10"/>
        <v>-1</v>
      </c>
      <c r="W32" s="52"/>
      <c r="X32" s="414">
        <f>IFERROR(VLOOKUP($C32,'Proposed Rates'!$B:$J,X$11,FALSE),0)</f>
        <v>0</v>
      </c>
      <c r="Y32" s="415">
        <f t="shared" si="30"/>
        <v>250</v>
      </c>
      <c r="Z32" s="400">
        <f t="shared" si="31"/>
        <v>0</v>
      </c>
      <c r="AA32" s="417"/>
      <c r="AB32" s="401">
        <f t="shared" si="13"/>
        <v>0</v>
      </c>
      <c r="AC32" s="402" t="str">
        <f t="shared" si="14"/>
        <v/>
      </c>
      <c r="AD32" s="52"/>
      <c r="AE32" s="414">
        <f>IFERROR(VLOOKUP($C32,'Proposed Rates'!$B:$J,AE$11,FALSE),0)</f>
        <v>0</v>
      </c>
      <c r="AF32" s="415">
        <f t="shared" si="32"/>
        <v>250</v>
      </c>
      <c r="AG32" s="400">
        <f t="shared" si="33"/>
        <v>0</v>
      </c>
      <c r="AH32" s="417"/>
      <c r="AI32" s="401">
        <f t="shared" si="17"/>
        <v>0</v>
      </c>
      <c r="AJ32" s="402" t="str">
        <f t="shared" si="18"/>
        <v/>
      </c>
      <c r="AK32" s="52"/>
      <c r="AL32" s="414">
        <f>IFERROR(VLOOKUP($C32,'Proposed Rates'!$B:$J,AL$11,FALSE),0)</f>
        <v>0</v>
      </c>
      <c r="AM32" s="415">
        <f t="shared" si="34"/>
        <v>250</v>
      </c>
      <c r="AN32" s="400">
        <f t="shared" si="35"/>
        <v>0</v>
      </c>
      <c r="AO32" s="417"/>
      <c r="AP32" s="401">
        <f t="shared" ref="AP32:AP48" si="36">AN32-AG32</f>
        <v>0</v>
      </c>
      <c r="AQ32" s="402" t="str">
        <f t="shared" ref="AQ32:AQ48" si="37">IF((AG32)=0,"",(AP32/AG32))</f>
        <v/>
      </c>
      <c r="AR32" s="403"/>
    </row>
    <row r="33" spans="1:44" ht="12.75" customHeight="1">
      <c r="A33" s="52"/>
      <c r="B33" s="484" t="s">
        <v>311</v>
      </c>
      <c r="C33" s="395" t="str">
        <f t="shared" si="23"/>
        <v>Residential.GA Disposition Rate Rider-NonRPP</v>
      </c>
      <c r="D33" s="396" t="s">
        <v>308</v>
      </c>
      <c r="E33" s="320"/>
      <c r="F33" s="414">
        <f>IFERROR(VLOOKUP($C33,'Proposed Rates'!$B:$J,F$11,FALSE),0)</f>
        <v>0</v>
      </c>
      <c r="G33" s="415">
        <f t="shared" si="24"/>
        <v>250</v>
      </c>
      <c r="H33" s="400">
        <f t="shared" si="25"/>
        <v>0</v>
      </c>
      <c r="I33" s="485"/>
      <c r="J33" s="414">
        <f>IFERROR(VLOOKUP($C33,'Proposed Rates'!$B:$J,J$11,FALSE),0)</f>
        <v>0</v>
      </c>
      <c r="K33" s="415">
        <f t="shared" si="26"/>
        <v>250</v>
      </c>
      <c r="L33" s="400">
        <f t="shared" si="27"/>
        <v>0</v>
      </c>
      <c r="M33" s="417"/>
      <c r="N33" s="401">
        <f t="shared" si="5"/>
        <v>0</v>
      </c>
      <c r="O33" s="402" t="str">
        <f t="shared" si="6"/>
        <v/>
      </c>
      <c r="P33" s="52"/>
      <c r="Q33" s="414">
        <f>IFERROR(VLOOKUP($C33,'Proposed Rates'!$B:$J,Q$11,FALSE),0)</f>
        <v>0</v>
      </c>
      <c r="R33" s="415">
        <f t="shared" si="28"/>
        <v>250</v>
      </c>
      <c r="S33" s="400">
        <f t="shared" si="29"/>
        <v>0</v>
      </c>
      <c r="T33" s="417"/>
      <c r="U33" s="401">
        <f t="shared" si="9"/>
        <v>0</v>
      </c>
      <c r="V33" s="402" t="str">
        <f t="shared" si="10"/>
        <v/>
      </c>
      <c r="W33" s="52"/>
      <c r="X33" s="414">
        <f>IFERROR(VLOOKUP($C33,'Proposed Rates'!$B:$J,X$11,FALSE),0)</f>
        <v>0</v>
      </c>
      <c r="Y33" s="415">
        <f t="shared" si="30"/>
        <v>250</v>
      </c>
      <c r="Z33" s="400">
        <f t="shared" si="31"/>
        <v>0</v>
      </c>
      <c r="AA33" s="417"/>
      <c r="AB33" s="401">
        <f t="shared" si="13"/>
        <v>0</v>
      </c>
      <c r="AC33" s="402" t="str">
        <f t="shared" si="14"/>
        <v/>
      </c>
      <c r="AD33" s="52"/>
      <c r="AE33" s="414">
        <f>IFERROR(VLOOKUP($C33,'Proposed Rates'!$B:$J,AE$11,FALSE),0)</f>
        <v>0</v>
      </c>
      <c r="AF33" s="415">
        <f t="shared" si="32"/>
        <v>250</v>
      </c>
      <c r="AG33" s="400">
        <f t="shared" si="33"/>
        <v>0</v>
      </c>
      <c r="AH33" s="417"/>
      <c r="AI33" s="401">
        <f t="shared" si="17"/>
        <v>0</v>
      </c>
      <c r="AJ33" s="402" t="str">
        <f t="shared" si="18"/>
        <v/>
      </c>
      <c r="AK33" s="52"/>
      <c r="AL33" s="414">
        <f>IFERROR(VLOOKUP($C33,'Proposed Rates'!$B:$J,AL$11,FALSE),0)</f>
        <v>0</v>
      </c>
      <c r="AM33" s="415">
        <f t="shared" si="34"/>
        <v>250</v>
      </c>
      <c r="AN33" s="400">
        <f t="shared" si="35"/>
        <v>0</v>
      </c>
      <c r="AO33" s="417"/>
      <c r="AP33" s="401">
        <f t="shared" si="36"/>
        <v>0</v>
      </c>
      <c r="AQ33" s="402" t="str">
        <f t="shared" si="37"/>
        <v/>
      </c>
      <c r="AR33" s="403"/>
    </row>
    <row r="34" spans="1:44" ht="12.75" customHeight="1">
      <c r="A34" s="52"/>
      <c r="B34" s="320" t="s">
        <v>269</v>
      </c>
      <c r="C34" s="395" t="str">
        <f t="shared" si="23"/>
        <v>Residential.Low Voltage Service Charge</v>
      </c>
      <c r="D34" s="396" t="s">
        <v>308</v>
      </c>
      <c r="E34" s="320"/>
      <c r="F34" s="418">
        <f>IFERROR(VLOOKUP($C34,'Proposed Rates'!$B:$J,F$11,FALSE),0)</f>
        <v>5.0000000000000002E-5</v>
      </c>
      <c r="G34" s="419">
        <f>$F$10*(1+F$63)</f>
        <v>258.45</v>
      </c>
      <c r="H34" s="400">
        <f t="shared" si="25"/>
        <v>1.29225E-2</v>
      </c>
      <c r="I34" s="128"/>
      <c r="J34" s="418">
        <f>IFERROR(VLOOKUP($C34,'Proposed Rates'!$B:$J,J$11,FALSE),0)</f>
        <v>6.9999999999999994E-5</v>
      </c>
      <c r="K34" s="419">
        <f>$F$10*(1+J$63)</f>
        <v>258.29999999999995</v>
      </c>
      <c r="L34" s="400">
        <f t="shared" si="27"/>
        <v>1.8080999999999996E-2</v>
      </c>
      <c r="M34" s="128"/>
      <c r="N34" s="401">
        <f t="shared" si="5"/>
        <v>5.1584999999999964E-3</v>
      </c>
      <c r="O34" s="402">
        <f t="shared" si="6"/>
        <v>0.3991874637260589</v>
      </c>
      <c r="P34" s="52"/>
      <c r="Q34" s="418">
        <f>IFERROR(VLOOKUP($C34,'Proposed Rates'!$B:$J,Q$11,FALSE),0)</f>
        <v>6.9999999999999994E-5</v>
      </c>
      <c r="R34" s="419">
        <f>$F$10*(1+Q$63)</f>
        <v>258.29999999999995</v>
      </c>
      <c r="S34" s="400">
        <f t="shared" si="29"/>
        <v>1.8080999999999996E-2</v>
      </c>
      <c r="T34" s="128"/>
      <c r="U34" s="401">
        <f t="shared" si="9"/>
        <v>0</v>
      </c>
      <c r="V34" s="402">
        <f t="shared" si="10"/>
        <v>0</v>
      </c>
      <c r="W34" s="52"/>
      <c r="X34" s="418">
        <f>IFERROR(VLOOKUP($C34,'Proposed Rates'!$B:$J,X$11,FALSE),0)</f>
        <v>8.0000000000000007E-5</v>
      </c>
      <c r="Y34" s="419">
        <f>$F$10*(1+X$63)</f>
        <v>258.29999999999995</v>
      </c>
      <c r="Z34" s="400">
        <f t="shared" si="31"/>
        <v>2.0663999999999998E-2</v>
      </c>
      <c r="AA34" s="128"/>
      <c r="AB34" s="401">
        <f t="shared" si="13"/>
        <v>2.583000000000002E-3</v>
      </c>
      <c r="AC34" s="402">
        <f t="shared" si="14"/>
        <v>0.14285714285714299</v>
      </c>
      <c r="AD34" s="52"/>
      <c r="AE34" s="418">
        <f>IFERROR(VLOOKUP($C34,'Proposed Rates'!$B:$J,AE$11,FALSE),0)</f>
        <v>8.0000000000000007E-5</v>
      </c>
      <c r="AF34" s="419">
        <f>$F$10*(1+AE$63)</f>
        <v>258.29999999999995</v>
      </c>
      <c r="AG34" s="400">
        <f t="shared" si="33"/>
        <v>2.0663999999999998E-2</v>
      </c>
      <c r="AH34" s="128"/>
      <c r="AI34" s="401">
        <f t="shared" si="17"/>
        <v>0</v>
      </c>
      <c r="AJ34" s="402">
        <f t="shared" si="18"/>
        <v>0</v>
      </c>
      <c r="AK34" s="52"/>
      <c r="AL34" s="418">
        <f>IFERROR(VLOOKUP($C34,'Proposed Rates'!$B:$J,AL$11,FALSE),0)</f>
        <v>8.0000000000000007E-5</v>
      </c>
      <c r="AM34" s="419">
        <f>$F$10*(1+AL$63)</f>
        <v>258.29999999999995</v>
      </c>
      <c r="AN34" s="400">
        <f t="shared" si="35"/>
        <v>2.0663999999999998E-2</v>
      </c>
      <c r="AO34" s="128"/>
      <c r="AP34" s="401">
        <f t="shared" si="36"/>
        <v>0</v>
      </c>
      <c r="AQ34" s="402">
        <f t="shared" si="37"/>
        <v>0</v>
      </c>
      <c r="AR34" s="403"/>
    </row>
    <row r="35" spans="1:44" ht="12.75"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8.4499999999999886</v>
      </c>
      <c r="H35" s="400">
        <f t="shared" si="25"/>
        <v>1.0775439999999987</v>
      </c>
      <c r="I35" s="128"/>
      <c r="J35" s="420">
        <f>'Proposed Rates'!$K$249*J$44+'Proposed Rates'!$K$250*J$45+'Proposed Rates'!$K$251*J$46</f>
        <v>0.12752000000000002</v>
      </c>
      <c r="K35" s="421">
        <f>$F$10*(1+J$63)-$F$10</f>
        <v>8.2999999999999545</v>
      </c>
      <c r="L35" s="400">
        <f t="shared" si="27"/>
        <v>1.0584159999999945</v>
      </c>
      <c r="M35" s="128"/>
      <c r="N35" s="401">
        <f t="shared" si="5"/>
        <v>-1.9128000000004253E-2</v>
      </c>
      <c r="O35" s="402">
        <f t="shared" si="6"/>
        <v>-1.7751479289944794E-2</v>
      </c>
      <c r="P35" s="52"/>
      <c r="Q35" s="420">
        <f>'Proposed Rates'!$K$249*Q$44+'Proposed Rates'!$K$250*Q$45+'Proposed Rates'!$K$251*Q$46</f>
        <v>0.12752000000000002</v>
      </c>
      <c r="R35" s="421">
        <f>$F$10*(1+Q$63)-$F$10</f>
        <v>8.2999999999999545</v>
      </c>
      <c r="S35" s="400">
        <f t="shared" si="29"/>
        <v>1.0584159999999945</v>
      </c>
      <c r="T35" s="128"/>
      <c r="U35" s="401">
        <f t="shared" si="9"/>
        <v>0</v>
      </c>
      <c r="V35" s="402">
        <f t="shared" si="10"/>
        <v>0</v>
      </c>
      <c r="W35" s="52"/>
      <c r="X35" s="420">
        <f>'Proposed Rates'!$K$249*X$44+'Proposed Rates'!$K$250*X$45+'Proposed Rates'!$K$251*X$46</f>
        <v>0.12752000000000002</v>
      </c>
      <c r="Y35" s="421">
        <f>$F$10*(1+X$63)-$F$10</f>
        <v>8.2999999999999545</v>
      </c>
      <c r="Z35" s="400">
        <f t="shared" si="31"/>
        <v>1.0584159999999945</v>
      </c>
      <c r="AA35" s="128"/>
      <c r="AB35" s="401">
        <f t="shared" si="13"/>
        <v>0</v>
      </c>
      <c r="AC35" s="402">
        <f t="shared" si="14"/>
        <v>0</v>
      </c>
      <c r="AD35" s="52"/>
      <c r="AE35" s="420">
        <f>'Proposed Rates'!$K$249*AE$44+'Proposed Rates'!$K$250*AE$45+'Proposed Rates'!$K$251*AE$46</f>
        <v>0.12752000000000002</v>
      </c>
      <c r="AF35" s="421">
        <f>$F$10*(1+AE$63)-$F$10</f>
        <v>8.2999999999999545</v>
      </c>
      <c r="AG35" s="400">
        <f t="shared" si="33"/>
        <v>1.0584159999999945</v>
      </c>
      <c r="AH35" s="128"/>
      <c r="AI35" s="401">
        <f t="shared" si="17"/>
        <v>0</v>
      </c>
      <c r="AJ35" s="402">
        <f t="shared" si="18"/>
        <v>0</v>
      </c>
      <c r="AK35" s="52"/>
      <c r="AL35" s="420">
        <f>'Proposed Rates'!$K$249*AL$44+'Proposed Rates'!$K$250*AL$45+'Proposed Rates'!$K$251*AL$46</f>
        <v>0.12752000000000002</v>
      </c>
      <c r="AM35" s="421">
        <f>$F$10*(1+AL$63)-$F$10</f>
        <v>8.2999999999999545</v>
      </c>
      <c r="AN35" s="400">
        <f t="shared" si="35"/>
        <v>1.0584159999999945</v>
      </c>
      <c r="AO35" s="128"/>
      <c r="AP35" s="401">
        <f t="shared" si="36"/>
        <v>0</v>
      </c>
      <c r="AQ35" s="402">
        <f t="shared" si="37"/>
        <v>0</v>
      </c>
      <c r="AR35" s="403"/>
    </row>
    <row r="36" spans="1:4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36"/>
        <v>1.0000000000000009E-2</v>
      </c>
      <c r="AQ36" s="402">
        <f t="shared" si="37"/>
        <v>2.2727272727272749E-2</v>
      </c>
      <c r="AR36" s="403"/>
    </row>
    <row r="37" spans="1:44" ht="12.75" customHeight="1">
      <c r="A37" s="52"/>
      <c r="B37" s="486" t="s">
        <v>313</v>
      </c>
      <c r="C37" s="422"/>
      <c r="D37" s="422"/>
      <c r="E37" s="422"/>
      <c r="F37" s="423"/>
      <c r="G37" s="424"/>
      <c r="H37" s="409">
        <f>SUM(H30:H36)+H29</f>
        <v>36.020466499999998</v>
      </c>
      <c r="I37" s="425"/>
      <c r="J37" s="423"/>
      <c r="K37" s="424"/>
      <c r="L37" s="409">
        <f>SUM(L30:L36)+L29</f>
        <v>41.936496999999996</v>
      </c>
      <c r="M37" s="425"/>
      <c r="N37" s="411">
        <f t="shared" si="5"/>
        <v>5.916030499999998</v>
      </c>
      <c r="O37" s="412">
        <f t="shared" si="6"/>
        <v>0.16424080737544025</v>
      </c>
      <c r="P37" s="52"/>
      <c r="Q37" s="423"/>
      <c r="R37" s="424"/>
      <c r="S37" s="409">
        <f>SUM(S30:S36)+S29</f>
        <v>45.626497000000001</v>
      </c>
      <c r="T37" s="425"/>
      <c r="U37" s="411">
        <f t="shared" si="9"/>
        <v>3.6900000000000048</v>
      </c>
      <c r="V37" s="412">
        <f t="shared" si="10"/>
        <v>8.7990181917197458E-2</v>
      </c>
      <c r="W37" s="52"/>
      <c r="X37" s="423"/>
      <c r="Y37" s="424"/>
      <c r="Z37" s="409">
        <f>SUM(Z30:Z36)+Z29</f>
        <v>49.579079999999998</v>
      </c>
      <c r="AA37" s="425"/>
      <c r="AB37" s="411">
        <f t="shared" si="13"/>
        <v>3.9525829999999971</v>
      </c>
      <c r="AC37" s="412">
        <f t="shared" si="14"/>
        <v>8.662911378009136E-2</v>
      </c>
      <c r="AD37" s="52"/>
      <c r="AE37" s="423"/>
      <c r="AF37" s="424"/>
      <c r="AG37" s="409">
        <f>SUM(AG30:AG36)+AG29</f>
        <v>52.669079999999994</v>
      </c>
      <c r="AH37" s="425"/>
      <c r="AI37" s="411">
        <f t="shared" si="17"/>
        <v>3.0899999999999963</v>
      </c>
      <c r="AJ37" s="412">
        <f t="shared" si="18"/>
        <v>6.2324674035903783E-2</v>
      </c>
      <c r="AK37" s="52"/>
      <c r="AL37" s="423"/>
      <c r="AM37" s="424"/>
      <c r="AN37" s="409">
        <f>SUM(AN30:AN36)+AN29</f>
        <v>55.599079999999994</v>
      </c>
      <c r="AO37" s="425"/>
      <c r="AP37" s="411">
        <f t="shared" si="36"/>
        <v>2.9299999999999997</v>
      </c>
      <c r="AQ37" s="412">
        <f t="shared" si="37"/>
        <v>5.5630362254286574E-2</v>
      </c>
      <c r="AR37" s="413"/>
    </row>
    <row r="38" spans="1:44" ht="12.75" customHeight="1">
      <c r="A38" s="52"/>
      <c r="B38" s="128" t="s">
        <v>255</v>
      </c>
      <c r="C38" s="395" t="str">
        <f t="shared" ref="C38:C39" si="38">D$6&amp;"."&amp;B38</f>
        <v>Residential.RTSR - Network</v>
      </c>
      <c r="D38" s="426" t="s">
        <v>308</v>
      </c>
      <c r="E38" s="128"/>
      <c r="F38" s="414">
        <f>IFERROR(VLOOKUP($C38,'Proposed Rates'!$B:$J,F$11,FALSE),0)</f>
        <v>1.26E-2</v>
      </c>
      <c r="G38" s="419">
        <f t="shared" ref="G38:G39" si="39">$F$10*(1+F$63)</f>
        <v>258.45</v>
      </c>
      <c r="H38" s="400">
        <f t="shared" ref="H38:H39" si="40">G38*F38</f>
        <v>3.2564699999999998</v>
      </c>
      <c r="I38" s="128"/>
      <c r="J38" s="414">
        <f>IFERROR(VLOOKUP($C38,'Proposed Rates'!$B:$J,J$11,FALSE),0)</f>
        <v>1.38E-2</v>
      </c>
      <c r="K38" s="419">
        <f t="shared" ref="K38:K39" si="41">$F$10*(1+J$63)</f>
        <v>258.29999999999995</v>
      </c>
      <c r="L38" s="400">
        <f t="shared" ref="L38:L39" si="42">K38*J38</f>
        <v>3.5645399999999992</v>
      </c>
      <c r="M38" s="128"/>
      <c r="N38" s="401">
        <f t="shared" si="5"/>
        <v>0.3080699999999994</v>
      </c>
      <c r="O38" s="402">
        <f t="shared" si="6"/>
        <v>9.4602437608821643E-2</v>
      </c>
      <c r="P38" s="52"/>
      <c r="Q38" s="414">
        <f>IFERROR(VLOOKUP($C38,'Proposed Rates'!$B:$J,Q$11,FALSE),0)</f>
        <v>1.38E-2</v>
      </c>
      <c r="R38" s="419">
        <f t="shared" ref="R38:R39" si="43">$F$10*(1+Q$63)</f>
        <v>258.29999999999995</v>
      </c>
      <c r="S38" s="400">
        <f t="shared" ref="S38:S39" si="44">R38*Q38</f>
        <v>3.5645399999999992</v>
      </c>
      <c r="T38" s="128"/>
      <c r="U38" s="401">
        <f t="shared" si="9"/>
        <v>0</v>
      </c>
      <c r="V38" s="402">
        <f t="shared" si="10"/>
        <v>0</v>
      </c>
      <c r="W38" s="52"/>
      <c r="X38" s="414">
        <f>IFERROR(VLOOKUP($C38,'Proposed Rates'!$B:$J,X$11,FALSE),0)</f>
        <v>1.38E-2</v>
      </c>
      <c r="Y38" s="419">
        <f t="shared" ref="Y38:Y39" si="45">$F$10*(1+X$63)</f>
        <v>258.29999999999995</v>
      </c>
      <c r="Z38" s="400">
        <f t="shared" ref="Z38:Z39" si="46">Y38*X38</f>
        <v>3.5645399999999992</v>
      </c>
      <c r="AA38" s="128"/>
      <c r="AB38" s="401">
        <f t="shared" si="13"/>
        <v>0</v>
      </c>
      <c r="AC38" s="402">
        <f t="shared" si="14"/>
        <v>0</v>
      </c>
      <c r="AD38" s="52"/>
      <c r="AE38" s="414">
        <f>IFERROR(VLOOKUP($C38,'Proposed Rates'!$B:$J,AE$11,FALSE),0)</f>
        <v>1.38E-2</v>
      </c>
      <c r="AF38" s="419">
        <f t="shared" ref="AF38:AF39" si="47">$F$10*(1+AE$63)</f>
        <v>258.29999999999995</v>
      </c>
      <c r="AG38" s="400">
        <f t="shared" ref="AG38:AG39" si="48">AF38*AE38</f>
        <v>3.5645399999999992</v>
      </c>
      <c r="AH38" s="128"/>
      <c r="AI38" s="401">
        <f t="shared" si="17"/>
        <v>0</v>
      </c>
      <c r="AJ38" s="402">
        <f t="shared" si="18"/>
        <v>0</v>
      </c>
      <c r="AK38" s="52"/>
      <c r="AL38" s="414">
        <f>IFERROR(VLOOKUP($C38,'Proposed Rates'!$B:$J,AL$11,FALSE),0)</f>
        <v>1.38E-2</v>
      </c>
      <c r="AM38" s="419">
        <f t="shared" ref="AM38:AM39" si="49">$F$10*(1+AL$63)</f>
        <v>258.29999999999995</v>
      </c>
      <c r="AN38" s="400">
        <f t="shared" ref="AN38:AN39" si="50">AM38*AL38</f>
        <v>3.5645399999999992</v>
      </c>
      <c r="AO38" s="128"/>
      <c r="AP38" s="401">
        <f t="shared" si="36"/>
        <v>0</v>
      </c>
      <c r="AQ38" s="402">
        <f t="shared" si="37"/>
        <v>0</v>
      </c>
      <c r="AR38" s="403"/>
    </row>
    <row r="39" spans="1:44" ht="12.75" customHeight="1">
      <c r="A39" s="52"/>
      <c r="B39" s="487" t="s">
        <v>256</v>
      </c>
      <c r="C39" s="395" t="str">
        <f t="shared" si="38"/>
        <v>Residential.RTSR - Line and Transformation Connection</v>
      </c>
      <c r="D39" s="426" t="s">
        <v>308</v>
      </c>
      <c r="E39" s="128"/>
      <c r="F39" s="414">
        <f>IFERROR(VLOOKUP($C39,'Proposed Rates'!$B:$J,F$11,FALSE),0)</f>
        <v>7.1999999999999998E-3</v>
      </c>
      <c r="G39" s="419">
        <f t="shared" si="39"/>
        <v>258.45</v>
      </c>
      <c r="H39" s="400">
        <f t="shared" si="40"/>
        <v>1.8608399999999998</v>
      </c>
      <c r="I39" s="128"/>
      <c r="J39" s="414">
        <f>IFERROR(VLOOKUP($C39,'Proposed Rates'!$B:$J,J$11,FALSE),0)</f>
        <v>7.7999999999999996E-3</v>
      </c>
      <c r="K39" s="419">
        <f t="shared" si="41"/>
        <v>258.29999999999995</v>
      </c>
      <c r="L39" s="400">
        <f t="shared" si="42"/>
        <v>2.0147399999999998</v>
      </c>
      <c r="M39" s="128"/>
      <c r="N39" s="401">
        <f t="shared" si="5"/>
        <v>0.15389999999999993</v>
      </c>
      <c r="O39" s="402">
        <f t="shared" si="6"/>
        <v>8.2704585026117203E-2</v>
      </c>
      <c r="P39" s="52"/>
      <c r="Q39" s="414">
        <f>IFERROR(VLOOKUP($C39,'Proposed Rates'!$B:$J,Q$11,FALSE),0)</f>
        <v>7.7999999999999996E-3</v>
      </c>
      <c r="R39" s="419">
        <f t="shared" si="43"/>
        <v>258.29999999999995</v>
      </c>
      <c r="S39" s="400">
        <f t="shared" si="44"/>
        <v>2.0147399999999998</v>
      </c>
      <c r="T39" s="128"/>
      <c r="U39" s="401">
        <f t="shared" si="9"/>
        <v>0</v>
      </c>
      <c r="V39" s="402">
        <f t="shared" si="10"/>
        <v>0</v>
      </c>
      <c r="W39" s="52"/>
      <c r="X39" s="414">
        <f>IFERROR(VLOOKUP($C39,'Proposed Rates'!$B:$J,X$11,FALSE),0)</f>
        <v>7.7999999999999996E-3</v>
      </c>
      <c r="Y39" s="419">
        <f t="shared" si="45"/>
        <v>258.29999999999995</v>
      </c>
      <c r="Z39" s="400">
        <f t="shared" si="46"/>
        <v>2.0147399999999998</v>
      </c>
      <c r="AA39" s="128"/>
      <c r="AB39" s="401">
        <f t="shared" si="13"/>
        <v>0</v>
      </c>
      <c r="AC39" s="402">
        <f t="shared" si="14"/>
        <v>0</v>
      </c>
      <c r="AD39" s="52"/>
      <c r="AE39" s="414">
        <f>IFERROR(VLOOKUP($C39,'Proposed Rates'!$B:$J,AE$11,FALSE),0)</f>
        <v>7.7999999999999996E-3</v>
      </c>
      <c r="AF39" s="419">
        <f t="shared" si="47"/>
        <v>258.29999999999995</v>
      </c>
      <c r="AG39" s="400">
        <f t="shared" si="48"/>
        <v>2.0147399999999998</v>
      </c>
      <c r="AH39" s="128"/>
      <c r="AI39" s="401">
        <f t="shared" si="17"/>
        <v>0</v>
      </c>
      <c r="AJ39" s="402">
        <f t="shared" si="18"/>
        <v>0</v>
      </c>
      <c r="AK39" s="52"/>
      <c r="AL39" s="414">
        <f>IFERROR(VLOOKUP($C39,'Proposed Rates'!$B:$J,AL$11,FALSE),0)</f>
        <v>7.7999999999999996E-3</v>
      </c>
      <c r="AM39" s="419">
        <f t="shared" si="49"/>
        <v>258.29999999999995</v>
      </c>
      <c r="AN39" s="400">
        <f t="shared" si="50"/>
        <v>2.0147399999999998</v>
      </c>
      <c r="AO39" s="128"/>
      <c r="AP39" s="401">
        <f t="shared" si="36"/>
        <v>0</v>
      </c>
      <c r="AQ39" s="402">
        <f t="shared" si="37"/>
        <v>0</v>
      </c>
      <c r="AR39" s="403"/>
    </row>
    <row r="40" spans="1:44" ht="12.75" customHeight="1">
      <c r="A40" s="52"/>
      <c r="B40" s="486" t="s">
        <v>314</v>
      </c>
      <c r="C40" s="427"/>
      <c r="D40" s="427"/>
      <c r="E40" s="427"/>
      <c r="F40" s="428"/>
      <c r="G40" s="429"/>
      <c r="H40" s="409">
        <f>SUM(H37:H39)</f>
        <v>41.137776500000001</v>
      </c>
      <c r="I40" s="410"/>
      <c r="J40" s="428"/>
      <c r="K40" s="429"/>
      <c r="L40" s="409">
        <f>SUM(L37:L39)</f>
        <v>47.515777</v>
      </c>
      <c r="M40" s="410"/>
      <c r="N40" s="411">
        <f t="shared" si="5"/>
        <v>6.3780004999999989</v>
      </c>
      <c r="O40" s="412">
        <f t="shared" si="6"/>
        <v>0.15503999104083807</v>
      </c>
      <c r="P40" s="52"/>
      <c r="Q40" s="428"/>
      <c r="R40" s="429"/>
      <c r="S40" s="409">
        <f>SUM(S37:S39)</f>
        <v>51.205776999999998</v>
      </c>
      <c r="T40" s="410"/>
      <c r="U40" s="411">
        <f t="shared" si="9"/>
        <v>3.6899999999999977</v>
      </c>
      <c r="V40" s="412">
        <f t="shared" si="10"/>
        <v>7.7658416487643628E-2</v>
      </c>
      <c r="W40" s="52"/>
      <c r="X40" s="428"/>
      <c r="Y40" s="429"/>
      <c r="Z40" s="409">
        <f>SUM(Z37:Z39)</f>
        <v>55.158360000000002</v>
      </c>
      <c r="AA40" s="410"/>
      <c r="AB40" s="411">
        <f t="shared" si="13"/>
        <v>3.9525830000000042</v>
      </c>
      <c r="AC40" s="412">
        <f t="shared" si="14"/>
        <v>7.7190177194264714E-2</v>
      </c>
      <c r="AD40" s="52"/>
      <c r="AE40" s="428"/>
      <c r="AF40" s="429"/>
      <c r="AG40" s="409">
        <f>SUM(AG37:AG39)</f>
        <v>58.248359999999991</v>
      </c>
      <c r="AH40" s="410"/>
      <c r="AI40" s="411">
        <f t="shared" si="17"/>
        <v>3.0899999999999892</v>
      </c>
      <c r="AJ40" s="412">
        <f t="shared" si="18"/>
        <v>5.602051982691271E-2</v>
      </c>
      <c r="AK40" s="52"/>
      <c r="AL40" s="428"/>
      <c r="AM40" s="429"/>
      <c r="AN40" s="409">
        <f>SUM(AN37:AN39)</f>
        <v>61.178359999999998</v>
      </c>
      <c r="AO40" s="410"/>
      <c r="AP40" s="411">
        <f t="shared" si="36"/>
        <v>2.9300000000000068</v>
      </c>
      <c r="AQ40" s="412">
        <f t="shared" si="37"/>
        <v>5.0301845408179856E-2</v>
      </c>
      <c r="AR40" s="413"/>
    </row>
    <row r="41" spans="1:44" ht="12.75" customHeight="1">
      <c r="A41" s="52"/>
      <c r="B41" s="488" t="s">
        <v>257</v>
      </c>
      <c r="C41" s="395" t="str">
        <f t="shared" ref="C41:C48" si="51">D$6&amp;"."&amp;B41</f>
        <v>Residential.Wholesale Market Service Charge (WMSC)</v>
      </c>
      <c r="D41" s="396" t="s">
        <v>308</v>
      </c>
      <c r="E41" s="320"/>
      <c r="F41" s="414">
        <f>IFERROR(VLOOKUP($C41,'Proposed Rates'!$B:$J,F$11,FALSE),0)</f>
        <v>4.4999999999999997E-3</v>
      </c>
      <c r="G41" s="419">
        <f t="shared" ref="G41:G42" si="52">$F$10*(1+F$63)</f>
        <v>258.45</v>
      </c>
      <c r="H41" s="400">
        <f t="shared" ref="H41:H48" si="53">G41*F41</f>
        <v>1.1630249999999998</v>
      </c>
      <c r="I41" s="128"/>
      <c r="J41" s="414">
        <f>IFERROR(VLOOKUP($C41,'Proposed Rates'!$B:$J,J$11,FALSE),0)</f>
        <v>4.4999999999999997E-3</v>
      </c>
      <c r="K41" s="419">
        <f t="shared" ref="K41:K42" si="54">$F$10*(1+J$63)</f>
        <v>258.29999999999995</v>
      </c>
      <c r="L41" s="400">
        <f t="shared" ref="L41:L48" si="55">K41*J41</f>
        <v>1.1623499999999998</v>
      </c>
      <c r="M41" s="128"/>
      <c r="N41" s="401">
        <f t="shared" si="5"/>
        <v>-6.7499999999998117E-4</v>
      </c>
      <c r="O41" s="402">
        <f t="shared" si="6"/>
        <v>-5.8038305281484176E-4</v>
      </c>
      <c r="P41" s="52"/>
      <c r="Q41" s="414">
        <f>IFERROR(VLOOKUP($C41,'Proposed Rates'!$B:$J,Q$11,FALSE),0)</f>
        <v>4.4999999999999997E-3</v>
      </c>
      <c r="R41" s="419">
        <f t="shared" ref="R41:R42" si="56">$F$10*(1+Q$63)</f>
        <v>258.29999999999995</v>
      </c>
      <c r="S41" s="400">
        <f t="shared" ref="S41:S48" si="57">R41*Q41</f>
        <v>1.1623499999999998</v>
      </c>
      <c r="T41" s="128"/>
      <c r="U41" s="401">
        <f t="shared" si="9"/>
        <v>0</v>
      </c>
      <c r="V41" s="402">
        <f t="shared" si="10"/>
        <v>0</v>
      </c>
      <c r="W41" s="52"/>
      <c r="X41" s="414">
        <f>IFERROR(VLOOKUP($C41,'Proposed Rates'!$B:$J,X$11,FALSE),0)</f>
        <v>4.4999999999999997E-3</v>
      </c>
      <c r="Y41" s="419">
        <f t="shared" ref="Y41:Y42" si="58">$F$10*(1+X$63)</f>
        <v>258.29999999999995</v>
      </c>
      <c r="Z41" s="400">
        <f t="shared" ref="Z41:Z48" si="59">Y41*X41</f>
        <v>1.1623499999999998</v>
      </c>
      <c r="AA41" s="128"/>
      <c r="AB41" s="401">
        <f t="shared" si="13"/>
        <v>0</v>
      </c>
      <c r="AC41" s="402">
        <f t="shared" si="14"/>
        <v>0</v>
      </c>
      <c r="AD41" s="52"/>
      <c r="AE41" s="414">
        <f>IFERROR(VLOOKUP($C41,'Proposed Rates'!$B:$J,AE$11,FALSE),0)</f>
        <v>4.4999999999999997E-3</v>
      </c>
      <c r="AF41" s="419">
        <f t="shared" ref="AF41:AF42" si="60">$F$10*(1+AE$63)</f>
        <v>258.29999999999995</v>
      </c>
      <c r="AG41" s="400">
        <f t="shared" ref="AG41:AG48" si="61">AF41*AE41</f>
        <v>1.1623499999999998</v>
      </c>
      <c r="AH41" s="128"/>
      <c r="AI41" s="401">
        <f t="shared" si="17"/>
        <v>0</v>
      </c>
      <c r="AJ41" s="402">
        <f t="shared" si="18"/>
        <v>0</v>
      </c>
      <c r="AK41" s="52"/>
      <c r="AL41" s="414">
        <f>IFERROR(VLOOKUP($C41,'Proposed Rates'!$B:$J,AL$11,FALSE),0)</f>
        <v>4.4999999999999997E-3</v>
      </c>
      <c r="AM41" s="419">
        <f t="shared" ref="AM41:AM42" si="62">$F$10*(1+AL$63)</f>
        <v>258.29999999999995</v>
      </c>
      <c r="AN41" s="400">
        <f t="shared" ref="AN41:AN48" si="63">AM41*AL41</f>
        <v>1.1623499999999998</v>
      </c>
      <c r="AO41" s="128"/>
      <c r="AP41" s="401">
        <f t="shared" si="36"/>
        <v>0</v>
      </c>
      <c r="AQ41" s="402">
        <f t="shared" si="37"/>
        <v>0</v>
      </c>
      <c r="AR41" s="403"/>
    </row>
    <row r="42" spans="1:44" ht="12.75" customHeight="1">
      <c r="A42" s="52"/>
      <c r="B42" s="488" t="s">
        <v>258</v>
      </c>
      <c r="C42" s="395" t="str">
        <f t="shared" si="51"/>
        <v>Residential.Rural and Remote Rate Protection (RRRP)</v>
      </c>
      <c r="D42" s="396" t="s">
        <v>308</v>
      </c>
      <c r="E42" s="320"/>
      <c r="F42" s="414">
        <f>IFERROR(VLOOKUP($C42,'Proposed Rates'!$B:$J,F$11,FALSE),0)</f>
        <v>1.5E-3</v>
      </c>
      <c r="G42" s="419">
        <f t="shared" si="52"/>
        <v>258.45</v>
      </c>
      <c r="H42" s="400">
        <f t="shared" si="53"/>
        <v>0.38767499999999999</v>
      </c>
      <c r="I42" s="128"/>
      <c r="J42" s="414">
        <f>IFERROR(VLOOKUP($C42,'Proposed Rates'!$B:$J,J$11,FALSE),0)</f>
        <v>1.5E-3</v>
      </c>
      <c r="K42" s="419">
        <f t="shared" si="54"/>
        <v>258.29999999999995</v>
      </c>
      <c r="L42" s="400">
        <f t="shared" si="55"/>
        <v>0.38744999999999996</v>
      </c>
      <c r="M42" s="128"/>
      <c r="N42" s="401">
        <f t="shared" si="5"/>
        <v>-2.2500000000003073E-4</v>
      </c>
      <c r="O42" s="402">
        <f t="shared" si="6"/>
        <v>-5.8038305281493706E-4</v>
      </c>
      <c r="P42" s="52"/>
      <c r="Q42" s="414">
        <f>IFERROR(VLOOKUP($C42,'Proposed Rates'!$B:$J,Q$11,FALSE),0)</f>
        <v>1.5E-3</v>
      </c>
      <c r="R42" s="419">
        <f t="shared" si="56"/>
        <v>258.29999999999995</v>
      </c>
      <c r="S42" s="400">
        <f t="shared" si="57"/>
        <v>0.38744999999999996</v>
      </c>
      <c r="T42" s="128"/>
      <c r="U42" s="401">
        <f t="shared" si="9"/>
        <v>0</v>
      </c>
      <c r="V42" s="402">
        <f t="shared" si="10"/>
        <v>0</v>
      </c>
      <c r="W42" s="52"/>
      <c r="X42" s="414">
        <f>IFERROR(VLOOKUP($C42,'Proposed Rates'!$B:$J,X$11,FALSE),0)</f>
        <v>1.5E-3</v>
      </c>
      <c r="Y42" s="419">
        <f t="shared" si="58"/>
        <v>258.29999999999995</v>
      </c>
      <c r="Z42" s="400">
        <f t="shared" si="59"/>
        <v>0.38744999999999996</v>
      </c>
      <c r="AA42" s="128"/>
      <c r="AB42" s="401">
        <f t="shared" si="13"/>
        <v>0</v>
      </c>
      <c r="AC42" s="402">
        <f t="shared" si="14"/>
        <v>0</v>
      </c>
      <c r="AD42" s="52"/>
      <c r="AE42" s="414">
        <f>IFERROR(VLOOKUP($C42,'Proposed Rates'!$B:$J,AE$11,FALSE),0)</f>
        <v>1.5E-3</v>
      </c>
      <c r="AF42" s="419">
        <f t="shared" si="60"/>
        <v>258.29999999999995</v>
      </c>
      <c r="AG42" s="400">
        <f t="shared" si="61"/>
        <v>0.38744999999999996</v>
      </c>
      <c r="AH42" s="128"/>
      <c r="AI42" s="401">
        <f t="shared" si="17"/>
        <v>0</v>
      </c>
      <c r="AJ42" s="402">
        <f t="shared" si="18"/>
        <v>0</v>
      </c>
      <c r="AK42" s="52"/>
      <c r="AL42" s="414">
        <f>IFERROR(VLOOKUP($C42,'Proposed Rates'!$B:$J,AL$11,FALSE),0)</f>
        <v>1.5E-3</v>
      </c>
      <c r="AM42" s="419">
        <f t="shared" si="62"/>
        <v>258.29999999999995</v>
      </c>
      <c r="AN42" s="400">
        <f t="shared" si="63"/>
        <v>0.38744999999999996</v>
      </c>
      <c r="AO42" s="128"/>
      <c r="AP42" s="401">
        <f t="shared" si="36"/>
        <v>0</v>
      </c>
      <c r="AQ42" s="402">
        <f t="shared" si="37"/>
        <v>0</v>
      </c>
      <c r="AR42" s="403"/>
    </row>
    <row r="43" spans="1:44" ht="12.75" customHeight="1">
      <c r="A43" s="52"/>
      <c r="B43" s="320" t="s">
        <v>260</v>
      </c>
      <c r="C43" s="395" t="str">
        <f t="shared" si="51"/>
        <v>Residential.Standard Supply Service Charge</v>
      </c>
      <c r="D43" s="396" t="s">
        <v>306</v>
      </c>
      <c r="E43" s="320"/>
      <c r="F43" s="414">
        <f>IFERROR(VLOOKUP($C43,'Proposed Rates'!$B:$J,F$11,FALSE),0)</f>
        <v>0.25</v>
      </c>
      <c r="G43" s="415">
        <f>IF($D43="Monthly",1,IF($D43="per KWH",$F$10,0))</f>
        <v>1</v>
      </c>
      <c r="H43" s="400">
        <f t="shared" si="53"/>
        <v>0.25</v>
      </c>
      <c r="I43" s="128"/>
      <c r="J43" s="414">
        <f>IFERROR(VLOOKUP($C43,'Proposed Rates'!$B:$J,J$11,FALSE),0)</f>
        <v>1.51</v>
      </c>
      <c r="K43" s="415">
        <f>IF($D43="Monthly",1,IF($D43="per KWH",$F$10,0))</f>
        <v>1</v>
      </c>
      <c r="L43" s="400">
        <f t="shared" si="55"/>
        <v>1.51</v>
      </c>
      <c r="M43" s="128"/>
      <c r="N43" s="401">
        <f t="shared" si="5"/>
        <v>1.26</v>
      </c>
      <c r="O43" s="402">
        <f t="shared" si="6"/>
        <v>5.04</v>
      </c>
      <c r="P43" s="52"/>
      <c r="Q43" s="414">
        <f>IFERROR(VLOOKUP($C43,'Proposed Rates'!$B:$J,Q$11,FALSE),0)</f>
        <v>1.54</v>
      </c>
      <c r="R43" s="415">
        <f>IF($D43="Monthly",1,IF($D43="per KWH",$F$10,0))</f>
        <v>1</v>
      </c>
      <c r="S43" s="400">
        <f t="shared" si="57"/>
        <v>1.54</v>
      </c>
      <c r="T43" s="128"/>
      <c r="U43" s="401">
        <f t="shared" si="9"/>
        <v>3.0000000000000027E-2</v>
      </c>
      <c r="V43" s="402">
        <f t="shared" si="10"/>
        <v>1.986754966887419E-2</v>
      </c>
      <c r="W43" s="52"/>
      <c r="X43" s="414">
        <f>IFERROR(VLOOKUP($C43,'Proposed Rates'!$B:$J,X$11,FALSE),0)</f>
        <v>1.57</v>
      </c>
      <c r="Y43" s="415">
        <f>IF($D43="Monthly",1,IF($D43="per KWH",$F$10,0))</f>
        <v>1</v>
      </c>
      <c r="Z43" s="400">
        <f t="shared" si="59"/>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61"/>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3"/>
        <v>1.63</v>
      </c>
      <c r="AO43" s="128"/>
      <c r="AP43" s="401">
        <f t="shared" si="36"/>
        <v>2.9999999999999805E-2</v>
      </c>
      <c r="AQ43" s="402">
        <f t="shared" si="37"/>
        <v>1.8749999999999878E-2</v>
      </c>
      <c r="AR43" s="403"/>
    </row>
    <row r="44" spans="1:44" ht="12.75" customHeight="1">
      <c r="A44" s="52"/>
      <c r="B44" s="320" t="s">
        <v>262</v>
      </c>
      <c r="C44" s="395" t="str">
        <f t="shared" si="51"/>
        <v>Residential.TOU - Off Peak</v>
      </c>
      <c r="D44" s="396" t="s">
        <v>308</v>
      </c>
      <c r="E44" s="320"/>
      <c r="F44" s="430">
        <f>VLOOKUP($B44,'Proposed Rates'!$D$248:$J$254,+F$11-2,FALSE)</f>
        <v>9.8000000000000004E-2</v>
      </c>
      <c r="G44" s="421">
        <f>$F$10*'Proposed Rates'!$K$249</f>
        <v>160</v>
      </c>
      <c r="H44" s="400">
        <f t="shared" si="53"/>
        <v>15.68</v>
      </c>
      <c r="I44" s="128"/>
      <c r="J44" s="430">
        <f>VLOOKUP($B44,'Proposed Rates'!$D$248:$J$254,+J$11-2,FALSE)</f>
        <v>9.8000000000000004E-2</v>
      </c>
      <c r="K44" s="421">
        <f>$F$10*'Proposed Rates'!$K$249</f>
        <v>160</v>
      </c>
      <c r="L44" s="400">
        <f t="shared" si="55"/>
        <v>15.68</v>
      </c>
      <c r="M44" s="128"/>
      <c r="N44" s="401">
        <f t="shared" si="5"/>
        <v>0</v>
      </c>
      <c r="O44" s="402">
        <f t="shared" si="6"/>
        <v>0</v>
      </c>
      <c r="P44" s="52"/>
      <c r="Q44" s="430">
        <f>VLOOKUP($B44,'Proposed Rates'!$D$248:$J$254,+Q$11-2,FALSE)</f>
        <v>9.8000000000000004E-2</v>
      </c>
      <c r="R44" s="421">
        <f>$F$10*'Proposed Rates'!$K$249</f>
        <v>160</v>
      </c>
      <c r="S44" s="400">
        <f t="shared" si="57"/>
        <v>15.68</v>
      </c>
      <c r="T44" s="128"/>
      <c r="U44" s="401">
        <f t="shared" si="9"/>
        <v>0</v>
      </c>
      <c r="V44" s="402">
        <f t="shared" si="10"/>
        <v>0</v>
      </c>
      <c r="W44" s="52"/>
      <c r="X44" s="430">
        <f>VLOOKUP($B44,'Proposed Rates'!$D$248:$J$254,+X$11-2,FALSE)</f>
        <v>9.8000000000000004E-2</v>
      </c>
      <c r="Y44" s="421">
        <f>$F$10*'Proposed Rates'!$K$249</f>
        <v>160</v>
      </c>
      <c r="Z44" s="400">
        <f t="shared" si="59"/>
        <v>15.68</v>
      </c>
      <c r="AA44" s="128"/>
      <c r="AB44" s="401">
        <f t="shared" si="13"/>
        <v>0</v>
      </c>
      <c r="AC44" s="402">
        <f t="shared" si="14"/>
        <v>0</v>
      </c>
      <c r="AD44" s="52"/>
      <c r="AE44" s="430">
        <f>VLOOKUP($B44,'Proposed Rates'!$D$248:$J$254,+AE$11-2,FALSE)</f>
        <v>9.8000000000000004E-2</v>
      </c>
      <c r="AF44" s="421">
        <f>$F$10*'Proposed Rates'!$K$249</f>
        <v>160</v>
      </c>
      <c r="AG44" s="400">
        <f t="shared" si="61"/>
        <v>15.68</v>
      </c>
      <c r="AH44" s="128"/>
      <c r="AI44" s="401">
        <f t="shared" si="17"/>
        <v>0</v>
      </c>
      <c r="AJ44" s="402">
        <f t="shared" si="18"/>
        <v>0</v>
      </c>
      <c r="AK44" s="52"/>
      <c r="AL44" s="430">
        <f>VLOOKUP($B44,'Proposed Rates'!$D$248:$J$254,+AL$11-2,FALSE)</f>
        <v>9.8000000000000004E-2</v>
      </c>
      <c r="AM44" s="421">
        <f>$F$10*'Proposed Rates'!$K$249</f>
        <v>160</v>
      </c>
      <c r="AN44" s="400">
        <f t="shared" si="63"/>
        <v>15.68</v>
      </c>
      <c r="AO44" s="128"/>
      <c r="AP44" s="401">
        <f t="shared" si="36"/>
        <v>0</v>
      </c>
      <c r="AQ44" s="402">
        <f t="shared" si="37"/>
        <v>0</v>
      </c>
      <c r="AR44" s="403"/>
    </row>
    <row r="45" spans="1:44" ht="12.75" customHeight="1">
      <c r="A45" s="52"/>
      <c r="B45" s="320" t="s">
        <v>263</v>
      </c>
      <c r="C45" s="395" t="str">
        <f t="shared" si="51"/>
        <v>Residential.TOU - Mid Peak</v>
      </c>
      <c r="D45" s="396" t="s">
        <v>308</v>
      </c>
      <c r="E45" s="320"/>
      <c r="F45" s="430">
        <f>VLOOKUP($B45,'Proposed Rates'!$D$248:$J$254,+F$11-2,FALSE)</f>
        <v>0.157</v>
      </c>
      <c r="G45" s="421">
        <f>$F$10*'Proposed Rates'!$K$250</f>
        <v>45</v>
      </c>
      <c r="H45" s="400">
        <f t="shared" si="53"/>
        <v>7.0650000000000004</v>
      </c>
      <c r="I45" s="128"/>
      <c r="J45" s="430">
        <f>VLOOKUP($B45,'Proposed Rates'!$D$248:$J$254,+J$11-2,FALSE)</f>
        <v>0.157</v>
      </c>
      <c r="K45" s="421">
        <f>$F$10*'Proposed Rates'!$K$250</f>
        <v>45</v>
      </c>
      <c r="L45" s="400">
        <f t="shared" si="55"/>
        <v>7.0650000000000004</v>
      </c>
      <c r="M45" s="128"/>
      <c r="N45" s="401">
        <f t="shared" si="5"/>
        <v>0</v>
      </c>
      <c r="O45" s="402">
        <f t="shared" si="6"/>
        <v>0</v>
      </c>
      <c r="P45" s="52"/>
      <c r="Q45" s="430">
        <f>VLOOKUP($B45,'Proposed Rates'!$D$248:$J$254,+Q$11-2,FALSE)</f>
        <v>0.157</v>
      </c>
      <c r="R45" s="421">
        <f>$F$10*'Proposed Rates'!$K$250</f>
        <v>45</v>
      </c>
      <c r="S45" s="400">
        <f t="shared" si="57"/>
        <v>7.0650000000000004</v>
      </c>
      <c r="T45" s="128"/>
      <c r="U45" s="401">
        <f t="shared" si="9"/>
        <v>0</v>
      </c>
      <c r="V45" s="402">
        <f t="shared" si="10"/>
        <v>0</v>
      </c>
      <c r="W45" s="52"/>
      <c r="X45" s="430">
        <f>VLOOKUP($B45,'Proposed Rates'!$D$248:$J$254,+X$11-2,FALSE)</f>
        <v>0.157</v>
      </c>
      <c r="Y45" s="421">
        <f>$F$10*'Proposed Rates'!$K$250</f>
        <v>45</v>
      </c>
      <c r="Z45" s="400">
        <f t="shared" si="59"/>
        <v>7.0650000000000004</v>
      </c>
      <c r="AA45" s="128"/>
      <c r="AB45" s="401">
        <f t="shared" si="13"/>
        <v>0</v>
      </c>
      <c r="AC45" s="402">
        <f t="shared" si="14"/>
        <v>0</v>
      </c>
      <c r="AD45" s="52"/>
      <c r="AE45" s="430">
        <f>VLOOKUP($B45,'Proposed Rates'!$D$248:$J$254,+AE$11-2,FALSE)</f>
        <v>0.157</v>
      </c>
      <c r="AF45" s="421">
        <f>$F$10*'Proposed Rates'!$K$250</f>
        <v>45</v>
      </c>
      <c r="AG45" s="400">
        <f t="shared" si="61"/>
        <v>7.0650000000000004</v>
      </c>
      <c r="AH45" s="128"/>
      <c r="AI45" s="401">
        <f t="shared" si="17"/>
        <v>0</v>
      </c>
      <c r="AJ45" s="402">
        <f t="shared" si="18"/>
        <v>0</v>
      </c>
      <c r="AK45" s="52"/>
      <c r="AL45" s="430">
        <f>VLOOKUP($B45,'Proposed Rates'!$D$248:$J$254,+AL$11-2,FALSE)</f>
        <v>0.157</v>
      </c>
      <c r="AM45" s="421">
        <f>$F$10*'Proposed Rates'!$K$250</f>
        <v>45</v>
      </c>
      <c r="AN45" s="400">
        <f t="shared" si="63"/>
        <v>7.0650000000000004</v>
      </c>
      <c r="AO45" s="128"/>
      <c r="AP45" s="401">
        <f t="shared" si="36"/>
        <v>0</v>
      </c>
      <c r="AQ45" s="402">
        <f t="shared" si="37"/>
        <v>0</v>
      </c>
      <c r="AR45" s="403"/>
    </row>
    <row r="46" spans="1:44" ht="12.75" customHeight="1">
      <c r="A46" s="52"/>
      <c r="B46" s="52" t="s">
        <v>264</v>
      </c>
      <c r="C46" s="395" t="str">
        <f t="shared" si="51"/>
        <v>Residential.TOU - On Peak</v>
      </c>
      <c r="D46" s="396" t="s">
        <v>308</v>
      </c>
      <c r="E46" s="320"/>
      <c r="F46" s="430">
        <f>VLOOKUP($B46,'Proposed Rates'!$D$248:$J$254,+F$11-2,FALSE)</f>
        <v>0.20300000000000001</v>
      </c>
      <c r="G46" s="421">
        <f>$F$10*'Proposed Rates'!$K$251</f>
        <v>45</v>
      </c>
      <c r="H46" s="400">
        <f t="shared" si="53"/>
        <v>9.1349999999999998</v>
      </c>
      <c r="I46" s="128"/>
      <c r="J46" s="430">
        <f>VLOOKUP($B46,'Proposed Rates'!$D$248:$J$254,+J$11-2,FALSE)</f>
        <v>0.20300000000000001</v>
      </c>
      <c r="K46" s="421">
        <f>$F$10*'Proposed Rates'!$K$251</f>
        <v>45</v>
      </c>
      <c r="L46" s="400">
        <f t="shared" si="55"/>
        <v>9.1349999999999998</v>
      </c>
      <c r="M46" s="128"/>
      <c r="N46" s="401">
        <f t="shared" si="5"/>
        <v>0</v>
      </c>
      <c r="O46" s="402">
        <f t="shared" si="6"/>
        <v>0</v>
      </c>
      <c r="P46" s="52"/>
      <c r="Q46" s="430">
        <f>VLOOKUP($B46,'Proposed Rates'!$D$248:$J$254,+Q$11-2,FALSE)</f>
        <v>0.20300000000000001</v>
      </c>
      <c r="R46" s="421">
        <f>$F$10*'Proposed Rates'!$K$251</f>
        <v>45</v>
      </c>
      <c r="S46" s="400">
        <f t="shared" si="57"/>
        <v>9.1349999999999998</v>
      </c>
      <c r="T46" s="128"/>
      <c r="U46" s="401">
        <f t="shared" si="9"/>
        <v>0</v>
      </c>
      <c r="V46" s="402">
        <f t="shared" si="10"/>
        <v>0</v>
      </c>
      <c r="W46" s="52"/>
      <c r="X46" s="430">
        <f>VLOOKUP($B46,'Proposed Rates'!$D$248:$J$254,+X$11-2,FALSE)</f>
        <v>0.20300000000000001</v>
      </c>
      <c r="Y46" s="421">
        <f>$F$10*'Proposed Rates'!$K$251</f>
        <v>45</v>
      </c>
      <c r="Z46" s="400">
        <f t="shared" si="59"/>
        <v>9.1349999999999998</v>
      </c>
      <c r="AA46" s="128"/>
      <c r="AB46" s="401">
        <f t="shared" si="13"/>
        <v>0</v>
      </c>
      <c r="AC46" s="402">
        <f t="shared" si="14"/>
        <v>0</v>
      </c>
      <c r="AD46" s="52"/>
      <c r="AE46" s="430">
        <f>VLOOKUP($B46,'Proposed Rates'!$D$248:$J$254,+AE$11-2,FALSE)</f>
        <v>0.20300000000000001</v>
      </c>
      <c r="AF46" s="421">
        <f>$F$10*'Proposed Rates'!$K$251</f>
        <v>45</v>
      </c>
      <c r="AG46" s="400">
        <f t="shared" si="61"/>
        <v>9.1349999999999998</v>
      </c>
      <c r="AH46" s="128"/>
      <c r="AI46" s="401">
        <f t="shared" si="17"/>
        <v>0</v>
      </c>
      <c r="AJ46" s="402">
        <f t="shared" si="18"/>
        <v>0</v>
      </c>
      <c r="AK46" s="52"/>
      <c r="AL46" s="430">
        <f>VLOOKUP($B46,'Proposed Rates'!$D$248:$J$254,+AL$11-2,FALSE)</f>
        <v>0.20300000000000001</v>
      </c>
      <c r="AM46" s="421">
        <f>$F$10*'Proposed Rates'!$K$251</f>
        <v>45</v>
      </c>
      <c r="AN46" s="400">
        <f t="shared" si="63"/>
        <v>9.1349999999999998</v>
      </c>
      <c r="AO46" s="128"/>
      <c r="AP46" s="401">
        <f t="shared" si="36"/>
        <v>0</v>
      </c>
      <c r="AQ46" s="402">
        <f t="shared" si="37"/>
        <v>0</v>
      </c>
      <c r="AR46" s="403"/>
    </row>
    <row r="47" spans="1:44" ht="12.75" customHeight="1">
      <c r="A47" s="52"/>
      <c r="B47" s="320" t="s">
        <v>265</v>
      </c>
      <c r="C47" s="395" t="str">
        <f t="shared" si="51"/>
        <v>Residential.Energy - RPP - Tier 1</v>
      </c>
      <c r="D47" s="396" t="s">
        <v>308</v>
      </c>
      <c r="E47" s="320"/>
      <c r="F47" s="430">
        <f>VLOOKUP($B47,'Proposed Rates'!$D$248:$J$254,+F$11-2,FALSE)</f>
        <v>0.12</v>
      </c>
      <c r="G47" s="431">
        <f>IF(AND($S$2=1, $F$10&gt;=600), 600, IF(AND($S$2=1, AND($F$10&lt;600, $F$10&gt;=0)), $F$10, IF(AND($S$2=2, $F$10&gt;=1000), 1000, IF(AND($S$2=2, AND($F$10&lt;1000, $F$10&gt;=0)), $F$10))))</f>
        <v>250</v>
      </c>
      <c r="H47" s="400">
        <f t="shared" si="53"/>
        <v>30</v>
      </c>
      <c r="I47" s="128"/>
      <c r="J47" s="430">
        <f>VLOOKUP($B47,'Proposed Rates'!$D$248:$J$254,+J$11-2,FALSE)</f>
        <v>0.12</v>
      </c>
      <c r="K47" s="431">
        <f>IF(AND($S$2=1, $F$10&gt;=600), 600, IF(AND($S$2=1, AND($F$10&lt;600, $F$10&gt;=0)), $F$10, IF(AND($S$2=2, $F$10&gt;=1000), 1000, IF(AND($S$2=2, AND($F$10&lt;1000, $F$10&gt;=0)), $F$10))))</f>
        <v>250</v>
      </c>
      <c r="L47" s="400">
        <f t="shared" si="55"/>
        <v>30</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250</v>
      </c>
      <c r="S47" s="400">
        <f t="shared" si="57"/>
        <v>30</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250</v>
      </c>
      <c r="Z47" s="400">
        <f t="shared" si="59"/>
        <v>30</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250</v>
      </c>
      <c r="AG47" s="400">
        <f t="shared" si="61"/>
        <v>30</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250</v>
      </c>
      <c r="AN47" s="400">
        <f t="shared" si="63"/>
        <v>30</v>
      </c>
      <c r="AO47" s="128"/>
      <c r="AP47" s="401">
        <f t="shared" si="36"/>
        <v>0</v>
      </c>
      <c r="AQ47" s="402">
        <f t="shared" si="37"/>
        <v>0</v>
      </c>
      <c r="AR47" s="403"/>
    </row>
    <row r="48" spans="1:44" ht="12.75" customHeight="1">
      <c r="A48" s="52"/>
      <c r="B48" s="320" t="s">
        <v>266</v>
      </c>
      <c r="C48" s="395" t="str">
        <f t="shared" si="51"/>
        <v>Residential.Energy - RPP - Tier 2</v>
      </c>
      <c r="D48" s="396" t="s">
        <v>308</v>
      </c>
      <c r="E48" s="320"/>
      <c r="F48" s="430">
        <f>VLOOKUP($B48,'Proposed Rates'!$D$248:$J$254,+F$11-2,FALSE)</f>
        <v>0.14199999999999999</v>
      </c>
      <c r="G48" s="433">
        <f>IF(AND($S$2=1, $F$10&gt;=600), $F$10-600, IF(AND($S$2=1, AND($F$10&lt;600, $F$10&gt;=0)), 0, IF(AND($S$2=2, $F$10&gt;=1000), $F$10-1000, IF(AND($S$2=2, AND($F$10&lt;1000, $F$10&gt;=0)), 0))))</f>
        <v>0</v>
      </c>
      <c r="H48" s="400">
        <f t="shared" si="53"/>
        <v>0</v>
      </c>
      <c r="I48" s="128"/>
      <c r="J48" s="430">
        <f>VLOOKUP($B48,'Proposed Rates'!$D$248:$J$254,+J$11-2,FALSE)</f>
        <v>0.14199999999999999</v>
      </c>
      <c r="K48" s="433">
        <f>IF(AND($S$2=1, $F$10&gt;=600), $F$10-600, IF(AND($S$2=1, AND($F$10&lt;600, $F$10&gt;=0)), 0, IF(AND($S$2=2, $F$10&gt;=1000), $F$10-1000, IF(AND($S$2=2, AND($F$10&lt;1000, $F$10&gt;=0)), 0))))</f>
        <v>0</v>
      </c>
      <c r="L48" s="400">
        <f t="shared" si="55"/>
        <v>0</v>
      </c>
      <c r="M48" s="128"/>
      <c r="N48" s="401">
        <f t="shared" si="5"/>
        <v>0</v>
      </c>
      <c r="O48" s="402" t="str">
        <f t="shared" si="6"/>
        <v/>
      </c>
      <c r="P48" s="52"/>
      <c r="Q48" s="430">
        <f>VLOOKUP($B48,'Proposed Rates'!$D$248:$J$254,+Q$11-2,FALSE)</f>
        <v>0.14199999999999999</v>
      </c>
      <c r="R48" s="433">
        <f>IF(AND($S$2=1, $F$10&gt;=600), $F$10-600, IF(AND($S$2=1, AND($F$10&lt;600, $F$10&gt;=0)), 0, IF(AND($S$2=2, $F$10&gt;=1000), $F$10-1000, IF(AND($S$2=2, AND($F$10&lt;1000, $F$10&gt;=0)), 0))))</f>
        <v>0</v>
      </c>
      <c r="S48" s="400">
        <f t="shared" si="57"/>
        <v>0</v>
      </c>
      <c r="T48" s="128"/>
      <c r="U48" s="401">
        <f t="shared" si="9"/>
        <v>0</v>
      </c>
      <c r="V48" s="402" t="str">
        <f t="shared" si="10"/>
        <v/>
      </c>
      <c r="W48" s="52"/>
      <c r="X48" s="430">
        <f>VLOOKUP($B48,'Proposed Rates'!$D$248:$J$254,+X$11-2,FALSE)</f>
        <v>0.14199999999999999</v>
      </c>
      <c r="Y48" s="433">
        <f>IF(AND($S$2=1, $F$10&gt;=600), $F$10-600, IF(AND($S$2=1, AND($F$10&lt;600, $F$10&gt;=0)), 0, IF(AND($S$2=2, $F$10&gt;=1000), $F$10-1000, IF(AND($S$2=2, AND($F$10&lt;1000, $F$10&gt;=0)), 0))))</f>
        <v>0</v>
      </c>
      <c r="Z48" s="400">
        <f t="shared" si="59"/>
        <v>0</v>
      </c>
      <c r="AA48" s="128"/>
      <c r="AB48" s="401">
        <f t="shared" si="13"/>
        <v>0</v>
      </c>
      <c r="AC48" s="402" t="str">
        <f t="shared" si="14"/>
        <v/>
      </c>
      <c r="AD48" s="52"/>
      <c r="AE48" s="430">
        <f>VLOOKUP($B48,'Proposed Rates'!$D$248:$J$254,+AE$11-2,FALSE)</f>
        <v>0.14199999999999999</v>
      </c>
      <c r="AF48" s="433">
        <f>IF(AND($S$2=1, $F$10&gt;=600), $F$10-600, IF(AND($S$2=1, AND($F$10&lt;600, $F$10&gt;=0)), 0, IF(AND($S$2=2, $F$10&gt;=1000), $F$10-1000, IF(AND($S$2=2, AND($F$10&lt;1000, $F$10&gt;=0)), 0))))</f>
        <v>0</v>
      </c>
      <c r="AG48" s="400">
        <f t="shared" si="61"/>
        <v>0</v>
      </c>
      <c r="AH48" s="128"/>
      <c r="AI48" s="401">
        <f t="shared" si="17"/>
        <v>0</v>
      </c>
      <c r="AJ48" s="402" t="str">
        <f t="shared" si="18"/>
        <v/>
      </c>
      <c r="AK48" s="52"/>
      <c r="AL48" s="430">
        <f>VLOOKUP($B48,'Proposed Rates'!$D$248:$J$254,+AL$11-2,FALSE)</f>
        <v>0.14199999999999999</v>
      </c>
      <c r="AM48" s="433">
        <f>IF(AND($S$2=1, $F$10&gt;=600), $F$10-600, IF(AND($S$2=1, AND($F$10&lt;600, $F$10&gt;=0)), 0, IF(AND($S$2=2, $F$10&gt;=1000), $F$10-1000, IF(AND($S$2=2, AND($F$10&lt;1000, $F$10&gt;=0)), 0))))</f>
        <v>0</v>
      </c>
      <c r="AN48" s="400">
        <f t="shared" si="63"/>
        <v>0</v>
      </c>
      <c r="AO48" s="128"/>
      <c r="AP48" s="401">
        <f t="shared" si="36"/>
        <v>0</v>
      </c>
      <c r="AQ48" s="402" t="str">
        <f t="shared" si="37"/>
        <v/>
      </c>
      <c r="AR48" s="403"/>
    </row>
    <row r="49" spans="1:4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75" customHeight="1">
      <c r="A50" s="52"/>
      <c r="B50" s="444" t="s">
        <v>315</v>
      </c>
      <c r="C50" s="320"/>
      <c r="D50" s="320"/>
      <c r="E50" s="320"/>
      <c r="F50" s="445"/>
      <c r="G50" s="489"/>
      <c r="H50" s="447">
        <f>SUM(H41:H46,H40)</f>
        <v>74.818476500000003</v>
      </c>
      <c r="I50" s="482"/>
      <c r="J50" s="445"/>
      <c r="K50" s="446"/>
      <c r="L50" s="447">
        <f>SUM(L41:L46,L40)</f>
        <v>82.455577000000005</v>
      </c>
      <c r="M50" s="449"/>
      <c r="N50" s="448">
        <f t="shared" ref="N50:N54" si="64">L50-H50</f>
        <v>7.6371005000000025</v>
      </c>
      <c r="O50" s="450">
        <f t="shared" ref="O50:O54" si="65">IF((H50)=0,"",(N50/H50))</f>
        <v>0.10207506029610215</v>
      </c>
      <c r="P50" s="52"/>
      <c r="Q50" s="446"/>
      <c r="R50" s="446"/>
      <c r="S50" s="448">
        <f>SUM(S41:S46,S40)</f>
        <v>86.175577000000004</v>
      </c>
      <c r="T50" s="449"/>
      <c r="U50" s="448">
        <f t="shared" ref="U50:U54" si="66">S50-L50</f>
        <v>3.7199999999999989</v>
      </c>
      <c r="V50" s="450">
        <f t="shared" ref="V50:V54" si="67">IF((L50)=0,"",(U50/L50))</f>
        <v>4.5115201849839685E-2</v>
      </c>
      <c r="W50" s="52"/>
      <c r="X50" s="446"/>
      <c r="Y50" s="446"/>
      <c r="Z50" s="448">
        <f>SUM(Z41:Z46,Z40)</f>
        <v>90.158160000000009</v>
      </c>
      <c r="AA50" s="449"/>
      <c r="AB50" s="448">
        <f t="shared" ref="AB50:AB54" si="68">Z50-S50</f>
        <v>3.9825830000000053</v>
      </c>
      <c r="AC50" s="450">
        <f t="shared" ref="AC50:AC54" si="69">IF((S50)=0,"",(AB50/S50))</f>
        <v>4.6214752934001305E-2</v>
      </c>
      <c r="AD50" s="52"/>
      <c r="AE50" s="446"/>
      <c r="AF50" s="446"/>
      <c r="AG50" s="448">
        <f>SUM(AG41:AG46,AG40)</f>
        <v>93.278159999999986</v>
      </c>
      <c r="AH50" s="449"/>
      <c r="AI50" s="448">
        <f t="shared" ref="AI50:AI54" si="70">AG50-Z50</f>
        <v>3.1199999999999761</v>
      </c>
      <c r="AJ50" s="450">
        <f t="shared" ref="AJ50:AJ54" si="71">IF((Z50)=0,"",(AI50/Z50))</f>
        <v>3.4605852648279152E-2</v>
      </c>
      <c r="AK50" s="52"/>
      <c r="AL50" s="446"/>
      <c r="AM50" s="446"/>
      <c r="AN50" s="448">
        <f>SUM(AN41:AN46,AN40)</f>
        <v>96.238159999999993</v>
      </c>
      <c r="AO50" s="449"/>
      <c r="AP50" s="448">
        <f t="shared" ref="AP50:AP54" si="72">AN50-AG50</f>
        <v>2.960000000000008</v>
      </c>
      <c r="AQ50" s="450">
        <f t="shared" ref="AQ50:AQ54" si="73">IF((AG50)=0,"",(AP50/AG50))</f>
        <v>3.1733044476863696E-2</v>
      </c>
      <c r="AR50" s="451"/>
    </row>
    <row r="51" spans="1:44" ht="12.75" customHeight="1">
      <c r="A51" s="52"/>
      <c r="B51" s="452" t="s">
        <v>316</v>
      </c>
      <c r="C51" s="320"/>
      <c r="D51" s="320"/>
      <c r="E51" s="320"/>
      <c r="F51" s="445">
        <v>0.13</v>
      </c>
      <c r="G51" s="128"/>
      <c r="H51" s="490">
        <f>H50*F51</f>
        <v>9.726401945000001</v>
      </c>
      <c r="I51" s="417"/>
      <c r="J51" s="445">
        <v>0.13</v>
      </c>
      <c r="K51" s="417"/>
      <c r="L51" s="400">
        <f>L50*J51</f>
        <v>10.719225010000001</v>
      </c>
      <c r="M51" s="128"/>
      <c r="N51" s="401">
        <f t="shared" si="64"/>
        <v>0.99282306499999962</v>
      </c>
      <c r="O51" s="402">
        <f t="shared" si="65"/>
        <v>0.10207506029610208</v>
      </c>
      <c r="P51" s="52"/>
      <c r="Q51" s="453">
        <v>0.13</v>
      </c>
      <c r="R51" s="417"/>
      <c r="S51" s="400">
        <f>S50*Q51</f>
        <v>11.202825010000002</v>
      </c>
      <c r="T51" s="128"/>
      <c r="U51" s="401">
        <f t="shared" si="66"/>
        <v>0.48360000000000092</v>
      </c>
      <c r="V51" s="402">
        <f t="shared" si="67"/>
        <v>4.5115201849839782E-2</v>
      </c>
      <c r="W51" s="52"/>
      <c r="X51" s="453">
        <v>0.13</v>
      </c>
      <c r="Y51" s="417"/>
      <c r="Z51" s="400">
        <f>Z50*X51</f>
        <v>11.720560800000001</v>
      </c>
      <c r="AA51" s="128"/>
      <c r="AB51" s="401">
        <f t="shared" si="68"/>
        <v>0.5177357899999997</v>
      </c>
      <c r="AC51" s="402">
        <f t="shared" si="69"/>
        <v>4.6214752934001208E-2</v>
      </c>
      <c r="AD51" s="52"/>
      <c r="AE51" s="453">
        <v>0.13</v>
      </c>
      <c r="AF51" s="417"/>
      <c r="AG51" s="400">
        <f>AG50*AE51</f>
        <v>12.126160799999999</v>
      </c>
      <c r="AH51" s="128"/>
      <c r="AI51" s="401">
        <f t="shared" si="70"/>
        <v>0.40559999999999796</v>
      </c>
      <c r="AJ51" s="402">
        <f t="shared" si="71"/>
        <v>3.4605852648279249E-2</v>
      </c>
      <c r="AK51" s="52"/>
      <c r="AL51" s="453">
        <v>0.13</v>
      </c>
      <c r="AM51" s="417"/>
      <c r="AN51" s="400">
        <f>AN50*AL51</f>
        <v>12.510960799999999</v>
      </c>
      <c r="AO51" s="128"/>
      <c r="AP51" s="401">
        <f t="shared" si="72"/>
        <v>0.38480000000000025</v>
      </c>
      <c r="AQ51" s="402">
        <f t="shared" si="73"/>
        <v>3.1733044476863634E-2</v>
      </c>
      <c r="AR51" s="403"/>
    </row>
    <row r="52" spans="1:44" ht="12.75" customHeight="1">
      <c r="A52" s="52"/>
      <c r="B52" s="491" t="s">
        <v>338</v>
      </c>
      <c r="C52" s="320"/>
      <c r="D52" s="320"/>
      <c r="E52" s="320"/>
      <c r="F52" s="455"/>
      <c r="G52" s="128"/>
      <c r="H52" s="490">
        <f>H50+H51</f>
        <v>84.544878445000009</v>
      </c>
      <c r="I52" s="417"/>
      <c r="J52" s="455"/>
      <c r="K52" s="417"/>
      <c r="L52" s="400">
        <f>L50+L51</f>
        <v>93.174802010000008</v>
      </c>
      <c r="M52" s="128"/>
      <c r="N52" s="401">
        <f t="shared" si="64"/>
        <v>8.6299235649999986</v>
      </c>
      <c r="O52" s="402">
        <f t="shared" si="65"/>
        <v>0.1020750602961021</v>
      </c>
      <c r="P52" s="52"/>
      <c r="Q52" s="417"/>
      <c r="R52" s="417"/>
      <c r="S52" s="400">
        <f>S50+S51</f>
        <v>97.378402010000002</v>
      </c>
      <c r="T52" s="128"/>
      <c r="U52" s="401">
        <f t="shared" si="66"/>
        <v>4.2035999999999945</v>
      </c>
      <c r="V52" s="402">
        <f t="shared" si="67"/>
        <v>4.5115201849839637E-2</v>
      </c>
      <c r="W52" s="52"/>
      <c r="X52" s="417"/>
      <c r="Y52" s="417"/>
      <c r="Z52" s="400">
        <f>Z50+Z51</f>
        <v>101.87872080000001</v>
      </c>
      <c r="AA52" s="128"/>
      <c r="AB52" s="401">
        <f t="shared" si="68"/>
        <v>4.5003187900000086</v>
      </c>
      <c r="AC52" s="402">
        <f t="shared" si="69"/>
        <v>4.6214752934001332E-2</v>
      </c>
      <c r="AD52" s="52"/>
      <c r="AE52" s="417"/>
      <c r="AF52" s="417"/>
      <c r="AG52" s="400">
        <f>AG50+AG51</f>
        <v>105.40432079999998</v>
      </c>
      <c r="AH52" s="128"/>
      <c r="AI52" s="401">
        <f t="shared" si="70"/>
        <v>3.5255999999999688</v>
      </c>
      <c r="AJ52" s="402">
        <f t="shared" si="71"/>
        <v>3.460585264827911E-2</v>
      </c>
      <c r="AK52" s="52"/>
      <c r="AL52" s="417"/>
      <c r="AM52" s="417"/>
      <c r="AN52" s="400">
        <f>AN50+AN51</f>
        <v>108.74912079999999</v>
      </c>
      <c r="AO52" s="128"/>
      <c r="AP52" s="401">
        <f t="shared" si="72"/>
        <v>3.3448000000000064</v>
      </c>
      <c r="AQ52" s="402">
        <f t="shared" si="73"/>
        <v>3.1733044476863675E-2</v>
      </c>
      <c r="AR52" s="403"/>
    </row>
    <row r="53" spans="1:44" ht="15.75" customHeight="1">
      <c r="A53" s="52"/>
      <c r="B53" s="628" t="s">
        <v>273</v>
      </c>
      <c r="C53" s="615"/>
      <c r="D53" s="615"/>
      <c r="E53" s="320"/>
      <c r="F53" s="456">
        <f>'Proposed Rates'!E286</f>
        <v>0.23499999999999999</v>
      </c>
      <c r="G53" s="128"/>
      <c r="H53" s="492">
        <f>F53*H50</f>
        <v>17.5823419775</v>
      </c>
      <c r="I53" s="417"/>
      <c r="J53" s="456">
        <f>'Proposed Rates'!F286</f>
        <v>0.23499999999999999</v>
      </c>
      <c r="K53" s="417"/>
      <c r="L53" s="457">
        <f>J53*L50</f>
        <v>19.377060595</v>
      </c>
      <c r="M53" s="128"/>
      <c r="N53" s="457">
        <f t="shared" si="64"/>
        <v>1.7947186174999992</v>
      </c>
      <c r="O53" s="459">
        <f t="shared" si="65"/>
        <v>0.10207506029610208</v>
      </c>
      <c r="P53" s="52"/>
      <c r="Q53" s="458">
        <f>'Proposed Rates'!G286</f>
        <v>0.23499999999999999</v>
      </c>
      <c r="R53" s="417"/>
      <c r="S53" s="457">
        <f>Q53*S50</f>
        <v>20.251260595000002</v>
      </c>
      <c r="T53" s="128"/>
      <c r="U53" s="457">
        <f t="shared" si="66"/>
        <v>0.87420000000000186</v>
      </c>
      <c r="V53" s="459">
        <f t="shared" si="67"/>
        <v>4.5115201849839796E-2</v>
      </c>
      <c r="W53" s="52"/>
      <c r="X53" s="458">
        <f>'Proposed Rates'!H286</f>
        <v>0.23499999999999999</v>
      </c>
      <c r="Y53" s="417"/>
      <c r="Z53" s="457">
        <f>X53*Z50</f>
        <v>21.187167600000002</v>
      </c>
      <c r="AA53" s="128"/>
      <c r="AB53" s="457">
        <f t="shared" si="68"/>
        <v>0.93590700500000068</v>
      </c>
      <c r="AC53" s="459">
        <f t="shared" si="69"/>
        <v>4.621475293400127E-2</v>
      </c>
      <c r="AD53" s="52"/>
      <c r="AE53" s="458">
        <f>'Proposed Rates'!I286</f>
        <v>0.23499999999999999</v>
      </c>
      <c r="AF53" s="417"/>
      <c r="AG53" s="457">
        <f>AE53*AG50</f>
        <v>21.920367599999995</v>
      </c>
      <c r="AH53" s="128"/>
      <c r="AI53" s="457">
        <f t="shared" si="70"/>
        <v>0.73319999999999297</v>
      </c>
      <c r="AJ53" s="459">
        <f t="shared" si="71"/>
        <v>3.460585264827909E-2</v>
      </c>
      <c r="AK53" s="52"/>
      <c r="AL53" s="458">
        <f>'Proposed Rates'!J286</f>
        <v>0.23499999999999999</v>
      </c>
      <c r="AM53" s="417"/>
      <c r="AN53" s="457">
        <f>AL53*AN50</f>
        <v>22.615967599999998</v>
      </c>
      <c r="AO53" s="128"/>
      <c r="AP53" s="457">
        <f t="shared" si="72"/>
        <v>0.69560000000000244</v>
      </c>
      <c r="AQ53" s="459">
        <f t="shared" si="73"/>
        <v>3.1733044476863724E-2</v>
      </c>
      <c r="AR53" s="460"/>
    </row>
    <row r="54" spans="1:44" ht="12.75" customHeight="1">
      <c r="A54" s="52"/>
      <c r="B54" s="627" t="s">
        <v>318</v>
      </c>
      <c r="C54" s="613"/>
      <c r="D54" s="613"/>
      <c r="E54" s="461"/>
      <c r="F54" s="462"/>
      <c r="G54" s="493"/>
      <c r="H54" s="494">
        <f>H52-H53</f>
        <v>66.962536467500001</v>
      </c>
      <c r="I54" s="463"/>
      <c r="J54" s="462"/>
      <c r="K54" s="463"/>
      <c r="L54" s="464">
        <f>L52-L53</f>
        <v>73.797741415000004</v>
      </c>
      <c r="M54" s="465"/>
      <c r="N54" s="466">
        <f t="shared" si="64"/>
        <v>6.835204947500003</v>
      </c>
      <c r="O54" s="467">
        <f t="shared" si="65"/>
        <v>0.10207506029610217</v>
      </c>
      <c r="P54" s="52"/>
      <c r="Q54" s="463"/>
      <c r="R54" s="463"/>
      <c r="S54" s="464">
        <f>S52-S53</f>
        <v>77.127141414999997</v>
      </c>
      <c r="T54" s="465"/>
      <c r="U54" s="466">
        <f t="shared" si="66"/>
        <v>3.3293999999999926</v>
      </c>
      <c r="V54" s="467">
        <f t="shared" si="67"/>
        <v>4.5115201849839602E-2</v>
      </c>
      <c r="W54" s="52"/>
      <c r="X54" s="463"/>
      <c r="Y54" s="463"/>
      <c r="Z54" s="464">
        <f>Z52-Z53</f>
        <v>80.691553200000016</v>
      </c>
      <c r="AA54" s="465"/>
      <c r="AB54" s="466">
        <f t="shared" si="68"/>
        <v>3.5644117850000185</v>
      </c>
      <c r="AC54" s="467">
        <f t="shared" si="69"/>
        <v>4.6214752934001485E-2</v>
      </c>
      <c r="AD54" s="52"/>
      <c r="AE54" s="463"/>
      <c r="AF54" s="463"/>
      <c r="AG54" s="464">
        <f>AG52-AG53</f>
        <v>83.483953199999988</v>
      </c>
      <c r="AH54" s="465"/>
      <c r="AI54" s="466">
        <f t="shared" si="70"/>
        <v>2.7923999999999722</v>
      </c>
      <c r="AJ54" s="467">
        <f t="shared" si="71"/>
        <v>3.4605852648279076E-2</v>
      </c>
      <c r="AK54" s="52"/>
      <c r="AL54" s="463"/>
      <c r="AM54" s="463"/>
      <c r="AN54" s="464">
        <f>AN52-AN53</f>
        <v>86.133153199999981</v>
      </c>
      <c r="AO54" s="465"/>
      <c r="AP54" s="466">
        <f t="shared" si="72"/>
        <v>2.6491999999999933</v>
      </c>
      <c r="AQ54" s="467">
        <f t="shared" si="73"/>
        <v>3.1733044476863537E-2</v>
      </c>
      <c r="AR54" s="468"/>
    </row>
    <row r="55" spans="1:4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75" customHeight="1">
      <c r="A56" s="52"/>
      <c r="B56" s="444" t="s">
        <v>319</v>
      </c>
      <c r="C56" s="320"/>
      <c r="D56" s="320"/>
      <c r="E56" s="320"/>
      <c r="F56" s="445"/>
      <c r="G56" s="489"/>
      <c r="H56" s="447">
        <f>SUM(H47:H48,H40,H41:H43)</f>
        <v>72.938476500000007</v>
      </c>
      <c r="I56" s="482"/>
      <c r="J56" s="445"/>
      <c r="K56" s="446"/>
      <c r="L56" s="447">
        <f>SUM(L47:L48,L40,L41:L43)</f>
        <v>80.57557700000001</v>
      </c>
      <c r="M56" s="449"/>
      <c r="N56" s="448">
        <f t="shared" ref="N56:N60" si="74">L56-H56</f>
        <v>7.6371005000000025</v>
      </c>
      <c r="O56" s="450">
        <f t="shared" ref="O56:O60" si="75">IF((H56)=0,"",(N56/H56))</f>
        <v>0.10470606004500248</v>
      </c>
      <c r="P56" s="52"/>
      <c r="Q56" s="446"/>
      <c r="R56" s="446"/>
      <c r="S56" s="448">
        <f>SUM(S47:S48,S40,S41:S43)</f>
        <v>84.295577000000009</v>
      </c>
      <c r="T56" s="449"/>
      <c r="U56" s="448">
        <f t="shared" ref="U56:U60" si="76">S56-L56</f>
        <v>3.7199999999999989</v>
      </c>
      <c r="V56" s="450">
        <f t="shared" ref="V56:V60" si="77">IF((L56)=0,"",(U56/L56))</f>
        <v>4.6167835695424167E-2</v>
      </c>
      <c r="W56" s="52"/>
      <c r="X56" s="446"/>
      <c r="Y56" s="446"/>
      <c r="Z56" s="448">
        <f>SUM(Z47:Z48,Z40,Z41:Z43)</f>
        <v>88.27816</v>
      </c>
      <c r="AA56" s="449"/>
      <c r="AB56" s="448">
        <f t="shared" ref="AB56:AB60" si="78">Z56-S56</f>
        <v>3.9825829999999911</v>
      </c>
      <c r="AC56" s="450">
        <f t="shared" ref="AC56:AC60" si="79">IF((S56)=0,"",(AB56/S56))</f>
        <v>4.7245456306681317E-2</v>
      </c>
      <c r="AD56" s="52"/>
      <c r="AE56" s="446"/>
      <c r="AF56" s="446"/>
      <c r="AG56" s="448">
        <f>SUM(AG47:AG48,AG40,AG41:AG43)</f>
        <v>91.39815999999999</v>
      </c>
      <c r="AH56" s="449"/>
      <c r="AI56" s="448">
        <f t="shared" ref="AI56:AI60" si="80">AG56-Z56</f>
        <v>3.1199999999999903</v>
      </c>
      <c r="AJ56" s="450">
        <f t="shared" ref="AJ56:AJ60" si="81">IF((Z56)=0,"",(AI56/Z56))</f>
        <v>3.5342829981956925E-2</v>
      </c>
      <c r="AK56" s="52"/>
      <c r="AL56" s="446"/>
      <c r="AM56" s="446"/>
      <c r="AN56" s="448">
        <f>SUM(AN47:AN48,AN40,AN41:AN43)</f>
        <v>94.358159999999998</v>
      </c>
      <c r="AO56" s="449"/>
      <c r="AP56" s="448">
        <f t="shared" ref="AP56:AP60" si="82">AN56-AG56</f>
        <v>2.960000000000008</v>
      </c>
      <c r="AQ56" s="450">
        <f t="shared" ref="AQ56:AQ60" si="83">IF((AG56)=0,"",(AP56/AG56))</f>
        <v>3.2385772317517207E-2</v>
      </c>
      <c r="AR56" s="451"/>
    </row>
    <row r="57" spans="1:44" ht="12.75" customHeight="1">
      <c r="A57" s="52"/>
      <c r="B57" s="452" t="s">
        <v>316</v>
      </c>
      <c r="C57" s="320"/>
      <c r="D57" s="320"/>
      <c r="E57" s="320"/>
      <c r="F57" s="445">
        <v>0.13</v>
      </c>
      <c r="G57" s="489"/>
      <c r="H57" s="490">
        <f>H56*F57</f>
        <v>9.4820019450000022</v>
      </c>
      <c r="I57" s="417"/>
      <c r="J57" s="445">
        <v>0.13</v>
      </c>
      <c r="K57" s="453"/>
      <c r="L57" s="400">
        <f>L56*J57</f>
        <v>10.474825010000002</v>
      </c>
      <c r="M57" s="128"/>
      <c r="N57" s="401">
        <f t="shared" si="74"/>
        <v>0.99282306499999962</v>
      </c>
      <c r="O57" s="402">
        <f t="shared" si="75"/>
        <v>0.10470606004500238</v>
      </c>
      <c r="P57" s="52"/>
      <c r="Q57" s="445">
        <v>0.13</v>
      </c>
      <c r="R57" s="453"/>
      <c r="S57" s="400">
        <f>S56*Q57</f>
        <v>10.958425010000001</v>
      </c>
      <c r="T57" s="128"/>
      <c r="U57" s="401">
        <f t="shared" si="76"/>
        <v>0.48359999999999914</v>
      </c>
      <c r="V57" s="402">
        <f t="shared" si="77"/>
        <v>4.6167835695424098E-2</v>
      </c>
      <c r="W57" s="52"/>
      <c r="X57" s="445">
        <v>0.13</v>
      </c>
      <c r="Y57" s="453"/>
      <c r="Z57" s="400">
        <f>Z56*X57</f>
        <v>11.476160800000001</v>
      </c>
      <c r="AA57" s="128"/>
      <c r="AB57" s="401">
        <f t="shared" si="78"/>
        <v>0.5177357899999997</v>
      </c>
      <c r="AC57" s="402">
        <f t="shared" si="79"/>
        <v>4.7245456306681394E-2</v>
      </c>
      <c r="AD57" s="52"/>
      <c r="AE57" s="445">
        <v>0.13</v>
      </c>
      <c r="AF57" s="453"/>
      <c r="AG57" s="400">
        <f>AG56*AE57</f>
        <v>11.881760799999999</v>
      </c>
      <c r="AH57" s="128"/>
      <c r="AI57" s="401">
        <f t="shared" si="80"/>
        <v>0.40559999999999796</v>
      </c>
      <c r="AJ57" s="402">
        <f t="shared" si="81"/>
        <v>3.5342829981956855E-2</v>
      </c>
      <c r="AK57" s="52"/>
      <c r="AL57" s="445">
        <v>0.13</v>
      </c>
      <c r="AM57" s="453"/>
      <c r="AN57" s="400">
        <f>AN56*AL57</f>
        <v>12.266560800000001</v>
      </c>
      <c r="AO57" s="128"/>
      <c r="AP57" s="401">
        <f t="shared" si="82"/>
        <v>0.38480000000000203</v>
      </c>
      <c r="AQ57" s="402">
        <f t="shared" si="83"/>
        <v>3.238577231751729E-2</v>
      </c>
      <c r="AR57" s="403"/>
    </row>
    <row r="58" spans="1:44" ht="12.75" customHeight="1">
      <c r="A58" s="52"/>
      <c r="B58" s="491" t="s">
        <v>339</v>
      </c>
      <c r="C58" s="320"/>
      <c r="D58" s="320"/>
      <c r="E58" s="320"/>
      <c r="F58" s="455"/>
      <c r="G58" s="128"/>
      <c r="H58" s="490">
        <f>H56+H57</f>
        <v>82.420478445000015</v>
      </c>
      <c r="I58" s="417"/>
      <c r="J58" s="455"/>
      <c r="K58" s="417"/>
      <c r="L58" s="400">
        <f>L56+L57</f>
        <v>91.050402010000013</v>
      </c>
      <c r="M58" s="128"/>
      <c r="N58" s="401">
        <f t="shared" si="74"/>
        <v>8.6299235649999986</v>
      </c>
      <c r="O58" s="402">
        <f t="shared" si="75"/>
        <v>0.10470606004500241</v>
      </c>
      <c r="P58" s="52"/>
      <c r="Q58" s="417"/>
      <c r="R58" s="417"/>
      <c r="S58" s="400">
        <f>S56+S57</f>
        <v>95.254002010000008</v>
      </c>
      <c r="T58" s="128"/>
      <c r="U58" s="401">
        <f t="shared" si="76"/>
        <v>4.2035999999999945</v>
      </c>
      <c r="V58" s="402">
        <f t="shared" si="77"/>
        <v>4.6167835695424118E-2</v>
      </c>
      <c r="W58" s="52"/>
      <c r="X58" s="417"/>
      <c r="Y58" s="417"/>
      <c r="Z58" s="400">
        <f>Z56+Z57</f>
        <v>99.754320800000002</v>
      </c>
      <c r="AA58" s="128"/>
      <c r="AB58" s="401">
        <f t="shared" si="78"/>
        <v>4.5003187899999944</v>
      </c>
      <c r="AC58" s="402">
        <f t="shared" si="79"/>
        <v>4.7245456306681366E-2</v>
      </c>
      <c r="AD58" s="52"/>
      <c r="AE58" s="417"/>
      <c r="AF58" s="417"/>
      <c r="AG58" s="400">
        <f>AG56+AG57</f>
        <v>103.27992079999999</v>
      </c>
      <c r="AH58" s="128"/>
      <c r="AI58" s="401">
        <f t="shared" si="80"/>
        <v>3.525599999999983</v>
      </c>
      <c r="AJ58" s="402">
        <f t="shared" si="81"/>
        <v>3.5342829981956862E-2</v>
      </c>
      <c r="AK58" s="52"/>
      <c r="AL58" s="417"/>
      <c r="AM58" s="417"/>
      <c r="AN58" s="400">
        <f>AN56+AN57</f>
        <v>106.62472080000001</v>
      </c>
      <c r="AO58" s="128"/>
      <c r="AP58" s="401">
        <f t="shared" si="82"/>
        <v>3.3448000000000206</v>
      </c>
      <c r="AQ58" s="402">
        <f t="shared" si="83"/>
        <v>3.2385772317517318E-2</v>
      </c>
      <c r="AR58" s="403"/>
    </row>
    <row r="59" spans="1:44" ht="15.75" customHeight="1">
      <c r="A59" s="52"/>
      <c r="B59" s="628" t="s">
        <v>273</v>
      </c>
      <c r="C59" s="615"/>
      <c r="D59" s="615"/>
      <c r="E59" s="320"/>
      <c r="F59" s="456">
        <f>F53</f>
        <v>0.23499999999999999</v>
      </c>
      <c r="G59" s="128"/>
      <c r="H59" s="492">
        <f>F59*H56</f>
        <v>17.1405419775</v>
      </c>
      <c r="I59" s="417"/>
      <c r="J59" s="456">
        <f>J53</f>
        <v>0.23499999999999999</v>
      </c>
      <c r="K59" s="417"/>
      <c r="L59" s="457">
        <f>J59*L56</f>
        <v>18.935260595000003</v>
      </c>
      <c r="M59" s="128"/>
      <c r="N59" s="457">
        <f t="shared" si="74"/>
        <v>1.7947186175000027</v>
      </c>
      <c r="O59" s="459">
        <f t="shared" si="75"/>
        <v>0.1047060600450026</v>
      </c>
      <c r="P59" s="52"/>
      <c r="Q59" s="458">
        <f>Q53</f>
        <v>0.23499999999999999</v>
      </c>
      <c r="R59" s="417"/>
      <c r="S59" s="457">
        <f>Q59*S56</f>
        <v>19.809460595000001</v>
      </c>
      <c r="T59" s="128"/>
      <c r="U59" s="457">
        <f t="shared" si="76"/>
        <v>0.87419999999999831</v>
      </c>
      <c r="V59" s="459">
        <f t="shared" si="77"/>
        <v>4.6167835695424091E-2</v>
      </c>
      <c r="W59" s="52"/>
      <c r="X59" s="458">
        <f>X53</f>
        <v>0.23499999999999999</v>
      </c>
      <c r="Y59" s="417"/>
      <c r="Z59" s="457">
        <f>X59*Z56</f>
        <v>20.745367599999998</v>
      </c>
      <c r="AA59" s="128"/>
      <c r="AB59" s="457">
        <f t="shared" si="78"/>
        <v>0.93590700499999713</v>
      </c>
      <c r="AC59" s="459">
        <f t="shared" si="79"/>
        <v>4.7245456306681283E-2</v>
      </c>
      <c r="AD59" s="52"/>
      <c r="AE59" s="458">
        <f>AE53</f>
        <v>0.23499999999999999</v>
      </c>
      <c r="AF59" s="417"/>
      <c r="AG59" s="457">
        <f>AE59*AG56</f>
        <v>21.478567599999998</v>
      </c>
      <c r="AH59" s="128"/>
      <c r="AI59" s="457">
        <f t="shared" si="80"/>
        <v>0.73320000000000007</v>
      </c>
      <c r="AJ59" s="459">
        <f t="shared" si="81"/>
        <v>3.5342829981957036E-2</v>
      </c>
      <c r="AK59" s="52"/>
      <c r="AL59" s="458">
        <f>AL53</f>
        <v>0.23499999999999999</v>
      </c>
      <c r="AM59" s="417"/>
      <c r="AN59" s="457">
        <f>AL59*AN56</f>
        <v>22.174167599999997</v>
      </c>
      <c r="AO59" s="128"/>
      <c r="AP59" s="457">
        <f t="shared" si="82"/>
        <v>0.69559999999999889</v>
      </c>
      <c r="AQ59" s="459">
        <f t="shared" si="83"/>
        <v>3.2385772317517068E-2</v>
      </c>
      <c r="AR59" s="460"/>
    </row>
    <row r="60" spans="1:44" ht="12.75" customHeight="1">
      <c r="A60" s="52"/>
      <c r="B60" s="627" t="s">
        <v>321</v>
      </c>
      <c r="C60" s="613"/>
      <c r="D60" s="613"/>
      <c r="E60" s="461"/>
      <c r="F60" s="469"/>
      <c r="G60" s="495"/>
      <c r="H60" s="496">
        <f>H58-H59</f>
        <v>65.279936467500022</v>
      </c>
      <c r="I60" s="470"/>
      <c r="J60" s="469"/>
      <c r="K60" s="470"/>
      <c r="L60" s="471">
        <f>L58-L59</f>
        <v>72.115141415000011</v>
      </c>
      <c r="M60" s="472"/>
      <c r="N60" s="473">
        <f t="shared" si="74"/>
        <v>6.8352049474999887</v>
      </c>
      <c r="O60" s="474">
        <f t="shared" si="75"/>
        <v>0.10470606004500224</v>
      </c>
      <c r="P60" s="52"/>
      <c r="Q60" s="470"/>
      <c r="R60" s="470"/>
      <c r="S60" s="471">
        <f>S58-S59</f>
        <v>75.444541415000003</v>
      </c>
      <c r="T60" s="472"/>
      <c r="U60" s="473">
        <f t="shared" si="76"/>
        <v>3.3293999999999926</v>
      </c>
      <c r="V60" s="474">
        <f t="shared" si="77"/>
        <v>4.6167835695424077E-2</v>
      </c>
      <c r="W60" s="52"/>
      <c r="X60" s="470"/>
      <c r="Y60" s="470"/>
      <c r="Z60" s="471">
        <f>Z58-Z59</f>
        <v>79.008953200000008</v>
      </c>
      <c r="AA60" s="472"/>
      <c r="AB60" s="473">
        <f t="shared" si="78"/>
        <v>3.5644117850000043</v>
      </c>
      <c r="AC60" s="474">
        <f t="shared" si="79"/>
        <v>4.7245456306681484E-2</v>
      </c>
      <c r="AD60" s="52"/>
      <c r="AE60" s="470"/>
      <c r="AF60" s="470"/>
      <c r="AG60" s="471">
        <f>AG58-AG59</f>
        <v>81.801353199999994</v>
      </c>
      <c r="AH60" s="472"/>
      <c r="AI60" s="473">
        <f t="shared" si="80"/>
        <v>2.7923999999999864</v>
      </c>
      <c r="AJ60" s="474">
        <f t="shared" si="81"/>
        <v>3.5342829981956855E-2</v>
      </c>
      <c r="AK60" s="52"/>
      <c r="AL60" s="470"/>
      <c r="AM60" s="470"/>
      <c r="AN60" s="471">
        <f>AN58-AN59</f>
        <v>84.450553200000002</v>
      </c>
      <c r="AO60" s="472"/>
      <c r="AP60" s="473">
        <f t="shared" si="82"/>
        <v>2.6492000000000075</v>
      </c>
      <c r="AQ60" s="474">
        <f t="shared" si="83"/>
        <v>3.2385772317517207E-2</v>
      </c>
      <c r="AR60" s="468"/>
    </row>
    <row r="61" spans="1:4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5.75" customHeight="1">
      <c r="A65" s="479" t="s">
        <v>340</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A00-000000000000}">
      <formula1>"TOU,non-TOU"</formula1>
    </dataValidation>
    <dataValidation type="list" allowBlank="1" showErrorMessage="1" sqref="E15:E28 E30:E36 E38:E39 E41:E49 E55 E61" xr:uid="{00000000-0002-0000-0A00-000001000000}">
      <formula1>#REF!</formula1>
    </dataValidation>
    <dataValidation type="list" allowBlank="1" showInputMessage="1" showErrorMessage="1" prompt="Select Charge Unit - monthly, per kWh, per kW" sqref="D15:D28 D30:D36 D38:D39 D41:D49 D55 D61" xr:uid="{00000000-0002-0000-0A00-000002000000}">
      <formula1>"Monthly,per kWh,per kW"</formula1>
    </dataValidation>
  </dataValidations>
  <pageMargins left="0.74803149606299213" right="0.74803149606299213" top="0.98425196850393704" bottom="0.98425196850393704"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5"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row>
    <row r="2" spans="1:44" ht="18.75"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4"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75"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75" customHeight="1">
      <c r="A10" s="52"/>
      <c r="B10" s="52"/>
      <c r="C10" s="52"/>
      <c r="D10" s="306" t="s">
        <v>297</v>
      </c>
      <c r="E10" s="306"/>
      <c r="F10" s="386">
        <v>500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row>
    <row r="16" spans="1:44"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500</v>
      </c>
      <c r="H17" s="400">
        <f t="shared" si="2"/>
        <v>0</v>
      </c>
      <c r="I17" s="128"/>
      <c r="J17" s="397">
        <f>IFERROR(VLOOKUP($C17,'Proposed Rates'!$B:$J,J$11,FALSE),0)</f>
        <v>0</v>
      </c>
      <c r="K17" s="398">
        <f t="shared" si="3"/>
        <v>500</v>
      </c>
      <c r="L17" s="400">
        <f t="shared" si="4"/>
        <v>0</v>
      </c>
      <c r="M17" s="128"/>
      <c r="N17" s="401">
        <f t="shared" si="5"/>
        <v>0</v>
      </c>
      <c r="O17" s="402" t="str">
        <f t="shared" si="6"/>
        <v/>
      </c>
      <c r="P17" s="52"/>
      <c r="Q17" s="397">
        <f>IFERROR(VLOOKUP($C17,'Proposed Rates'!$B:$J,Q$11,FALSE),0)</f>
        <v>0</v>
      </c>
      <c r="R17" s="398">
        <f t="shared" si="7"/>
        <v>500</v>
      </c>
      <c r="S17" s="400">
        <f t="shared" si="8"/>
        <v>0</v>
      </c>
      <c r="T17" s="128"/>
      <c r="U17" s="401">
        <f t="shared" si="9"/>
        <v>0</v>
      </c>
      <c r="V17" s="402" t="str">
        <f t="shared" si="10"/>
        <v/>
      </c>
      <c r="W17" s="52"/>
      <c r="X17" s="397">
        <f>IFERROR(VLOOKUP($C17,'Proposed Rates'!$B:$J,X$11,FALSE),0)</f>
        <v>0</v>
      </c>
      <c r="Y17" s="398">
        <f t="shared" si="11"/>
        <v>500</v>
      </c>
      <c r="Z17" s="400">
        <f t="shared" si="12"/>
        <v>0</v>
      </c>
      <c r="AA17" s="128"/>
      <c r="AB17" s="401">
        <f t="shared" si="13"/>
        <v>0</v>
      </c>
      <c r="AC17" s="402" t="str">
        <f t="shared" si="14"/>
        <v/>
      </c>
      <c r="AD17" s="52"/>
      <c r="AE17" s="397">
        <f>IFERROR(VLOOKUP($C17,'Proposed Rates'!$B:$J,AE$11,FALSE),0)</f>
        <v>0</v>
      </c>
      <c r="AF17" s="398">
        <f t="shared" si="15"/>
        <v>500</v>
      </c>
      <c r="AG17" s="400">
        <f t="shared" si="16"/>
        <v>0</v>
      </c>
      <c r="AH17" s="128"/>
      <c r="AI17" s="401">
        <f t="shared" si="17"/>
        <v>0</v>
      </c>
      <c r="AJ17" s="402" t="str">
        <f t="shared" si="18"/>
        <v/>
      </c>
      <c r="AK17" s="52"/>
      <c r="AL17" s="397">
        <f>IFERROR(VLOOKUP($C17,'Proposed Rates'!$B:$J,AL$11,FALSE),0)</f>
        <v>0</v>
      </c>
      <c r="AM17" s="398">
        <f t="shared" si="19"/>
        <v>500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75" customHeight="1">
      <c r="A19" s="52"/>
      <c r="B19" s="320" t="s">
        <v>59</v>
      </c>
      <c r="C19" s="395" t="str">
        <f t="shared" si="0"/>
        <v>Residential.Distribution Volumetric Rate</v>
      </c>
      <c r="D19" s="396" t="s">
        <v>308</v>
      </c>
      <c r="E19" s="320"/>
      <c r="F19" s="397">
        <f>IFERROR(VLOOKUP($C19,'Proposed Rates'!$B:$J,F$11,FALSE),0)</f>
        <v>0</v>
      </c>
      <c r="G19" s="398">
        <f t="shared" si="1"/>
        <v>500</v>
      </c>
      <c r="H19" s="400">
        <f t="shared" si="2"/>
        <v>0</v>
      </c>
      <c r="I19" s="128"/>
      <c r="J19" s="397">
        <f>IFERROR(VLOOKUP($C19,'Proposed Rates'!$B:$J,J$11,FALSE),0)</f>
        <v>0</v>
      </c>
      <c r="K19" s="398">
        <f t="shared" si="3"/>
        <v>500</v>
      </c>
      <c r="L19" s="400">
        <f t="shared" si="4"/>
        <v>0</v>
      </c>
      <c r="M19" s="128"/>
      <c r="N19" s="401">
        <f t="shared" si="5"/>
        <v>0</v>
      </c>
      <c r="O19" s="402" t="str">
        <f t="shared" si="6"/>
        <v/>
      </c>
      <c r="P19" s="52"/>
      <c r="Q19" s="397">
        <f>IFERROR(VLOOKUP($C19,'Proposed Rates'!$B:$J,Q$11,FALSE),0)</f>
        <v>0</v>
      </c>
      <c r="R19" s="398">
        <f t="shared" si="7"/>
        <v>500</v>
      </c>
      <c r="S19" s="400">
        <f t="shared" si="8"/>
        <v>0</v>
      </c>
      <c r="T19" s="128"/>
      <c r="U19" s="401">
        <f t="shared" si="9"/>
        <v>0</v>
      </c>
      <c r="V19" s="402" t="str">
        <f t="shared" si="10"/>
        <v/>
      </c>
      <c r="W19" s="52"/>
      <c r="X19" s="397">
        <f>IFERROR(VLOOKUP($C19,'Proposed Rates'!$B:$J,X$11,FALSE),0)</f>
        <v>0</v>
      </c>
      <c r="Y19" s="398">
        <f t="shared" si="11"/>
        <v>500</v>
      </c>
      <c r="Z19" s="400">
        <f t="shared" si="12"/>
        <v>0</v>
      </c>
      <c r="AA19" s="128"/>
      <c r="AB19" s="401">
        <f t="shared" si="13"/>
        <v>0</v>
      </c>
      <c r="AC19" s="402" t="str">
        <f t="shared" si="14"/>
        <v/>
      </c>
      <c r="AD19" s="52"/>
      <c r="AE19" s="397">
        <f>IFERROR(VLOOKUP($C19,'Proposed Rates'!$B:$J,AE$11,FALSE),0)</f>
        <v>0</v>
      </c>
      <c r="AF19" s="398">
        <f t="shared" si="15"/>
        <v>500</v>
      </c>
      <c r="AG19" s="400">
        <f t="shared" si="16"/>
        <v>0</v>
      </c>
      <c r="AH19" s="128"/>
      <c r="AI19" s="401">
        <f t="shared" si="17"/>
        <v>0</v>
      </c>
      <c r="AJ19" s="402" t="str">
        <f t="shared" si="18"/>
        <v/>
      </c>
      <c r="AK19" s="52"/>
      <c r="AL19" s="397">
        <f>IFERROR(VLOOKUP($C19,'Proposed Rates'!$B:$J,AL$11,FALSE),0)</f>
        <v>0</v>
      </c>
      <c r="AM19" s="398">
        <f t="shared" si="19"/>
        <v>500</v>
      </c>
      <c r="AN19" s="400">
        <f t="shared" si="20"/>
        <v>0</v>
      </c>
      <c r="AO19" s="128"/>
      <c r="AP19" s="401">
        <f t="shared" si="21"/>
        <v>0</v>
      </c>
      <c r="AQ19" s="402" t="str">
        <f t="shared" si="22"/>
        <v/>
      </c>
      <c r="AR19" s="403"/>
    </row>
    <row r="20" spans="1:44" ht="12.75" customHeight="1">
      <c r="A20" s="52"/>
      <c r="B20" s="320" t="s">
        <v>309</v>
      </c>
      <c r="C20" s="395" t="str">
        <f t="shared" si="0"/>
        <v>Residential.Smart Meter Disposition Rider</v>
      </c>
      <c r="D20" s="396" t="s">
        <v>308</v>
      </c>
      <c r="E20" s="320"/>
      <c r="F20" s="397">
        <f>IFERROR(VLOOKUP($C20,'Proposed Rates'!$B:$J,F$11,FALSE),0)</f>
        <v>0</v>
      </c>
      <c r="G20" s="398">
        <f t="shared" si="1"/>
        <v>500</v>
      </c>
      <c r="H20" s="400">
        <f t="shared" si="2"/>
        <v>0</v>
      </c>
      <c r="I20" s="128"/>
      <c r="J20" s="397">
        <f>IFERROR(VLOOKUP($C20,'Proposed Rates'!$B:$J,J$11,FALSE),0)</f>
        <v>0</v>
      </c>
      <c r="K20" s="398">
        <f t="shared" si="3"/>
        <v>500</v>
      </c>
      <c r="L20" s="400">
        <f t="shared" si="4"/>
        <v>0</v>
      </c>
      <c r="M20" s="128"/>
      <c r="N20" s="401">
        <f t="shared" si="5"/>
        <v>0</v>
      </c>
      <c r="O20" s="402" t="str">
        <f t="shared" si="6"/>
        <v/>
      </c>
      <c r="P20" s="52"/>
      <c r="Q20" s="397">
        <f>IFERROR(VLOOKUP($C20,'Proposed Rates'!$B:$J,Q$11,FALSE),0)</f>
        <v>0</v>
      </c>
      <c r="R20" s="398">
        <f t="shared" si="7"/>
        <v>500</v>
      </c>
      <c r="S20" s="400">
        <f t="shared" si="8"/>
        <v>0</v>
      </c>
      <c r="T20" s="128"/>
      <c r="U20" s="401">
        <f t="shared" si="9"/>
        <v>0</v>
      </c>
      <c r="V20" s="402" t="str">
        <f t="shared" si="10"/>
        <v/>
      </c>
      <c r="W20" s="52"/>
      <c r="X20" s="397">
        <f>IFERROR(VLOOKUP($C20,'Proposed Rates'!$B:$J,X$11,FALSE),0)</f>
        <v>0</v>
      </c>
      <c r="Y20" s="398">
        <f t="shared" si="11"/>
        <v>500</v>
      </c>
      <c r="Z20" s="400">
        <f t="shared" si="12"/>
        <v>0</v>
      </c>
      <c r="AA20" s="128"/>
      <c r="AB20" s="401">
        <f t="shared" si="13"/>
        <v>0</v>
      </c>
      <c r="AC20" s="402" t="str">
        <f t="shared" si="14"/>
        <v/>
      </c>
      <c r="AD20" s="52"/>
      <c r="AE20" s="397">
        <f>IFERROR(VLOOKUP($C20,'Proposed Rates'!$B:$J,AE$11,FALSE),0)</f>
        <v>0</v>
      </c>
      <c r="AF20" s="398">
        <f t="shared" si="15"/>
        <v>500</v>
      </c>
      <c r="AG20" s="400">
        <f t="shared" si="16"/>
        <v>0</v>
      </c>
      <c r="AH20" s="128"/>
      <c r="AI20" s="401">
        <f t="shared" si="17"/>
        <v>0</v>
      </c>
      <c r="AJ20" s="402" t="str">
        <f t="shared" si="18"/>
        <v/>
      </c>
      <c r="AK20" s="52"/>
      <c r="AL20" s="397">
        <f>IFERROR(VLOOKUP($C20,'Proposed Rates'!$B:$J,AL$11,FALSE),0)</f>
        <v>0</v>
      </c>
      <c r="AM20" s="398">
        <f t="shared" si="19"/>
        <v>500</v>
      </c>
      <c r="AN20" s="400">
        <f t="shared" si="20"/>
        <v>0</v>
      </c>
      <c r="AO20" s="128"/>
      <c r="AP20" s="401">
        <f t="shared" si="21"/>
        <v>0</v>
      </c>
      <c r="AQ20" s="402" t="str">
        <f t="shared" si="22"/>
        <v/>
      </c>
      <c r="AR20" s="403"/>
    </row>
    <row r="21" spans="1:4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75" customHeight="1">
      <c r="A22" s="52"/>
      <c r="B22" s="48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75" customHeight="1">
      <c r="A26" s="52"/>
      <c r="B26" s="48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75"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500</v>
      </c>
      <c r="H30" s="400">
        <f t="shared" ref="H30:H36" si="25">G30*F30</f>
        <v>-0.1</v>
      </c>
      <c r="I30" s="128"/>
      <c r="J30" s="414">
        <f>IFERROR(VLOOKUP($C30,'Proposed Rates'!$B:$J,J$11,FALSE),0)</f>
        <v>-5.9999999999999995E-4</v>
      </c>
      <c r="K30" s="415">
        <f t="shared" ref="K30:K33" si="26">IF($D30="Monthly",1,IF($D30="per KWH",$F$10,0))</f>
        <v>500</v>
      </c>
      <c r="L30" s="416">
        <f t="shared" ref="L30:L36" si="27">K30*J30</f>
        <v>-0.3</v>
      </c>
      <c r="M30" s="128"/>
      <c r="N30" s="401">
        <f t="shared" si="5"/>
        <v>-0.19999999999999998</v>
      </c>
      <c r="O30" s="402">
        <f t="shared" si="6"/>
        <v>1.9999999999999998</v>
      </c>
      <c r="P30" s="52"/>
      <c r="Q30" s="414">
        <f>IFERROR(VLOOKUP($C30,'Proposed Rates'!$B:$J,Q$11,FALSE),0)</f>
        <v>0</v>
      </c>
      <c r="R30" s="415">
        <f t="shared" ref="R30:R33" si="28">IF($D30="Monthly",1,IF($D30="per KWH",$F$10,0))</f>
        <v>500</v>
      </c>
      <c r="S30" s="400">
        <f t="shared" ref="S30:S36" si="29">R30*Q30</f>
        <v>0</v>
      </c>
      <c r="T30" s="128"/>
      <c r="U30" s="401">
        <f t="shared" si="9"/>
        <v>0.3</v>
      </c>
      <c r="V30" s="402">
        <f t="shared" si="10"/>
        <v>-1</v>
      </c>
      <c r="W30" s="52"/>
      <c r="X30" s="414">
        <f>IFERROR(VLOOKUP($C30,'Proposed Rates'!$B:$J,X$11,FALSE),0)</f>
        <v>0</v>
      </c>
      <c r="Y30" s="415">
        <f t="shared" ref="Y30:Y33" si="30">IF($D30="Monthly",1,IF($D30="per KWH",$F$10,0))</f>
        <v>500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500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500</v>
      </c>
      <c r="AN30" s="400">
        <f t="shared" ref="AN30:AN36" si="35">AM30*AL30</f>
        <v>0</v>
      </c>
      <c r="AO30" s="128"/>
      <c r="AP30" s="401">
        <f t="shared" si="21"/>
        <v>0</v>
      </c>
      <c r="AQ30" s="402" t="str">
        <f t="shared" si="22"/>
        <v/>
      </c>
      <c r="AR30" s="403"/>
    </row>
    <row r="31" spans="1:44" ht="12.75" customHeight="1">
      <c r="A31" s="52"/>
      <c r="B31" s="484" t="s">
        <v>236</v>
      </c>
      <c r="C31" s="395" t="str">
        <f t="shared" si="23"/>
        <v>Residential.DVA Disposition Rate Rider Group 1 - 2024</v>
      </c>
      <c r="D31" s="396" t="s">
        <v>308</v>
      </c>
      <c r="E31" s="320"/>
      <c r="F31" s="414">
        <f>IFERROR(VLOOKUP($C31,'Proposed Rates'!$B:$J,F$11,FALSE),0)</f>
        <v>0</v>
      </c>
      <c r="G31" s="415">
        <f t="shared" si="24"/>
        <v>500</v>
      </c>
      <c r="H31" s="498">
        <f t="shared" si="25"/>
        <v>0</v>
      </c>
      <c r="I31" s="485"/>
      <c r="J31" s="414">
        <f>IFERROR(VLOOKUP($C31,'Proposed Rates'!$B:$J,J$11,FALSE),0)</f>
        <v>0</v>
      </c>
      <c r="K31" s="415">
        <f t="shared" si="26"/>
        <v>500</v>
      </c>
      <c r="L31" s="498">
        <f t="shared" si="27"/>
        <v>0</v>
      </c>
      <c r="M31" s="417"/>
      <c r="N31" s="401">
        <f t="shared" si="5"/>
        <v>0</v>
      </c>
      <c r="O31" s="402" t="str">
        <f t="shared" si="6"/>
        <v/>
      </c>
      <c r="P31" s="52"/>
      <c r="Q31" s="414">
        <f>IFERROR(VLOOKUP($C31,'Proposed Rates'!$B:$J,Q$11,FALSE),0)</f>
        <v>0</v>
      </c>
      <c r="R31" s="415">
        <f t="shared" si="28"/>
        <v>500</v>
      </c>
      <c r="S31" s="498">
        <f t="shared" si="29"/>
        <v>0</v>
      </c>
      <c r="T31" s="417"/>
      <c r="U31" s="401">
        <f t="shared" si="9"/>
        <v>0</v>
      </c>
      <c r="V31" s="402" t="str">
        <f t="shared" si="10"/>
        <v/>
      </c>
      <c r="W31" s="52"/>
      <c r="X31" s="414">
        <f>IFERROR(VLOOKUP($C31,'Proposed Rates'!$B:$J,X$11,FALSE),0)</f>
        <v>0</v>
      </c>
      <c r="Y31" s="415">
        <f t="shared" si="30"/>
        <v>500</v>
      </c>
      <c r="Z31" s="498">
        <f t="shared" si="31"/>
        <v>0</v>
      </c>
      <c r="AA31" s="417"/>
      <c r="AB31" s="401">
        <f t="shared" si="13"/>
        <v>0</v>
      </c>
      <c r="AC31" s="402" t="str">
        <f t="shared" si="14"/>
        <v/>
      </c>
      <c r="AD31" s="52"/>
      <c r="AE31" s="414">
        <f>IFERROR(VLOOKUP($C31,'Proposed Rates'!$B:$J,AE$11,FALSE),0)</f>
        <v>0</v>
      </c>
      <c r="AF31" s="415">
        <f t="shared" si="32"/>
        <v>500</v>
      </c>
      <c r="AG31" s="498">
        <f t="shared" si="33"/>
        <v>0</v>
      </c>
      <c r="AH31" s="417"/>
      <c r="AI31" s="401">
        <f t="shared" si="17"/>
        <v>0</v>
      </c>
      <c r="AJ31" s="402" t="str">
        <f t="shared" si="18"/>
        <v/>
      </c>
      <c r="AK31" s="52"/>
      <c r="AL31" s="414">
        <f>IFERROR(VLOOKUP($C31,'Proposed Rates'!$B:$J,AL$11,FALSE),0)</f>
        <v>0</v>
      </c>
      <c r="AM31" s="415">
        <f t="shared" si="34"/>
        <v>500</v>
      </c>
      <c r="AN31" s="498">
        <f t="shared" si="35"/>
        <v>0</v>
      </c>
      <c r="AO31" s="417"/>
      <c r="AP31" s="401">
        <f t="shared" si="21"/>
        <v>0</v>
      </c>
      <c r="AQ31" s="402" t="str">
        <f t="shared" si="22"/>
        <v/>
      </c>
      <c r="AR31" s="403"/>
    </row>
    <row r="32" spans="1:44" ht="12.75" customHeight="1">
      <c r="A32" s="52"/>
      <c r="B32" s="484" t="s">
        <v>244</v>
      </c>
      <c r="C32" s="395" t="str">
        <f t="shared" si="23"/>
        <v>Residential.CBR Class B Rate Riders</v>
      </c>
      <c r="D32" s="396" t="s">
        <v>308</v>
      </c>
      <c r="E32" s="320"/>
      <c r="F32" s="414">
        <f>IFERROR(VLOOKUP($C32,'Proposed Rates'!$B:$J,F$11,FALSE),0)</f>
        <v>2.0000000000000001E-4</v>
      </c>
      <c r="G32" s="415">
        <f t="shared" si="24"/>
        <v>500</v>
      </c>
      <c r="H32" s="400">
        <f t="shared" si="25"/>
        <v>0.1</v>
      </c>
      <c r="I32" s="485"/>
      <c r="J32" s="414">
        <f>IFERROR(VLOOKUP($C32,'Proposed Rates'!$B:$J,J$11,FALSE),0)</f>
        <v>4.0000000000000002E-4</v>
      </c>
      <c r="K32" s="415">
        <f t="shared" si="26"/>
        <v>500</v>
      </c>
      <c r="L32" s="400">
        <f t="shared" si="27"/>
        <v>0.2</v>
      </c>
      <c r="M32" s="417"/>
      <c r="N32" s="401">
        <f t="shared" si="5"/>
        <v>0.1</v>
      </c>
      <c r="O32" s="402">
        <f t="shared" si="6"/>
        <v>1</v>
      </c>
      <c r="P32" s="52"/>
      <c r="Q32" s="414">
        <f>IFERROR(VLOOKUP($C32,'Proposed Rates'!$B:$J,Q$11,FALSE),0)</f>
        <v>0</v>
      </c>
      <c r="R32" s="415">
        <f t="shared" si="28"/>
        <v>500</v>
      </c>
      <c r="S32" s="400">
        <f t="shared" si="29"/>
        <v>0</v>
      </c>
      <c r="T32" s="417"/>
      <c r="U32" s="401">
        <f t="shared" si="9"/>
        <v>-0.2</v>
      </c>
      <c r="V32" s="402">
        <f t="shared" si="10"/>
        <v>-1</v>
      </c>
      <c r="W32" s="52"/>
      <c r="X32" s="414">
        <f>IFERROR(VLOOKUP($C32,'Proposed Rates'!$B:$J,X$11,FALSE),0)</f>
        <v>0</v>
      </c>
      <c r="Y32" s="415">
        <f t="shared" si="30"/>
        <v>500</v>
      </c>
      <c r="Z32" s="400">
        <f t="shared" si="31"/>
        <v>0</v>
      </c>
      <c r="AA32" s="417"/>
      <c r="AB32" s="401">
        <f t="shared" si="13"/>
        <v>0</v>
      </c>
      <c r="AC32" s="402" t="str">
        <f t="shared" si="14"/>
        <v/>
      </c>
      <c r="AD32" s="52"/>
      <c r="AE32" s="414">
        <f>IFERROR(VLOOKUP($C32,'Proposed Rates'!$B:$J,AE$11,FALSE),0)</f>
        <v>0</v>
      </c>
      <c r="AF32" s="415">
        <f t="shared" si="32"/>
        <v>500</v>
      </c>
      <c r="AG32" s="400">
        <f t="shared" si="33"/>
        <v>0</v>
      </c>
      <c r="AH32" s="417"/>
      <c r="AI32" s="401">
        <f t="shared" si="17"/>
        <v>0</v>
      </c>
      <c r="AJ32" s="402" t="str">
        <f t="shared" si="18"/>
        <v/>
      </c>
      <c r="AK32" s="52"/>
      <c r="AL32" s="414">
        <f>IFERROR(VLOOKUP($C32,'Proposed Rates'!$B:$J,AL$11,FALSE),0)</f>
        <v>0</v>
      </c>
      <c r="AM32" s="415">
        <f t="shared" si="34"/>
        <v>500</v>
      </c>
      <c r="AN32" s="400">
        <f t="shared" si="35"/>
        <v>0</v>
      </c>
      <c r="AO32" s="417"/>
      <c r="AP32" s="401">
        <f t="shared" si="21"/>
        <v>0</v>
      </c>
      <c r="AQ32" s="402" t="str">
        <f t="shared" si="22"/>
        <v/>
      </c>
      <c r="AR32" s="403"/>
    </row>
    <row r="33" spans="1:44" ht="12.75" customHeight="1">
      <c r="A33" s="52"/>
      <c r="B33" s="484" t="s">
        <v>311</v>
      </c>
      <c r="C33" s="395" t="str">
        <f t="shared" si="23"/>
        <v>Residential.GA Disposition Rate Rider-NonRPP</v>
      </c>
      <c r="D33" s="396" t="s">
        <v>308</v>
      </c>
      <c r="E33" s="320"/>
      <c r="F33" s="414">
        <f>IFERROR(VLOOKUP($C33,'Proposed Rates'!$B:$J,F$11,FALSE),0)</f>
        <v>0</v>
      </c>
      <c r="G33" s="415">
        <f t="shared" si="24"/>
        <v>500</v>
      </c>
      <c r="H33" s="400">
        <f t="shared" si="25"/>
        <v>0</v>
      </c>
      <c r="I33" s="485"/>
      <c r="J33" s="414">
        <f>IFERROR(VLOOKUP($C33,'Proposed Rates'!$B:$J,J$11,FALSE),0)</f>
        <v>0</v>
      </c>
      <c r="K33" s="415">
        <f t="shared" si="26"/>
        <v>500</v>
      </c>
      <c r="L33" s="400">
        <f t="shared" si="27"/>
        <v>0</v>
      </c>
      <c r="M33" s="417"/>
      <c r="N33" s="401">
        <f t="shared" si="5"/>
        <v>0</v>
      </c>
      <c r="O33" s="402" t="str">
        <f t="shared" si="6"/>
        <v/>
      </c>
      <c r="P33" s="52"/>
      <c r="Q33" s="414">
        <f>IFERROR(VLOOKUP($C33,'Proposed Rates'!$B:$J,Q$11,FALSE),0)</f>
        <v>0</v>
      </c>
      <c r="R33" s="415">
        <f t="shared" si="28"/>
        <v>500</v>
      </c>
      <c r="S33" s="400">
        <f t="shared" si="29"/>
        <v>0</v>
      </c>
      <c r="T33" s="417"/>
      <c r="U33" s="401">
        <f t="shared" si="9"/>
        <v>0</v>
      </c>
      <c r="V33" s="402" t="str">
        <f t="shared" si="10"/>
        <v/>
      </c>
      <c r="W33" s="52"/>
      <c r="X33" s="414">
        <f>IFERROR(VLOOKUP($C33,'Proposed Rates'!$B:$J,X$11,FALSE),0)</f>
        <v>0</v>
      </c>
      <c r="Y33" s="415">
        <f t="shared" si="30"/>
        <v>500</v>
      </c>
      <c r="Z33" s="400">
        <f t="shared" si="31"/>
        <v>0</v>
      </c>
      <c r="AA33" s="417"/>
      <c r="AB33" s="401">
        <f t="shared" si="13"/>
        <v>0</v>
      </c>
      <c r="AC33" s="402" t="str">
        <f t="shared" si="14"/>
        <v/>
      </c>
      <c r="AD33" s="52"/>
      <c r="AE33" s="414">
        <f>IFERROR(VLOOKUP($C33,'Proposed Rates'!$B:$J,AE$11,FALSE),0)</f>
        <v>0</v>
      </c>
      <c r="AF33" s="415">
        <f t="shared" si="32"/>
        <v>500</v>
      </c>
      <c r="AG33" s="400">
        <f t="shared" si="33"/>
        <v>0</v>
      </c>
      <c r="AH33" s="417"/>
      <c r="AI33" s="401">
        <f t="shared" si="17"/>
        <v>0</v>
      </c>
      <c r="AJ33" s="402" t="str">
        <f t="shared" si="18"/>
        <v/>
      </c>
      <c r="AK33" s="52"/>
      <c r="AL33" s="414">
        <f>IFERROR(VLOOKUP($C33,'Proposed Rates'!$B:$J,AL$11,FALSE),0)</f>
        <v>0</v>
      </c>
      <c r="AM33" s="415">
        <f t="shared" si="34"/>
        <v>500</v>
      </c>
      <c r="AN33" s="400">
        <f t="shared" si="35"/>
        <v>0</v>
      </c>
      <c r="AO33" s="417"/>
      <c r="AP33" s="401">
        <f t="shared" si="21"/>
        <v>0</v>
      </c>
      <c r="AQ33" s="402" t="str">
        <f t="shared" si="22"/>
        <v/>
      </c>
      <c r="AR33" s="403"/>
    </row>
    <row r="34" spans="1:44" ht="12.75" customHeight="1">
      <c r="A34" s="52"/>
      <c r="B34" s="320" t="s">
        <v>269</v>
      </c>
      <c r="C34" s="395" t="str">
        <f t="shared" si="23"/>
        <v>Residential.Low Voltage Service Charge</v>
      </c>
      <c r="D34" s="396" t="s">
        <v>308</v>
      </c>
      <c r="E34" s="320"/>
      <c r="F34" s="418">
        <f>IFERROR(VLOOKUP($C34,'Proposed Rates'!$B:$J,F$11,FALSE),0)</f>
        <v>5.0000000000000002E-5</v>
      </c>
      <c r="G34" s="419">
        <f>$F$10*(1+F$63)</f>
        <v>516.9</v>
      </c>
      <c r="H34" s="400">
        <f t="shared" si="25"/>
        <v>2.5845E-2</v>
      </c>
      <c r="I34" s="128"/>
      <c r="J34" s="418">
        <f>IFERROR(VLOOKUP($C34,'Proposed Rates'!$B:$J,J$11,FALSE),0)</f>
        <v>6.9999999999999994E-5</v>
      </c>
      <c r="K34" s="419">
        <f>$F$10*(1+J$63)</f>
        <v>516.59999999999991</v>
      </c>
      <c r="L34" s="400">
        <f t="shared" si="27"/>
        <v>3.6161999999999993E-2</v>
      </c>
      <c r="M34" s="128"/>
      <c r="N34" s="401">
        <f t="shared" si="5"/>
        <v>1.0316999999999993E-2</v>
      </c>
      <c r="O34" s="402">
        <f t="shared" si="6"/>
        <v>0.3991874637260589</v>
      </c>
      <c r="P34" s="52"/>
      <c r="Q34" s="418">
        <f>IFERROR(VLOOKUP($C34,'Proposed Rates'!$B:$J,Q$11,FALSE),0)</f>
        <v>6.9999999999999994E-5</v>
      </c>
      <c r="R34" s="419">
        <f>$F$10*(1+Q$63)</f>
        <v>516.59999999999991</v>
      </c>
      <c r="S34" s="400">
        <f t="shared" si="29"/>
        <v>3.6161999999999993E-2</v>
      </c>
      <c r="T34" s="128"/>
      <c r="U34" s="401">
        <f t="shared" si="9"/>
        <v>0</v>
      </c>
      <c r="V34" s="402">
        <f t="shared" si="10"/>
        <v>0</v>
      </c>
      <c r="W34" s="52"/>
      <c r="X34" s="418">
        <f>IFERROR(VLOOKUP($C34,'Proposed Rates'!$B:$J,X$11,FALSE),0)</f>
        <v>8.0000000000000007E-5</v>
      </c>
      <c r="Y34" s="419">
        <f>$F$10*(1+X$63)</f>
        <v>516.59999999999991</v>
      </c>
      <c r="Z34" s="400">
        <f t="shared" si="31"/>
        <v>4.1327999999999997E-2</v>
      </c>
      <c r="AA34" s="128"/>
      <c r="AB34" s="401">
        <f t="shared" si="13"/>
        <v>5.1660000000000039E-3</v>
      </c>
      <c r="AC34" s="402">
        <f t="shared" si="14"/>
        <v>0.14285714285714299</v>
      </c>
      <c r="AD34" s="52"/>
      <c r="AE34" s="418">
        <f>IFERROR(VLOOKUP($C34,'Proposed Rates'!$B:$J,AE$11,FALSE),0)</f>
        <v>8.0000000000000007E-5</v>
      </c>
      <c r="AF34" s="419">
        <f>$F$10*(1+AE$63)</f>
        <v>516.59999999999991</v>
      </c>
      <c r="AG34" s="400">
        <f t="shared" si="33"/>
        <v>4.1327999999999997E-2</v>
      </c>
      <c r="AH34" s="128"/>
      <c r="AI34" s="401">
        <f t="shared" si="17"/>
        <v>0</v>
      </c>
      <c r="AJ34" s="402">
        <f t="shared" si="18"/>
        <v>0</v>
      </c>
      <c r="AK34" s="52"/>
      <c r="AL34" s="418">
        <f>IFERROR(VLOOKUP($C34,'Proposed Rates'!$B:$J,AL$11,FALSE),0)</f>
        <v>8.0000000000000007E-5</v>
      </c>
      <c r="AM34" s="419">
        <f>$F$10*(1+AL$63)</f>
        <v>516.59999999999991</v>
      </c>
      <c r="AN34" s="400">
        <f t="shared" si="35"/>
        <v>4.1327999999999997E-2</v>
      </c>
      <c r="AO34" s="128"/>
      <c r="AP34" s="401">
        <f t="shared" si="21"/>
        <v>0</v>
      </c>
      <c r="AQ34" s="402">
        <f t="shared" si="22"/>
        <v>0</v>
      </c>
      <c r="AR34" s="403"/>
    </row>
    <row r="35" spans="1:44" ht="12.75"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16.899999999999977</v>
      </c>
      <c r="H35" s="400">
        <f t="shared" si="25"/>
        <v>2.1550879999999975</v>
      </c>
      <c r="I35" s="128"/>
      <c r="J35" s="420">
        <f>'Proposed Rates'!$K$249*J$44+'Proposed Rates'!$K$250*J$45+'Proposed Rates'!$K$251*J$46</f>
        <v>0.12752000000000002</v>
      </c>
      <c r="K35" s="421">
        <f>$F$10*(1+J$63)-$F$10</f>
        <v>16.599999999999909</v>
      </c>
      <c r="L35" s="400">
        <f t="shared" si="27"/>
        <v>2.1168319999999889</v>
      </c>
      <c r="M35" s="128"/>
      <c r="N35" s="401">
        <f t="shared" si="5"/>
        <v>-3.8256000000008505E-2</v>
      </c>
      <c r="O35" s="402">
        <f t="shared" si="6"/>
        <v>-1.7751479289944794E-2</v>
      </c>
      <c r="P35" s="52"/>
      <c r="Q35" s="420">
        <f>'Proposed Rates'!$K$249*Q$44+'Proposed Rates'!$K$250*Q$45+'Proposed Rates'!$K$251*Q$46</f>
        <v>0.12752000000000002</v>
      </c>
      <c r="R35" s="421">
        <f>$F$10*(1+Q$63)-$F$10</f>
        <v>16.599999999999909</v>
      </c>
      <c r="S35" s="400">
        <f t="shared" si="29"/>
        <v>2.1168319999999889</v>
      </c>
      <c r="T35" s="128"/>
      <c r="U35" s="401">
        <f t="shared" si="9"/>
        <v>0</v>
      </c>
      <c r="V35" s="402">
        <f t="shared" si="10"/>
        <v>0</v>
      </c>
      <c r="W35" s="52"/>
      <c r="X35" s="420">
        <f>'Proposed Rates'!$K$249*X$44+'Proposed Rates'!$K$250*X$45+'Proposed Rates'!$K$251*X$46</f>
        <v>0.12752000000000002</v>
      </c>
      <c r="Y35" s="421">
        <f>$F$10*(1+X$63)-$F$10</f>
        <v>16.599999999999909</v>
      </c>
      <c r="Z35" s="400">
        <f t="shared" si="31"/>
        <v>2.1168319999999889</v>
      </c>
      <c r="AA35" s="128"/>
      <c r="AB35" s="401">
        <f t="shared" si="13"/>
        <v>0</v>
      </c>
      <c r="AC35" s="402">
        <f t="shared" si="14"/>
        <v>0</v>
      </c>
      <c r="AD35" s="52"/>
      <c r="AE35" s="420">
        <f>'Proposed Rates'!$K$249*AE$44+'Proposed Rates'!$K$250*AE$45+'Proposed Rates'!$K$251*AE$46</f>
        <v>0.12752000000000002</v>
      </c>
      <c r="AF35" s="421">
        <f>$F$10*(1+AE$63)-$F$10</f>
        <v>16.599999999999909</v>
      </c>
      <c r="AG35" s="400">
        <f t="shared" si="33"/>
        <v>2.1168319999999889</v>
      </c>
      <c r="AH35" s="128"/>
      <c r="AI35" s="401">
        <f t="shared" si="17"/>
        <v>0</v>
      </c>
      <c r="AJ35" s="402">
        <f t="shared" si="18"/>
        <v>0</v>
      </c>
      <c r="AK35" s="52"/>
      <c r="AL35" s="420">
        <f>'Proposed Rates'!$K$249*AL$44+'Proposed Rates'!$K$250*AL$45+'Proposed Rates'!$K$251*AL$46</f>
        <v>0.12752000000000002</v>
      </c>
      <c r="AM35" s="421">
        <f>$F$10*(1+AL$63)-$F$10</f>
        <v>16.599999999999909</v>
      </c>
      <c r="AN35" s="400">
        <f t="shared" si="35"/>
        <v>2.1168319999999889</v>
      </c>
      <c r="AO35" s="128"/>
      <c r="AP35" s="401">
        <f t="shared" si="21"/>
        <v>0</v>
      </c>
      <c r="AQ35" s="402">
        <f t="shared" si="22"/>
        <v>0</v>
      </c>
      <c r="AR35" s="403"/>
    </row>
    <row r="36" spans="1:4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row>
    <row r="37" spans="1:44" ht="12.75" customHeight="1">
      <c r="A37" s="52"/>
      <c r="B37" s="486" t="s">
        <v>313</v>
      </c>
      <c r="C37" s="422"/>
      <c r="D37" s="422"/>
      <c r="E37" s="422"/>
      <c r="F37" s="423"/>
      <c r="G37" s="424"/>
      <c r="H37" s="409">
        <f>SUM(H30:H36)+H29</f>
        <v>37.110932999999996</v>
      </c>
      <c r="I37" s="425"/>
      <c r="J37" s="423"/>
      <c r="K37" s="424"/>
      <c r="L37" s="409">
        <f>SUM(L30:L36)+L29</f>
        <v>42.962993999999988</v>
      </c>
      <c r="M37" s="425"/>
      <c r="N37" s="411">
        <f t="shared" si="5"/>
        <v>5.852060999999992</v>
      </c>
      <c r="O37" s="412">
        <f t="shared" si="6"/>
        <v>0.1576910232895517</v>
      </c>
      <c r="P37" s="52"/>
      <c r="Q37" s="423"/>
      <c r="R37" s="424"/>
      <c r="S37" s="409">
        <f>SUM(S30:S36)+S29</f>
        <v>46.70299399999999</v>
      </c>
      <c r="T37" s="425"/>
      <c r="U37" s="411">
        <f t="shared" si="9"/>
        <v>3.740000000000002</v>
      </c>
      <c r="V37" s="412">
        <f t="shared" si="10"/>
        <v>8.7051661250610299E-2</v>
      </c>
      <c r="W37" s="52"/>
      <c r="X37" s="423"/>
      <c r="Y37" s="424"/>
      <c r="Z37" s="409">
        <f>SUM(Z30:Z36)+Z29</f>
        <v>50.658159999999988</v>
      </c>
      <c r="AA37" s="425"/>
      <c r="AB37" s="411">
        <f t="shared" si="13"/>
        <v>3.9551659999999984</v>
      </c>
      <c r="AC37" s="412">
        <f t="shared" si="14"/>
        <v>8.4687632660124509E-2</v>
      </c>
      <c r="AD37" s="52"/>
      <c r="AE37" s="423"/>
      <c r="AF37" s="424"/>
      <c r="AG37" s="409">
        <f>SUM(AG30:AG36)+AG29</f>
        <v>53.748159999999984</v>
      </c>
      <c r="AH37" s="425"/>
      <c r="AI37" s="411">
        <f t="shared" si="17"/>
        <v>3.0899999999999963</v>
      </c>
      <c r="AJ37" s="412">
        <f t="shared" si="18"/>
        <v>6.0997083194494178E-2</v>
      </c>
      <c r="AK37" s="52"/>
      <c r="AL37" s="423"/>
      <c r="AM37" s="424"/>
      <c r="AN37" s="409">
        <f>SUM(AN30:AN36)+AN29</f>
        <v>56.678159999999991</v>
      </c>
      <c r="AO37" s="425"/>
      <c r="AP37" s="411">
        <f t="shared" si="21"/>
        <v>2.9300000000000068</v>
      </c>
      <c r="AQ37" s="412">
        <f t="shared" si="22"/>
        <v>5.4513494043331112E-2</v>
      </c>
      <c r="AR37" s="413"/>
    </row>
    <row r="38" spans="1:44" ht="12.75"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516.9</v>
      </c>
      <c r="H38" s="400">
        <f t="shared" ref="H38:H39" si="38">G38*F38</f>
        <v>6.5129399999999995</v>
      </c>
      <c r="I38" s="128"/>
      <c r="J38" s="414">
        <f>IFERROR(VLOOKUP($C38,'Proposed Rates'!$B:$J,J$11,FALSE),0)</f>
        <v>1.38E-2</v>
      </c>
      <c r="K38" s="419">
        <f t="shared" ref="K38:K39" si="39">$F$10*(1+J$63)</f>
        <v>516.59999999999991</v>
      </c>
      <c r="L38" s="400">
        <f t="shared" ref="L38:L39" si="40">K38*J38</f>
        <v>7.1290799999999983</v>
      </c>
      <c r="M38" s="128"/>
      <c r="N38" s="401">
        <f t="shared" si="5"/>
        <v>0.6161399999999988</v>
      </c>
      <c r="O38" s="402">
        <f t="shared" si="6"/>
        <v>9.4602437608821643E-2</v>
      </c>
      <c r="P38" s="52"/>
      <c r="Q38" s="414">
        <f>IFERROR(VLOOKUP($C38,'Proposed Rates'!$B:$J,Q$11,FALSE),0)</f>
        <v>1.38E-2</v>
      </c>
      <c r="R38" s="419">
        <f t="shared" ref="R38:R39" si="41">$F$10*(1+Q$63)</f>
        <v>516.59999999999991</v>
      </c>
      <c r="S38" s="400">
        <f t="shared" ref="S38:S39" si="42">R38*Q38</f>
        <v>7.1290799999999983</v>
      </c>
      <c r="T38" s="128"/>
      <c r="U38" s="401">
        <f t="shared" si="9"/>
        <v>0</v>
      </c>
      <c r="V38" s="402">
        <f t="shared" si="10"/>
        <v>0</v>
      </c>
      <c r="W38" s="52"/>
      <c r="X38" s="414">
        <f>IFERROR(VLOOKUP($C38,'Proposed Rates'!$B:$J,X$11,FALSE),0)</f>
        <v>1.38E-2</v>
      </c>
      <c r="Y38" s="419">
        <f t="shared" ref="Y38:Y39" si="43">$F$10*(1+X$63)</f>
        <v>516.59999999999991</v>
      </c>
      <c r="Z38" s="400">
        <f t="shared" ref="Z38:Z39" si="44">Y38*X38</f>
        <v>7.1290799999999983</v>
      </c>
      <c r="AA38" s="128"/>
      <c r="AB38" s="401">
        <f t="shared" si="13"/>
        <v>0</v>
      </c>
      <c r="AC38" s="402">
        <f t="shared" si="14"/>
        <v>0</v>
      </c>
      <c r="AD38" s="52"/>
      <c r="AE38" s="414">
        <f>IFERROR(VLOOKUP($C38,'Proposed Rates'!$B:$J,AE$11,FALSE),0)</f>
        <v>1.38E-2</v>
      </c>
      <c r="AF38" s="419">
        <f t="shared" ref="AF38:AF39" si="45">$F$10*(1+AE$63)</f>
        <v>516.59999999999991</v>
      </c>
      <c r="AG38" s="400">
        <f t="shared" ref="AG38:AG39" si="46">AF38*AE38</f>
        <v>7.1290799999999983</v>
      </c>
      <c r="AH38" s="128"/>
      <c r="AI38" s="401">
        <f t="shared" si="17"/>
        <v>0</v>
      </c>
      <c r="AJ38" s="402">
        <f t="shared" si="18"/>
        <v>0</v>
      </c>
      <c r="AK38" s="52"/>
      <c r="AL38" s="414">
        <f>IFERROR(VLOOKUP($C38,'Proposed Rates'!$B:$J,AL$11,FALSE),0)</f>
        <v>1.38E-2</v>
      </c>
      <c r="AM38" s="419">
        <f t="shared" ref="AM38:AM39" si="47">$F$10*(1+AL$63)</f>
        <v>516.59999999999991</v>
      </c>
      <c r="AN38" s="400">
        <f t="shared" ref="AN38:AN39" si="48">AM38*AL38</f>
        <v>7.1290799999999983</v>
      </c>
      <c r="AO38" s="128"/>
      <c r="AP38" s="401">
        <f t="shared" si="21"/>
        <v>0</v>
      </c>
      <c r="AQ38" s="402">
        <f t="shared" si="22"/>
        <v>0</v>
      </c>
      <c r="AR38" s="403"/>
    </row>
    <row r="39" spans="1:44" ht="12.75" customHeight="1">
      <c r="A39" s="52"/>
      <c r="B39" s="487" t="s">
        <v>256</v>
      </c>
      <c r="C39" s="395" t="str">
        <f t="shared" si="36"/>
        <v>Residential.RTSR - Line and Transformation Connection</v>
      </c>
      <c r="D39" s="426" t="s">
        <v>308</v>
      </c>
      <c r="E39" s="128"/>
      <c r="F39" s="414">
        <f>IFERROR(VLOOKUP($C39,'Proposed Rates'!$B:$J,F$11,FALSE),0)</f>
        <v>7.1999999999999998E-3</v>
      </c>
      <c r="G39" s="419">
        <f t="shared" si="37"/>
        <v>516.9</v>
      </c>
      <c r="H39" s="400">
        <f t="shared" si="38"/>
        <v>3.7216799999999997</v>
      </c>
      <c r="I39" s="128"/>
      <c r="J39" s="414">
        <f>IFERROR(VLOOKUP($C39,'Proposed Rates'!$B:$J,J$11,FALSE),0)</f>
        <v>7.7999999999999996E-3</v>
      </c>
      <c r="K39" s="419">
        <f t="shared" si="39"/>
        <v>516.59999999999991</v>
      </c>
      <c r="L39" s="400">
        <f t="shared" si="40"/>
        <v>4.0294799999999995</v>
      </c>
      <c r="M39" s="128"/>
      <c r="N39" s="401">
        <f t="shared" si="5"/>
        <v>0.30779999999999985</v>
      </c>
      <c r="O39" s="402">
        <f t="shared" si="6"/>
        <v>8.2704585026117203E-2</v>
      </c>
      <c r="P39" s="52"/>
      <c r="Q39" s="414">
        <f>IFERROR(VLOOKUP($C39,'Proposed Rates'!$B:$J,Q$11,FALSE),0)</f>
        <v>7.7999999999999996E-3</v>
      </c>
      <c r="R39" s="419">
        <f t="shared" si="41"/>
        <v>516.59999999999991</v>
      </c>
      <c r="S39" s="400">
        <f t="shared" si="42"/>
        <v>4.0294799999999995</v>
      </c>
      <c r="T39" s="128"/>
      <c r="U39" s="401">
        <f t="shared" si="9"/>
        <v>0</v>
      </c>
      <c r="V39" s="402">
        <f t="shared" si="10"/>
        <v>0</v>
      </c>
      <c r="W39" s="52"/>
      <c r="X39" s="414">
        <f>IFERROR(VLOOKUP($C39,'Proposed Rates'!$B:$J,X$11,FALSE),0)</f>
        <v>7.7999999999999996E-3</v>
      </c>
      <c r="Y39" s="419">
        <f t="shared" si="43"/>
        <v>516.59999999999991</v>
      </c>
      <c r="Z39" s="400">
        <f t="shared" si="44"/>
        <v>4.0294799999999995</v>
      </c>
      <c r="AA39" s="128"/>
      <c r="AB39" s="401">
        <f t="shared" si="13"/>
        <v>0</v>
      </c>
      <c r="AC39" s="402">
        <f t="shared" si="14"/>
        <v>0</v>
      </c>
      <c r="AD39" s="52"/>
      <c r="AE39" s="414">
        <f>IFERROR(VLOOKUP($C39,'Proposed Rates'!$B:$J,AE$11,FALSE),0)</f>
        <v>7.7999999999999996E-3</v>
      </c>
      <c r="AF39" s="419">
        <f t="shared" si="45"/>
        <v>516.59999999999991</v>
      </c>
      <c r="AG39" s="400">
        <f t="shared" si="46"/>
        <v>4.0294799999999995</v>
      </c>
      <c r="AH39" s="128"/>
      <c r="AI39" s="401">
        <f t="shared" si="17"/>
        <v>0</v>
      </c>
      <c r="AJ39" s="402">
        <f t="shared" si="18"/>
        <v>0</v>
      </c>
      <c r="AK39" s="52"/>
      <c r="AL39" s="414">
        <f>IFERROR(VLOOKUP($C39,'Proposed Rates'!$B:$J,AL$11,FALSE),0)</f>
        <v>7.7999999999999996E-3</v>
      </c>
      <c r="AM39" s="419">
        <f t="shared" si="47"/>
        <v>516.59999999999991</v>
      </c>
      <c r="AN39" s="400">
        <f t="shared" si="48"/>
        <v>4.0294799999999995</v>
      </c>
      <c r="AO39" s="128"/>
      <c r="AP39" s="401">
        <f t="shared" si="21"/>
        <v>0</v>
      </c>
      <c r="AQ39" s="402">
        <f t="shared" si="22"/>
        <v>0</v>
      </c>
      <c r="AR39" s="403"/>
    </row>
    <row r="40" spans="1:44" ht="12.75" customHeight="1">
      <c r="A40" s="52"/>
      <c r="B40" s="486" t="s">
        <v>314</v>
      </c>
      <c r="C40" s="427"/>
      <c r="D40" s="427"/>
      <c r="E40" s="427"/>
      <c r="F40" s="428"/>
      <c r="G40" s="429"/>
      <c r="H40" s="409">
        <f>SUM(H37:H39)</f>
        <v>47.345552999999995</v>
      </c>
      <c r="I40" s="410"/>
      <c r="J40" s="428"/>
      <c r="K40" s="429"/>
      <c r="L40" s="409">
        <f>SUM(L37:L39)</f>
        <v>54.121553999999982</v>
      </c>
      <c r="M40" s="410"/>
      <c r="N40" s="411">
        <f t="shared" si="5"/>
        <v>6.7760009999999866</v>
      </c>
      <c r="O40" s="412">
        <f t="shared" si="6"/>
        <v>0.14311800307834585</v>
      </c>
      <c r="P40" s="52"/>
      <c r="Q40" s="428"/>
      <c r="R40" s="429"/>
      <c r="S40" s="409">
        <f>SUM(S37:S39)</f>
        <v>57.861553999999991</v>
      </c>
      <c r="T40" s="410"/>
      <c r="U40" s="411">
        <f t="shared" si="9"/>
        <v>3.7400000000000091</v>
      </c>
      <c r="V40" s="412">
        <f t="shared" si="10"/>
        <v>6.9103706815218394E-2</v>
      </c>
      <c r="W40" s="52"/>
      <c r="X40" s="428"/>
      <c r="Y40" s="429"/>
      <c r="Z40" s="409">
        <f>SUM(Z37:Z39)</f>
        <v>61.816719999999982</v>
      </c>
      <c r="AA40" s="410"/>
      <c r="AB40" s="411">
        <f t="shared" si="13"/>
        <v>3.9551659999999913</v>
      </c>
      <c r="AC40" s="412">
        <f t="shared" si="14"/>
        <v>6.8355682254921668E-2</v>
      </c>
      <c r="AD40" s="52"/>
      <c r="AE40" s="428"/>
      <c r="AF40" s="429"/>
      <c r="AG40" s="409">
        <f>SUM(AG37:AG39)</f>
        <v>64.906719999999979</v>
      </c>
      <c r="AH40" s="410"/>
      <c r="AI40" s="411">
        <f t="shared" si="17"/>
        <v>3.0899999999999963</v>
      </c>
      <c r="AJ40" s="412">
        <f t="shared" si="18"/>
        <v>4.9986476150788932E-2</v>
      </c>
      <c r="AK40" s="52"/>
      <c r="AL40" s="428"/>
      <c r="AM40" s="429"/>
      <c r="AN40" s="409">
        <f>SUM(AN37:AN39)</f>
        <v>67.836719999999985</v>
      </c>
      <c r="AO40" s="410"/>
      <c r="AP40" s="411">
        <f t="shared" si="21"/>
        <v>2.9300000000000068</v>
      </c>
      <c r="AQ40" s="412">
        <f t="shared" si="22"/>
        <v>4.5141704895887633E-2</v>
      </c>
      <c r="AR40" s="413"/>
    </row>
    <row r="41" spans="1:44" ht="12.75" customHeight="1">
      <c r="A41" s="52"/>
      <c r="B41" s="488" t="s">
        <v>257</v>
      </c>
      <c r="C41" s="395" t="str">
        <f t="shared" ref="C41:C48" si="49">D$6&amp;"."&amp;B41</f>
        <v>Residential.Wholesale Market Service Charge (WMSC)</v>
      </c>
      <c r="D41" s="396" t="s">
        <v>308</v>
      </c>
      <c r="E41" s="320"/>
      <c r="F41" s="414">
        <f>IFERROR(VLOOKUP($C41,'Proposed Rates'!$B:$J,F$11,FALSE),0)</f>
        <v>4.4999999999999997E-3</v>
      </c>
      <c r="G41" s="419">
        <f t="shared" ref="G41:G42" si="50">$F$10*(1+F$63)</f>
        <v>516.9</v>
      </c>
      <c r="H41" s="400">
        <f t="shared" ref="H41:H48" si="51">G41*F41</f>
        <v>2.3260499999999995</v>
      </c>
      <c r="I41" s="128"/>
      <c r="J41" s="414">
        <f>IFERROR(VLOOKUP($C41,'Proposed Rates'!$B:$J,J$11,FALSE),0)</f>
        <v>4.4999999999999997E-3</v>
      </c>
      <c r="K41" s="419">
        <f t="shared" ref="K41:K42" si="52">$F$10*(1+J$63)</f>
        <v>516.59999999999991</v>
      </c>
      <c r="L41" s="400">
        <f t="shared" ref="L41:L48" si="53">K41*J41</f>
        <v>2.3246999999999995</v>
      </c>
      <c r="M41" s="128"/>
      <c r="N41" s="401">
        <f t="shared" si="5"/>
        <v>-1.3499999999999623E-3</v>
      </c>
      <c r="O41" s="402">
        <f t="shared" si="6"/>
        <v>-5.8038305281484176E-4</v>
      </c>
      <c r="P41" s="52"/>
      <c r="Q41" s="414">
        <f>IFERROR(VLOOKUP($C41,'Proposed Rates'!$B:$J,Q$11,FALSE),0)</f>
        <v>4.4999999999999997E-3</v>
      </c>
      <c r="R41" s="419">
        <f t="shared" ref="R41:R42" si="54">$F$10*(1+Q$63)</f>
        <v>516.59999999999991</v>
      </c>
      <c r="S41" s="400">
        <f t="shared" ref="S41:S48" si="55">R41*Q41</f>
        <v>2.3246999999999995</v>
      </c>
      <c r="T41" s="128"/>
      <c r="U41" s="401">
        <f t="shared" si="9"/>
        <v>0</v>
      </c>
      <c r="V41" s="402">
        <f t="shared" si="10"/>
        <v>0</v>
      </c>
      <c r="W41" s="52"/>
      <c r="X41" s="414">
        <f>IFERROR(VLOOKUP($C41,'Proposed Rates'!$B:$J,X$11,FALSE),0)</f>
        <v>4.4999999999999997E-3</v>
      </c>
      <c r="Y41" s="419">
        <f t="shared" ref="Y41:Y42" si="56">$F$10*(1+X$63)</f>
        <v>516.59999999999991</v>
      </c>
      <c r="Z41" s="400">
        <f t="shared" ref="Z41:Z48" si="57">Y41*X41</f>
        <v>2.3246999999999995</v>
      </c>
      <c r="AA41" s="128"/>
      <c r="AB41" s="401">
        <f t="shared" si="13"/>
        <v>0</v>
      </c>
      <c r="AC41" s="402">
        <f t="shared" si="14"/>
        <v>0</v>
      </c>
      <c r="AD41" s="52"/>
      <c r="AE41" s="414">
        <f>IFERROR(VLOOKUP($C41,'Proposed Rates'!$B:$J,AE$11,FALSE),0)</f>
        <v>4.4999999999999997E-3</v>
      </c>
      <c r="AF41" s="419">
        <f t="shared" ref="AF41:AF42" si="58">$F$10*(1+AE$63)</f>
        <v>516.59999999999991</v>
      </c>
      <c r="AG41" s="400">
        <f t="shared" ref="AG41:AG48" si="59">AF41*AE41</f>
        <v>2.3246999999999995</v>
      </c>
      <c r="AH41" s="128"/>
      <c r="AI41" s="401">
        <f t="shared" si="17"/>
        <v>0</v>
      </c>
      <c r="AJ41" s="402">
        <f t="shared" si="18"/>
        <v>0</v>
      </c>
      <c r="AK41" s="52"/>
      <c r="AL41" s="414">
        <f>IFERROR(VLOOKUP($C41,'Proposed Rates'!$B:$J,AL$11,FALSE),0)</f>
        <v>4.4999999999999997E-3</v>
      </c>
      <c r="AM41" s="419">
        <f t="shared" ref="AM41:AM42" si="60">$F$10*(1+AL$63)</f>
        <v>516.59999999999991</v>
      </c>
      <c r="AN41" s="400">
        <f t="shared" ref="AN41:AN48" si="61">AM41*AL41</f>
        <v>2.3246999999999995</v>
      </c>
      <c r="AO41" s="128"/>
      <c r="AP41" s="401">
        <f t="shared" si="21"/>
        <v>0</v>
      </c>
      <c r="AQ41" s="402">
        <f t="shared" si="22"/>
        <v>0</v>
      </c>
      <c r="AR41" s="403"/>
    </row>
    <row r="42" spans="1:44" ht="12.75" customHeight="1">
      <c r="A42" s="52"/>
      <c r="B42" s="488" t="s">
        <v>258</v>
      </c>
      <c r="C42" s="395" t="str">
        <f t="shared" si="49"/>
        <v>Residential.Rural and Remote Rate Protection (RRRP)</v>
      </c>
      <c r="D42" s="396" t="s">
        <v>308</v>
      </c>
      <c r="E42" s="320"/>
      <c r="F42" s="414">
        <f>IFERROR(VLOOKUP($C42,'Proposed Rates'!$B:$J,F$11,FALSE),0)</f>
        <v>1.5E-3</v>
      </c>
      <c r="G42" s="419">
        <f t="shared" si="50"/>
        <v>516.9</v>
      </c>
      <c r="H42" s="400">
        <f t="shared" si="51"/>
        <v>0.77534999999999998</v>
      </c>
      <c r="I42" s="128"/>
      <c r="J42" s="414">
        <f>IFERROR(VLOOKUP($C42,'Proposed Rates'!$B:$J,J$11,FALSE),0)</f>
        <v>1.5E-3</v>
      </c>
      <c r="K42" s="419">
        <f t="shared" si="52"/>
        <v>516.59999999999991</v>
      </c>
      <c r="L42" s="400">
        <f t="shared" si="53"/>
        <v>0.77489999999999992</v>
      </c>
      <c r="M42" s="128"/>
      <c r="N42" s="401">
        <f t="shared" si="5"/>
        <v>-4.5000000000006146E-4</v>
      </c>
      <c r="O42" s="402">
        <f t="shared" si="6"/>
        <v>-5.8038305281493706E-4</v>
      </c>
      <c r="P42" s="52"/>
      <c r="Q42" s="414">
        <f>IFERROR(VLOOKUP($C42,'Proposed Rates'!$B:$J,Q$11,FALSE),0)</f>
        <v>1.5E-3</v>
      </c>
      <c r="R42" s="419">
        <f t="shared" si="54"/>
        <v>516.59999999999991</v>
      </c>
      <c r="S42" s="400">
        <f t="shared" si="55"/>
        <v>0.77489999999999992</v>
      </c>
      <c r="T42" s="128"/>
      <c r="U42" s="401">
        <f t="shared" si="9"/>
        <v>0</v>
      </c>
      <c r="V42" s="402">
        <f t="shared" si="10"/>
        <v>0</v>
      </c>
      <c r="W42" s="52"/>
      <c r="X42" s="414">
        <f>IFERROR(VLOOKUP($C42,'Proposed Rates'!$B:$J,X$11,FALSE),0)</f>
        <v>1.5E-3</v>
      </c>
      <c r="Y42" s="419">
        <f t="shared" si="56"/>
        <v>516.59999999999991</v>
      </c>
      <c r="Z42" s="400">
        <f t="shared" si="57"/>
        <v>0.77489999999999992</v>
      </c>
      <c r="AA42" s="128"/>
      <c r="AB42" s="401">
        <f t="shared" si="13"/>
        <v>0</v>
      </c>
      <c r="AC42" s="402">
        <f t="shared" si="14"/>
        <v>0</v>
      </c>
      <c r="AD42" s="52"/>
      <c r="AE42" s="414">
        <f>IFERROR(VLOOKUP($C42,'Proposed Rates'!$B:$J,AE$11,FALSE),0)</f>
        <v>1.5E-3</v>
      </c>
      <c r="AF42" s="419">
        <f t="shared" si="58"/>
        <v>516.59999999999991</v>
      </c>
      <c r="AG42" s="400">
        <f t="shared" si="59"/>
        <v>0.77489999999999992</v>
      </c>
      <c r="AH42" s="128"/>
      <c r="AI42" s="401">
        <f t="shared" si="17"/>
        <v>0</v>
      </c>
      <c r="AJ42" s="402">
        <f t="shared" si="18"/>
        <v>0</v>
      </c>
      <c r="AK42" s="52"/>
      <c r="AL42" s="414">
        <f>IFERROR(VLOOKUP($C42,'Proposed Rates'!$B:$J,AL$11,FALSE),0)</f>
        <v>1.5E-3</v>
      </c>
      <c r="AM42" s="419">
        <f t="shared" si="60"/>
        <v>516.59999999999991</v>
      </c>
      <c r="AN42" s="400">
        <f t="shared" si="61"/>
        <v>0.77489999999999992</v>
      </c>
      <c r="AO42" s="128"/>
      <c r="AP42" s="401">
        <f t="shared" si="21"/>
        <v>0</v>
      </c>
      <c r="AQ42" s="402">
        <f t="shared" si="22"/>
        <v>0</v>
      </c>
      <c r="AR42" s="403"/>
    </row>
    <row r="43" spans="1:44" ht="12.75" customHeight="1">
      <c r="A43" s="52"/>
      <c r="B43" s="320" t="s">
        <v>260</v>
      </c>
      <c r="C43" s="395" t="str">
        <f t="shared" si="49"/>
        <v>Residential.Standard Supply Service Charge</v>
      </c>
      <c r="D43" s="396" t="s">
        <v>306</v>
      </c>
      <c r="E43" s="320"/>
      <c r="F43" s="414">
        <f>IFERROR(VLOOKUP($C43,'Proposed Rates'!$B:$J,F$11,FALSE),0)</f>
        <v>0.25</v>
      </c>
      <c r="G43" s="415">
        <f>IF($D43="Monthly",1,IF($D43="per KWH",$F$10,0))</f>
        <v>1</v>
      </c>
      <c r="H43" s="400">
        <f t="shared" si="51"/>
        <v>0.25</v>
      </c>
      <c r="I43" s="128"/>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1"/>
        <v>1.63</v>
      </c>
      <c r="AO43" s="128"/>
      <c r="AP43" s="401">
        <f t="shared" si="21"/>
        <v>2.9999999999999805E-2</v>
      </c>
      <c r="AQ43" s="402">
        <f t="shared" si="22"/>
        <v>1.8749999999999878E-2</v>
      </c>
      <c r="AR43" s="403"/>
    </row>
    <row r="44" spans="1:44" ht="12.75" customHeight="1">
      <c r="A44" s="52"/>
      <c r="B44" s="320" t="s">
        <v>262</v>
      </c>
      <c r="C44" s="395" t="str">
        <f t="shared" si="49"/>
        <v>Residential.TOU - Off Peak</v>
      </c>
      <c r="D44" s="396" t="s">
        <v>308</v>
      </c>
      <c r="E44" s="320"/>
      <c r="F44" s="430">
        <f>VLOOKUP($B44,'Proposed Rates'!$D$248:$J$254,+F$11-2,FALSE)</f>
        <v>9.8000000000000004E-2</v>
      </c>
      <c r="G44" s="421">
        <f>$F$10*'Proposed Rates'!$K$249</f>
        <v>320</v>
      </c>
      <c r="H44" s="400">
        <f t="shared" si="51"/>
        <v>31.36</v>
      </c>
      <c r="I44" s="128"/>
      <c r="J44" s="430">
        <f>VLOOKUP($B44,'Proposed Rates'!$D$248:$J$254,+J$11-2,FALSE)</f>
        <v>9.8000000000000004E-2</v>
      </c>
      <c r="K44" s="421">
        <f>$F$10*'Proposed Rates'!$K$249</f>
        <v>320</v>
      </c>
      <c r="L44" s="400">
        <f t="shared" si="53"/>
        <v>31.36</v>
      </c>
      <c r="M44" s="128"/>
      <c r="N44" s="401">
        <f t="shared" si="5"/>
        <v>0</v>
      </c>
      <c r="O44" s="402">
        <f t="shared" si="6"/>
        <v>0</v>
      </c>
      <c r="P44" s="52"/>
      <c r="Q44" s="430">
        <f>VLOOKUP($B44,'Proposed Rates'!$D$248:$J$254,+Q$11-2,FALSE)</f>
        <v>9.8000000000000004E-2</v>
      </c>
      <c r="R44" s="421">
        <f>$F$10*'Proposed Rates'!$K$249</f>
        <v>320</v>
      </c>
      <c r="S44" s="400">
        <f t="shared" si="55"/>
        <v>31.36</v>
      </c>
      <c r="T44" s="128"/>
      <c r="U44" s="401">
        <f t="shared" si="9"/>
        <v>0</v>
      </c>
      <c r="V44" s="402">
        <f t="shared" si="10"/>
        <v>0</v>
      </c>
      <c r="W44" s="52"/>
      <c r="X44" s="430">
        <f>VLOOKUP($B44,'Proposed Rates'!$D$248:$J$254,+X$11-2,FALSE)</f>
        <v>9.8000000000000004E-2</v>
      </c>
      <c r="Y44" s="421">
        <f>$F$10*'Proposed Rates'!$K$249</f>
        <v>320</v>
      </c>
      <c r="Z44" s="400">
        <f t="shared" si="57"/>
        <v>31.36</v>
      </c>
      <c r="AA44" s="128"/>
      <c r="AB44" s="401">
        <f t="shared" si="13"/>
        <v>0</v>
      </c>
      <c r="AC44" s="402">
        <f t="shared" si="14"/>
        <v>0</v>
      </c>
      <c r="AD44" s="52"/>
      <c r="AE44" s="430">
        <f>VLOOKUP($B44,'Proposed Rates'!$D$248:$J$254,+AE$11-2,FALSE)</f>
        <v>9.8000000000000004E-2</v>
      </c>
      <c r="AF44" s="421">
        <f>$F$10*'Proposed Rates'!$K$249</f>
        <v>320</v>
      </c>
      <c r="AG44" s="400">
        <f t="shared" si="59"/>
        <v>31.36</v>
      </c>
      <c r="AH44" s="128"/>
      <c r="AI44" s="401">
        <f t="shared" si="17"/>
        <v>0</v>
      </c>
      <c r="AJ44" s="402">
        <f t="shared" si="18"/>
        <v>0</v>
      </c>
      <c r="AK44" s="52"/>
      <c r="AL44" s="430">
        <f>VLOOKUP($B44,'Proposed Rates'!$D$248:$J$254,+AL$11-2,FALSE)</f>
        <v>9.8000000000000004E-2</v>
      </c>
      <c r="AM44" s="421">
        <f>$F$10*'Proposed Rates'!$K$249</f>
        <v>320</v>
      </c>
      <c r="AN44" s="400">
        <f t="shared" si="61"/>
        <v>31.36</v>
      </c>
      <c r="AO44" s="128"/>
      <c r="AP44" s="401">
        <f t="shared" si="21"/>
        <v>0</v>
      </c>
      <c r="AQ44" s="402">
        <f t="shared" si="22"/>
        <v>0</v>
      </c>
      <c r="AR44" s="403"/>
    </row>
    <row r="45" spans="1:44" ht="12.75" customHeight="1">
      <c r="A45" s="52"/>
      <c r="B45" s="320" t="s">
        <v>263</v>
      </c>
      <c r="C45" s="395" t="str">
        <f t="shared" si="49"/>
        <v>Residential.TOU - Mid Peak</v>
      </c>
      <c r="D45" s="396" t="s">
        <v>308</v>
      </c>
      <c r="E45" s="320"/>
      <c r="F45" s="430">
        <f>VLOOKUP($B45,'Proposed Rates'!$D$248:$J$254,+F$11-2,FALSE)</f>
        <v>0.157</v>
      </c>
      <c r="G45" s="421">
        <f>$F$10*'Proposed Rates'!$K$250</f>
        <v>90</v>
      </c>
      <c r="H45" s="400">
        <f t="shared" si="51"/>
        <v>14.13</v>
      </c>
      <c r="I45" s="128"/>
      <c r="J45" s="430">
        <f>VLOOKUP($B45,'Proposed Rates'!$D$248:$J$254,+J$11-2,FALSE)</f>
        <v>0.157</v>
      </c>
      <c r="K45" s="421">
        <f>$F$10*'Proposed Rates'!$K$250</f>
        <v>90</v>
      </c>
      <c r="L45" s="400">
        <f t="shared" si="53"/>
        <v>14.13</v>
      </c>
      <c r="M45" s="128"/>
      <c r="N45" s="401">
        <f t="shared" si="5"/>
        <v>0</v>
      </c>
      <c r="O45" s="402">
        <f t="shared" si="6"/>
        <v>0</v>
      </c>
      <c r="P45" s="52"/>
      <c r="Q45" s="430">
        <f>VLOOKUP($B45,'Proposed Rates'!$D$248:$J$254,+Q$11-2,FALSE)</f>
        <v>0.157</v>
      </c>
      <c r="R45" s="421">
        <f>$F$10*'Proposed Rates'!$K$250</f>
        <v>90</v>
      </c>
      <c r="S45" s="400">
        <f t="shared" si="55"/>
        <v>14.13</v>
      </c>
      <c r="T45" s="128"/>
      <c r="U45" s="401">
        <f t="shared" si="9"/>
        <v>0</v>
      </c>
      <c r="V45" s="402">
        <f t="shared" si="10"/>
        <v>0</v>
      </c>
      <c r="W45" s="52"/>
      <c r="X45" s="430">
        <f>VLOOKUP($B45,'Proposed Rates'!$D$248:$J$254,+X$11-2,FALSE)</f>
        <v>0.157</v>
      </c>
      <c r="Y45" s="421">
        <f>$F$10*'Proposed Rates'!$K$250</f>
        <v>90</v>
      </c>
      <c r="Z45" s="400">
        <f t="shared" si="57"/>
        <v>14.13</v>
      </c>
      <c r="AA45" s="128"/>
      <c r="AB45" s="401">
        <f t="shared" si="13"/>
        <v>0</v>
      </c>
      <c r="AC45" s="402">
        <f t="shared" si="14"/>
        <v>0</v>
      </c>
      <c r="AD45" s="52"/>
      <c r="AE45" s="430">
        <f>VLOOKUP($B45,'Proposed Rates'!$D$248:$J$254,+AE$11-2,FALSE)</f>
        <v>0.157</v>
      </c>
      <c r="AF45" s="421">
        <f>$F$10*'Proposed Rates'!$K$250</f>
        <v>90</v>
      </c>
      <c r="AG45" s="400">
        <f t="shared" si="59"/>
        <v>14.13</v>
      </c>
      <c r="AH45" s="128"/>
      <c r="AI45" s="401">
        <f t="shared" si="17"/>
        <v>0</v>
      </c>
      <c r="AJ45" s="402">
        <f t="shared" si="18"/>
        <v>0</v>
      </c>
      <c r="AK45" s="52"/>
      <c r="AL45" s="430">
        <f>VLOOKUP($B45,'Proposed Rates'!$D$248:$J$254,+AL$11-2,FALSE)</f>
        <v>0.157</v>
      </c>
      <c r="AM45" s="421">
        <f>$F$10*'Proposed Rates'!$K$250</f>
        <v>90</v>
      </c>
      <c r="AN45" s="400">
        <f t="shared" si="61"/>
        <v>14.13</v>
      </c>
      <c r="AO45" s="128"/>
      <c r="AP45" s="401">
        <f t="shared" si="21"/>
        <v>0</v>
      </c>
      <c r="AQ45" s="402">
        <f t="shared" si="22"/>
        <v>0</v>
      </c>
      <c r="AR45" s="403"/>
    </row>
    <row r="46" spans="1:44" ht="12.75" customHeight="1">
      <c r="A46" s="52"/>
      <c r="B46" s="52" t="s">
        <v>264</v>
      </c>
      <c r="C46" s="395" t="str">
        <f t="shared" si="49"/>
        <v>Residential.TOU - On Peak</v>
      </c>
      <c r="D46" s="396" t="s">
        <v>308</v>
      </c>
      <c r="E46" s="320"/>
      <c r="F46" s="430">
        <f>VLOOKUP($B46,'Proposed Rates'!$D$248:$J$254,+F$11-2,FALSE)</f>
        <v>0.20300000000000001</v>
      </c>
      <c r="G46" s="421">
        <f>$F$10*'Proposed Rates'!$K$251</f>
        <v>90</v>
      </c>
      <c r="H46" s="400">
        <f t="shared" si="51"/>
        <v>18.27</v>
      </c>
      <c r="I46" s="128"/>
      <c r="J46" s="430">
        <f>VLOOKUP($B46,'Proposed Rates'!$D$248:$J$254,+J$11-2,FALSE)</f>
        <v>0.20300000000000001</v>
      </c>
      <c r="K46" s="421">
        <f>$F$10*'Proposed Rates'!$K$251</f>
        <v>90</v>
      </c>
      <c r="L46" s="400">
        <f t="shared" si="53"/>
        <v>18.27</v>
      </c>
      <c r="M46" s="128"/>
      <c r="N46" s="401">
        <f t="shared" si="5"/>
        <v>0</v>
      </c>
      <c r="O46" s="402">
        <f t="shared" si="6"/>
        <v>0</v>
      </c>
      <c r="P46" s="52"/>
      <c r="Q46" s="430">
        <f>VLOOKUP($B46,'Proposed Rates'!$D$248:$J$254,+Q$11-2,FALSE)</f>
        <v>0.20300000000000001</v>
      </c>
      <c r="R46" s="421">
        <f>$F$10*'Proposed Rates'!$K$251</f>
        <v>90</v>
      </c>
      <c r="S46" s="400">
        <f t="shared" si="55"/>
        <v>18.27</v>
      </c>
      <c r="T46" s="128"/>
      <c r="U46" s="401">
        <f t="shared" si="9"/>
        <v>0</v>
      </c>
      <c r="V46" s="402">
        <f t="shared" si="10"/>
        <v>0</v>
      </c>
      <c r="W46" s="52"/>
      <c r="X46" s="430">
        <f>VLOOKUP($B46,'Proposed Rates'!$D$248:$J$254,+X$11-2,FALSE)</f>
        <v>0.20300000000000001</v>
      </c>
      <c r="Y46" s="421">
        <f>$F$10*'Proposed Rates'!$K$251</f>
        <v>90</v>
      </c>
      <c r="Z46" s="400">
        <f t="shared" si="57"/>
        <v>18.27</v>
      </c>
      <c r="AA46" s="128"/>
      <c r="AB46" s="401">
        <f t="shared" si="13"/>
        <v>0</v>
      </c>
      <c r="AC46" s="402">
        <f t="shared" si="14"/>
        <v>0</v>
      </c>
      <c r="AD46" s="52"/>
      <c r="AE46" s="430">
        <f>VLOOKUP($B46,'Proposed Rates'!$D$248:$J$254,+AE$11-2,FALSE)</f>
        <v>0.20300000000000001</v>
      </c>
      <c r="AF46" s="421">
        <f>$F$10*'Proposed Rates'!$K$251</f>
        <v>90</v>
      </c>
      <c r="AG46" s="400">
        <f t="shared" si="59"/>
        <v>18.27</v>
      </c>
      <c r="AH46" s="128"/>
      <c r="AI46" s="401">
        <f t="shared" si="17"/>
        <v>0</v>
      </c>
      <c r="AJ46" s="402">
        <f t="shared" si="18"/>
        <v>0</v>
      </c>
      <c r="AK46" s="52"/>
      <c r="AL46" s="430">
        <f>VLOOKUP($B46,'Proposed Rates'!$D$248:$J$254,+AL$11-2,FALSE)</f>
        <v>0.20300000000000001</v>
      </c>
      <c r="AM46" s="421">
        <f>$F$10*'Proposed Rates'!$K$251</f>
        <v>90</v>
      </c>
      <c r="AN46" s="400">
        <f t="shared" si="61"/>
        <v>18.27</v>
      </c>
      <c r="AO46" s="128"/>
      <c r="AP46" s="401">
        <f t="shared" si="21"/>
        <v>0</v>
      </c>
      <c r="AQ46" s="402">
        <f t="shared" si="22"/>
        <v>0</v>
      </c>
      <c r="AR46" s="403"/>
    </row>
    <row r="47" spans="1:44" ht="12.75" customHeight="1">
      <c r="A47" s="52"/>
      <c r="B47" s="320" t="s">
        <v>265</v>
      </c>
      <c r="C47" s="395" t="str">
        <f t="shared" si="49"/>
        <v>Residential.Energy - RPP - Tier 1</v>
      </c>
      <c r="D47" s="396" t="s">
        <v>308</v>
      </c>
      <c r="E47" s="320"/>
      <c r="F47" s="430">
        <f>VLOOKUP($B47,'Proposed Rates'!$D$248:$J$254,+F$11-2,FALSE)</f>
        <v>0.12</v>
      </c>
      <c r="G47" s="431">
        <f>IF(AND($S$2=1, $F$10&gt;=600), 600, IF(AND($S$2=1, AND($F$10&lt;600, $F$10&gt;=0)), $F$10, IF(AND($S$2=2, $F$10&gt;=1000), 1000, IF(AND($S$2=2, AND($F$10&lt;1000, $F$10&gt;=0)), $F$10))))</f>
        <v>500</v>
      </c>
      <c r="H47" s="400">
        <f t="shared" si="51"/>
        <v>60</v>
      </c>
      <c r="I47" s="128"/>
      <c r="J47" s="430">
        <f>VLOOKUP($B47,'Proposed Rates'!$D$248:$J$254,+J$11-2,FALSE)</f>
        <v>0.12</v>
      </c>
      <c r="K47" s="431">
        <f>IF(AND($S$2=1, $F$10&gt;=600), 600, IF(AND($S$2=1, AND($F$10&lt;600, $F$10&gt;=0)), $F$10, IF(AND($S$2=2, $F$10&gt;=1000), 1000, IF(AND($S$2=2, AND($F$10&lt;1000, $F$10&gt;=0)), $F$10))))</f>
        <v>500</v>
      </c>
      <c r="L47" s="400">
        <f t="shared" si="53"/>
        <v>60</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500</v>
      </c>
      <c r="S47" s="400">
        <f t="shared" si="55"/>
        <v>60</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500</v>
      </c>
      <c r="Z47" s="400">
        <f t="shared" si="57"/>
        <v>60</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500</v>
      </c>
      <c r="AG47" s="400">
        <f t="shared" si="59"/>
        <v>60</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500</v>
      </c>
      <c r="AN47" s="400">
        <f t="shared" si="61"/>
        <v>60</v>
      </c>
      <c r="AO47" s="128"/>
      <c r="AP47" s="401">
        <f t="shared" si="21"/>
        <v>0</v>
      </c>
      <c r="AQ47" s="402">
        <f t="shared" si="22"/>
        <v>0</v>
      </c>
      <c r="AR47" s="403"/>
    </row>
    <row r="48" spans="1:44" ht="12.75" customHeight="1">
      <c r="A48" s="52"/>
      <c r="B48" s="320" t="s">
        <v>266</v>
      </c>
      <c r="C48" s="395" t="str">
        <f t="shared" si="49"/>
        <v>Residential.Energy - RPP - Tier 2</v>
      </c>
      <c r="D48" s="396" t="s">
        <v>308</v>
      </c>
      <c r="E48" s="320"/>
      <c r="F48" s="430">
        <f>VLOOKUP($B48,'Proposed Rates'!$D$248:$J$254,+F$11-2,FALSE)</f>
        <v>0.14199999999999999</v>
      </c>
      <c r="G48" s="433">
        <f>IF(AND($S$2=1, $F$10&gt;=600), $F$10-600, IF(AND($S$2=1, AND($F$10&lt;600, $F$10&gt;=0)), 0, IF(AND($S$2=2, $F$10&gt;=1000), $F$10-1000, IF(AND($S$2=2, AND($F$10&lt;1000, $F$10&gt;=0)), 0))))</f>
        <v>0</v>
      </c>
      <c r="H48" s="400">
        <f t="shared" si="51"/>
        <v>0</v>
      </c>
      <c r="I48" s="128"/>
      <c r="J48" s="430">
        <f>VLOOKUP($B48,'Proposed Rates'!$D$248:$J$254,+J$11-2,FALSE)</f>
        <v>0.14199999999999999</v>
      </c>
      <c r="K48" s="433">
        <f>IF(AND($S$2=1, $F$10&gt;=600), $F$10-600, IF(AND($S$2=1, AND($F$10&lt;600, $F$10&gt;=0)), 0, IF(AND($S$2=2, $F$10&gt;=1000), $F$10-1000, IF(AND($S$2=2, AND($F$10&lt;1000, $F$10&gt;=0)), 0))))</f>
        <v>0</v>
      </c>
      <c r="L48" s="400">
        <f t="shared" si="53"/>
        <v>0</v>
      </c>
      <c r="M48" s="128"/>
      <c r="N48" s="401">
        <f t="shared" si="5"/>
        <v>0</v>
      </c>
      <c r="O48" s="402" t="str">
        <f t="shared" si="6"/>
        <v/>
      </c>
      <c r="P48" s="52"/>
      <c r="Q48" s="430">
        <f>VLOOKUP($B48,'Proposed Rates'!$D$248:$J$254,+Q$11-2,FALSE)</f>
        <v>0.14199999999999999</v>
      </c>
      <c r="R48" s="433">
        <f>IF(AND($S$2=1, $F$10&gt;=600), $F$10-600, IF(AND($S$2=1, AND($F$10&lt;600, $F$10&gt;=0)), 0, IF(AND($S$2=2, $F$10&gt;=1000), $F$10-1000, IF(AND($S$2=2, AND($F$10&lt;1000, $F$10&gt;=0)), 0))))</f>
        <v>0</v>
      </c>
      <c r="S48" s="400">
        <f t="shared" si="55"/>
        <v>0</v>
      </c>
      <c r="T48" s="128"/>
      <c r="U48" s="401">
        <f t="shared" si="9"/>
        <v>0</v>
      </c>
      <c r="V48" s="402" t="str">
        <f t="shared" si="10"/>
        <v/>
      </c>
      <c r="W48" s="52"/>
      <c r="X48" s="430">
        <f>VLOOKUP($B48,'Proposed Rates'!$D$248:$J$254,+X$11-2,FALSE)</f>
        <v>0.14199999999999999</v>
      </c>
      <c r="Y48" s="433">
        <f>IF(AND($S$2=1, $F$10&gt;=600), $F$10-600, IF(AND($S$2=1, AND($F$10&lt;600, $F$10&gt;=0)), 0, IF(AND($S$2=2, $F$10&gt;=1000), $F$10-1000, IF(AND($S$2=2, AND($F$10&lt;1000, $F$10&gt;=0)), 0))))</f>
        <v>0</v>
      </c>
      <c r="Z48" s="400">
        <f t="shared" si="57"/>
        <v>0</v>
      </c>
      <c r="AA48" s="128"/>
      <c r="AB48" s="401">
        <f t="shared" si="13"/>
        <v>0</v>
      </c>
      <c r="AC48" s="402" t="str">
        <f t="shared" si="14"/>
        <v/>
      </c>
      <c r="AD48" s="52"/>
      <c r="AE48" s="430">
        <f>VLOOKUP($B48,'Proposed Rates'!$D$248:$J$254,+AE$11-2,FALSE)</f>
        <v>0.14199999999999999</v>
      </c>
      <c r="AF48" s="433">
        <f>IF(AND($S$2=1, $F$10&gt;=600), $F$10-600, IF(AND($S$2=1, AND($F$10&lt;600, $F$10&gt;=0)), 0, IF(AND($S$2=2, $F$10&gt;=1000), $F$10-1000, IF(AND($S$2=2, AND($F$10&lt;1000, $F$10&gt;=0)), 0))))</f>
        <v>0</v>
      </c>
      <c r="AG48" s="400">
        <f t="shared" si="59"/>
        <v>0</v>
      </c>
      <c r="AH48" s="128"/>
      <c r="AI48" s="401">
        <f t="shared" si="17"/>
        <v>0</v>
      </c>
      <c r="AJ48" s="402" t="str">
        <f t="shared" si="18"/>
        <v/>
      </c>
      <c r="AK48" s="52"/>
      <c r="AL48" s="430">
        <f>VLOOKUP($B48,'Proposed Rates'!$D$248:$J$254,+AL$11-2,FALSE)</f>
        <v>0.14199999999999999</v>
      </c>
      <c r="AM48" s="433">
        <f>IF(AND($S$2=1, $F$10&gt;=600), $F$10-600, IF(AND($S$2=1, AND($F$10&lt;600, $F$10&gt;=0)), 0, IF(AND($S$2=2, $F$10&gt;=1000), $F$10-1000, IF(AND($S$2=2, AND($F$10&lt;1000, $F$10&gt;=0)), 0))))</f>
        <v>0</v>
      </c>
      <c r="AN48" s="400">
        <f t="shared" si="61"/>
        <v>0</v>
      </c>
      <c r="AO48" s="128"/>
      <c r="AP48" s="401">
        <f t="shared" si="21"/>
        <v>0</v>
      </c>
      <c r="AQ48" s="402" t="str">
        <f t="shared" si="22"/>
        <v/>
      </c>
      <c r="AR48" s="403"/>
    </row>
    <row r="49" spans="1:4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75" customHeight="1">
      <c r="A50" s="52"/>
      <c r="B50" s="444" t="s">
        <v>315</v>
      </c>
      <c r="C50" s="320"/>
      <c r="D50" s="320"/>
      <c r="E50" s="320"/>
      <c r="F50" s="445"/>
      <c r="G50" s="489"/>
      <c r="H50" s="447">
        <f>SUM(H41:H46,H40)</f>
        <v>114.456953</v>
      </c>
      <c r="I50" s="482"/>
      <c r="J50" s="445"/>
      <c r="K50" s="446"/>
      <c r="L50" s="447">
        <f>SUM(L41:L46,L40)</f>
        <v>122.49115399999999</v>
      </c>
      <c r="M50" s="449"/>
      <c r="N50" s="448">
        <f t="shared" ref="N50:N54" si="62">L50-H50</f>
        <v>8.0342009999999959</v>
      </c>
      <c r="O50" s="450">
        <f t="shared" ref="O50:O54" si="63">IF((H50)=0,"",(N50/H50))</f>
        <v>7.0194084233572041E-2</v>
      </c>
      <c r="P50" s="52"/>
      <c r="Q50" s="446"/>
      <c r="R50" s="446"/>
      <c r="S50" s="448">
        <f>SUM(S41:S46,S40)</f>
        <v>126.261154</v>
      </c>
      <c r="T50" s="449"/>
      <c r="U50" s="448">
        <f t="shared" ref="U50:U54" si="64">S50-L50</f>
        <v>3.7700000000000102</v>
      </c>
      <c r="V50" s="450">
        <f t="shared" ref="V50:V54" si="65">IF((L50)=0,"",(U50/L50))</f>
        <v>3.0777732733255254E-2</v>
      </c>
      <c r="W50" s="52"/>
      <c r="X50" s="446"/>
      <c r="Y50" s="446"/>
      <c r="Z50" s="448">
        <f>SUM(Z41:Z46,Z40)</f>
        <v>130.24632</v>
      </c>
      <c r="AA50" s="449"/>
      <c r="AB50" s="448">
        <f t="shared" ref="AB50:AB54" si="66">Z50-S50</f>
        <v>3.9851659999999924</v>
      </c>
      <c r="AC50" s="450">
        <f t="shared" ref="AC50:AC54" si="67">IF((S50)=0,"",(AB50/S50))</f>
        <v>3.1562882753312968E-2</v>
      </c>
      <c r="AD50" s="52"/>
      <c r="AE50" s="446"/>
      <c r="AF50" s="446"/>
      <c r="AG50" s="448">
        <f>SUM(AG41:AG46,AG40)</f>
        <v>133.36631999999997</v>
      </c>
      <c r="AH50" s="449"/>
      <c r="AI50" s="448">
        <f t="shared" ref="AI50:AI54" si="68">AG50-Z50</f>
        <v>3.1199999999999761</v>
      </c>
      <c r="AJ50" s="450">
        <f t="shared" ref="AJ50:AJ54" si="69">IF((Z50)=0,"",(AI50/Z50))</f>
        <v>2.3954611539120461E-2</v>
      </c>
      <c r="AK50" s="52"/>
      <c r="AL50" s="446"/>
      <c r="AM50" s="446"/>
      <c r="AN50" s="448">
        <f>SUM(AN41:AN46,AN40)</f>
        <v>136.32631999999998</v>
      </c>
      <c r="AO50" s="449"/>
      <c r="AP50" s="448">
        <f t="shared" ref="AP50:AP54" si="70">AN50-AG50</f>
        <v>2.960000000000008</v>
      </c>
      <c r="AQ50" s="450">
        <f t="shared" ref="AQ50:AQ54" si="71">IF((AG50)=0,"",(AP50/AG50))</f>
        <v>2.2194509078454053E-2</v>
      </c>
      <c r="AR50" s="451"/>
    </row>
    <row r="51" spans="1:44" ht="12.75" customHeight="1">
      <c r="A51" s="52"/>
      <c r="B51" s="452" t="s">
        <v>316</v>
      </c>
      <c r="C51" s="320"/>
      <c r="D51" s="320"/>
      <c r="E51" s="320"/>
      <c r="F51" s="445">
        <v>0.13</v>
      </c>
      <c r="G51" s="128"/>
      <c r="H51" s="490">
        <f>H50*F51</f>
        <v>14.879403890000001</v>
      </c>
      <c r="I51" s="417"/>
      <c r="J51" s="445">
        <v>0.13</v>
      </c>
      <c r="K51" s="417"/>
      <c r="L51" s="400">
        <f>L50*J51</f>
        <v>15.92385002</v>
      </c>
      <c r="M51" s="128"/>
      <c r="N51" s="401">
        <f t="shared" si="62"/>
        <v>1.044446129999999</v>
      </c>
      <c r="O51" s="402">
        <f t="shared" si="63"/>
        <v>7.0194084233571999E-2</v>
      </c>
      <c r="P51" s="52"/>
      <c r="Q51" s="453">
        <v>0.13</v>
      </c>
      <c r="R51" s="417"/>
      <c r="S51" s="400">
        <f>S50*Q51</f>
        <v>16.413950020000001</v>
      </c>
      <c r="T51" s="128"/>
      <c r="U51" s="401">
        <f t="shared" si="64"/>
        <v>0.49010000000000176</v>
      </c>
      <c r="V51" s="402">
        <f t="shared" si="65"/>
        <v>3.0777732733255281E-2</v>
      </c>
      <c r="W51" s="52"/>
      <c r="X51" s="453">
        <v>0.13</v>
      </c>
      <c r="Y51" s="417"/>
      <c r="Z51" s="400">
        <f>Z50*X51</f>
        <v>16.932021599999999</v>
      </c>
      <c r="AA51" s="128"/>
      <c r="AB51" s="401">
        <f t="shared" si="66"/>
        <v>0.51807157999999731</v>
      </c>
      <c r="AC51" s="402">
        <f t="shared" si="67"/>
        <v>3.1562882753312857E-2</v>
      </c>
      <c r="AD51" s="52"/>
      <c r="AE51" s="453">
        <v>0.13</v>
      </c>
      <c r="AF51" s="417"/>
      <c r="AG51" s="400">
        <f>AG50*AE51</f>
        <v>17.337621599999999</v>
      </c>
      <c r="AH51" s="128"/>
      <c r="AI51" s="401">
        <f t="shared" si="68"/>
        <v>0.40559999999999974</v>
      </c>
      <c r="AJ51" s="402">
        <f t="shared" si="69"/>
        <v>2.3954611539120631E-2</v>
      </c>
      <c r="AK51" s="52"/>
      <c r="AL51" s="453">
        <v>0.13</v>
      </c>
      <c r="AM51" s="417"/>
      <c r="AN51" s="400">
        <f>AN50*AL51</f>
        <v>17.722421599999997</v>
      </c>
      <c r="AO51" s="128"/>
      <c r="AP51" s="401">
        <f t="shared" si="70"/>
        <v>0.38479999999999848</v>
      </c>
      <c r="AQ51" s="402">
        <f t="shared" si="71"/>
        <v>2.2194509078453904E-2</v>
      </c>
      <c r="AR51" s="403"/>
    </row>
    <row r="52" spans="1:44" ht="12.75" customHeight="1">
      <c r="A52" s="52"/>
      <c r="B52" s="491" t="s">
        <v>341</v>
      </c>
      <c r="C52" s="320"/>
      <c r="D52" s="320"/>
      <c r="E52" s="320"/>
      <c r="F52" s="455"/>
      <c r="G52" s="128"/>
      <c r="H52" s="490">
        <f>H50+H51</f>
        <v>129.33635688999999</v>
      </c>
      <c r="I52" s="417"/>
      <c r="J52" s="455"/>
      <c r="K52" s="417"/>
      <c r="L52" s="400">
        <f>L50+L51</f>
        <v>138.41500402</v>
      </c>
      <c r="M52" s="128"/>
      <c r="N52" s="401">
        <f t="shared" si="62"/>
        <v>9.0786471300000073</v>
      </c>
      <c r="O52" s="402">
        <f t="shared" si="63"/>
        <v>7.0194084233572138E-2</v>
      </c>
      <c r="P52" s="52"/>
      <c r="Q52" s="417"/>
      <c r="R52" s="417"/>
      <c r="S52" s="400">
        <f>S50+S51</f>
        <v>142.67510401999999</v>
      </c>
      <c r="T52" s="128"/>
      <c r="U52" s="401">
        <f t="shared" si="64"/>
        <v>4.2600999999999942</v>
      </c>
      <c r="V52" s="402">
        <f t="shared" si="65"/>
        <v>3.0777732733255129E-2</v>
      </c>
      <c r="W52" s="52"/>
      <c r="X52" s="417"/>
      <c r="Y52" s="417"/>
      <c r="Z52" s="400">
        <f>Z50+Z51</f>
        <v>147.17834160000001</v>
      </c>
      <c r="AA52" s="128"/>
      <c r="AB52" s="401">
        <f t="shared" si="66"/>
        <v>4.5032375800000182</v>
      </c>
      <c r="AC52" s="402">
        <f t="shared" si="67"/>
        <v>3.1562882753313155E-2</v>
      </c>
      <c r="AD52" s="52"/>
      <c r="AE52" s="417"/>
      <c r="AF52" s="417"/>
      <c r="AG52" s="400">
        <f>AG50+AG51</f>
        <v>150.70394159999998</v>
      </c>
      <c r="AH52" s="128"/>
      <c r="AI52" s="401">
        <f t="shared" si="68"/>
        <v>3.5255999999999688</v>
      </c>
      <c r="AJ52" s="402">
        <f t="shared" si="69"/>
        <v>2.395461153912043E-2</v>
      </c>
      <c r="AK52" s="52"/>
      <c r="AL52" s="417"/>
      <c r="AM52" s="417"/>
      <c r="AN52" s="400">
        <f>AN50+AN51</f>
        <v>154.04874159999997</v>
      </c>
      <c r="AO52" s="128"/>
      <c r="AP52" s="401">
        <f t="shared" si="70"/>
        <v>3.3447999999999922</v>
      </c>
      <c r="AQ52" s="402">
        <f t="shared" si="71"/>
        <v>2.2194509078453942E-2</v>
      </c>
      <c r="AR52" s="403"/>
    </row>
    <row r="53" spans="1:44" ht="15.75" customHeight="1">
      <c r="A53" s="52"/>
      <c r="B53" s="628" t="s">
        <v>273</v>
      </c>
      <c r="C53" s="615"/>
      <c r="D53" s="615"/>
      <c r="E53" s="320"/>
      <c r="F53" s="456">
        <f>'Proposed Rates'!E286</f>
        <v>0.23499999999999999</v>
      </c>
      <c r="G53" s="128"/>
      <c r="H53" s="492">
        <f>F53*H50</f>
        <v>26.897383954999999</v>
      </c>
      <c r="I53" s="417"/>
      <c r="J53" s="456">
        <f>'Proposed Rates'!F286</f>
        <v>0.23499999999999999</v>
      </c>
      <c r="K53" s="417"/>
      <c r="L53" s="457">
        <f>J53*L50</f>
        <v>28.785421189999997</v>
      </c>
      <c r="M53" s="128"/>
      <c r="N53" s="457">
        <f t="shared" si="62"/>
        <v>1.8880372349999988</v>
      </c>
      <c r="O53" s="459">
        <f t="shared" si="63"/>
        <v>7.0194084233572027E-2</v>
      </c>
      <c r="P53" s="52"/>
      <c r="Q53" s="458">
        <f>'Proposed Rates'!G286</f>
        <v>0.23499999999999999</v>
      </c>
      <c r="R53" s="417"/>
      <c r="S53" s="457">
        <f>Q53*S50</f>
        <v>29.671371189999999</v>
      </c>
      <c r="T53" s="128"/>
      <c r="U53" s="457">
        <f t="shared" si="64"/>
        <v>0.88595000000000113</v>
      </c>
      <c r="V53" s="459">
        <f t="shared" si="65"/>
        <v>3.0777732733255212E-2</v>
      </c>
      <c r="W53" s="52"/>
      <c r="X53" s="458">
        <f>'Proposed Rates'!H286</f>
        <v>0.23499999999999999</v>
      </c>
      <c r="Y53" s="417"/>
      <c r="Z53" s="457">
        <f>X53*Z50</f>
        <v>30.607885199999998</v>
      </c>
      <c r="AA53" s="128"/>
      <c r="AB53" s="457">
        <f t="shared" si="66"/>
        <v>0.93651400999999979</v>
      </c>
      <c r="AC53" s="459">
        <f t="shared" si="67"/>
        <v>3.1562882753313024E-2</v>
      </c>
      <c r="AD53" s="52"/>
      <c r="AE53" s="458">
        <f>'Proposed Rates'!I286</f>
        <v>0.23499999999999999</v>
      </c>
      <c r="AF53" s="417"/>
      <c r="AG53" s="457">
        <f>AE53*AG50</f>
        <v>31.341085199999991</v>
      </c>
      <c r="AH53" s="128"/>
      <c r="AI53" s="457">
        <f t="shared" si="68"/>
        <v>0.73319999999999297</v>
      </c>
      <c r="AJ53" s="459">
        <f t="shared" si="69"/>
        <v>2.3954611539120416E-2</v>
      </c>
      <c r="AK53" s="52"/>
      <c r="AL53" s="458">
        <f>'Proposed Rates'!J286</f>
        <v>0.23499999999999999</v>
      </c>
      <c r="AM53" s="417"/>
      <c r="AN53" s="457">
        <f>AL53*AN50</f>
        <v>32.036685199999994</v>
      </c>
      <c r="AO53" s="128"/>
      <c r="AP53" s="457">
        <f t="shared" si="70"/>
        <v>0.69560000000000244</v>
      </c>
      <c r="AQ53" s="459">
        <f t="shared" si="71"/>
        <v>2.2194509078454074E-2</v>
      </c>
      <c r="AR53" s="460"/>
    </row>
    <row r="54" spans="1:44" ht="12.75" customHeight="1">
      <c r="A54" s="52"/>
      <c r="B54" s="627" t="s">
        <v>318</v>
      </c>
      <c r="C54" s="613"/>
      <c r="D54" s="613"/>
      <c r="E54" s="461"/>
      <c r="F54" s="462"/>
      <c r="G54" s="493"/>
      <c r="H54" s="494">
        <f>H52-H53</f>
        <v>102.438972935</v>
      </c>
      <c r="I54" s="463"/>
      <c r="J54" s="462"/>
      <c r="K54" s="463"/>
      <c r="L54" s="464">
        <f>L52-L53</f>
        <v>109.62958283</v>
      </c>
      <c r="M54" s="465"/>
      <c r="N54" s="466">
        <f t="shared" si="62"/>
        <v>7.1906098950000086</v>
      </c>
      <c r="O54" s="467">
        <f t="shared" si="63"/>
        <v>7.0194084233572165E-2</v>
      </c>
      <c r="P54" s="52"/>
      <c r="Q54" s="463"/>
      <c r="R54" s="463"/>
      <c r="S54" s="464">
        <f>S52-S53</f>
        <v>113.00373282999999</v>
      </c>
      <c r="T54" s="465"/>
      <c r="U54" s="466">
        <f t="shared" si="64"/>
        <v>3.374149999999986</v>
      </c>
      <c r="V54" s="467">
        <f t="shared" si="65"/>
        <v>3.0777732733255042E-2</v>
      </c>
      <c r="W54" s="52"/>
      <c r="X54" s="463"/>
      <c r="Y54" s="463"/>
      <c r="Z54" s="464">
        <f>Z52-Z53</f>
        <v>116.57045640000001</v>
      </c>
      <c r="AA54" s="465"/>
      <c r="AB54" s="466">
        <f t="shared" si="66"/>
        <v>3.5667235700000219</v>
      </c>
      <c r="AC54" s="467">
        <f t="shared" si="67"/>
        <v>3.1562882753313225E-2</v>
      </c>
      <c r="AD54" s="52"/>
      <c r="AE54" s="463"/>
      <c r="AF54" s="463"/>
      <c r="AG54" s="464">
        <f>AG52-AG53</f>
        <v>119.36285639999998</v>
      </c>
      <c r="AH54" s="465"/>
      <c r="AI54" s="466">
        <f t="shared" si="68"/>
        <v>2.7923999999999722</v>
      </c>
      <c r="AJ54" s="467">
        <f t="shared" si="69"/>
        <v>2.3954611539120405E-2</v>
      </c>
      <c r="AK54" s="52"/>
      <c r="AL54" s="463"/>
      <c r="AM54" s="463"/>
      <c r="AN54" s="464">
        <f>AN52-AN53</f>
        <v>122.01205639999998</v>
      </c>
      <c r="AO54" s="465"/>
      <c r="AP54" s="466">
        <f t="shared" si="70"/>
        <v>2.6491999999999933</v>
      </c>
      <c r="AQ54" s="467">
        <f t="shared" si="71"/>
        <v>2.2194509078453939E-2</v>
      </c>
      <c r="AR54" s="468"/>
    </row>
    <row r="55" spans="1:4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75" customHeight="1">
      <c r="A56" s="52"/>
      <c r="B56" s="444" t="s">
        <v>319</v>
      </c>
      <c r="C56" s="320"/>
      <c r="D56" s="320"/>
      <c r="E56" s="320"/>
      <c r="F56" s="445"/>
      <c r="G56" s="489"/>
      <c r="H56" s="447">
        <f>SUM(H47:H48,H40,H41:H43)</f>
        <v>110.69695299999999</v>
      </c>
      <c r="I56" s="482"/>
      <c r="J56" s="445"/>
      <c r="K56" s="446"/>
      <c r="L56" s="447">
        <f>SUM(L47:L48,L40,L41:L43)</f>
        <v>118.73115399999998</v>
      </c>
      <c r="M56" s="449"/>
      <c r="N56" s="448">
        <f t="shared" ref="N56:N60" si="72">L56-H56</f>
        <v>8.0342009999999817</v>
      </c>
      <c r="O56" s="450">
        <f t="shared" ref="O56:O60" si="73">IF((H56)=0,"",(N56/H56))</f>
        <v>7.2578339170726605E-2</v>
      </c>
      <c r="P56" s="52"/>
      <c r="Q56" s="446"/>
      <c r="R56" s="446"/>
      <c r="S56" s="448">
        <f>SUM(S47:S48,S40,S41:S43)</f>
        <v>122.50115399999999</v>
      </c>
      <c r="T56" s="449"/>
      <c r="U56" s="448">
        <f t="shared" ref="U56:U60" si="74">S56-L56</f>
        <v>3.7700000000000102</v>
      </c>
      <c r="V56" s="450">
        <f t="shared" ref="V56:V60" si="75">IF((L56)=0,"",(U56/L56))</f>
        <v>3.1752407628414116E-2</v>
      </c>
      <c r="W56" s="52"/>
      <c r="X56" s="446"/>
      <c r="Y56" s="446"/>
      <c r="Z56" s="448">
        <f>SUM(Z47:Z48,Z40,Z41:Z43)</f>
        <v>126.48631999999996</v>
      </c>
      <c r="AA56" s="449"/>
      <c r="AB56" s="448">
        <f t="shared" ref="AB56:AB60" si="76">Z56-S56</f>
        <v>3.9851659999999782</v>
      </c>
      <c r="AC56" s="450">
        <f t="shared" ref="AC56:AC60" si="77">IF((S56)=0,"",(AB56/S56))</f>
        <v>3.2531660885414829E-2</v>
      </c>
      <c r="AD56" s="52"/>
      <c r="AE56" s="446"/>
      <c r="AF56" s="446"/>
      <c r="AG56" s="448">
        <f>SUM(AG47:AG48,AG40,AG41:AG43)</f>
        <v>129.60631999999995</v>
      </c>
      <c r="AH56" s="449"/>
      <c r="AI56" s="448">
        <f t="shared" ref="AI56:AI60" si="78">AG56-Z56</f>
        <v>3.1199999999999903</v>
      </c>
      <c r="AJ56" s="450">
        <f t="shared" ref="AJ56:AJ60" si="79">IF((Z56)=0,"",(AI56/Z56))</f>
        <v>2.4666699133945799E-2</v>
      </c>
      <c r="AK56" s="52"/>
      <c r="AL56" s="446"/>
      <c r="AM56" s="446"/>
      <c r="AN56" s="448">
        <f>SUM(AN47:AN48,AN40,AN41:AN43)</f>
        <v>132.56631999999999</v>
      </c>
      <c r="AO56" s="449"/>
      <c r="AP56" s="448">
        <f t="shared" ref="AP56:AP60" si="80">AN56-AG56</f>
        <v>2.9600000000000364</v>
      </c>
      <c r="AQ56" s="450">
        <f t="shared" ref="AQ56:AQ60" si="81">IF((AG56)=0,"",(AP56/AG56))</f>
        <v>2.2838392448763591E-2</v>
      </c>
      <c r="AR56" s="451"/>
    </row>
    <row r="57" spans="1:44" ht="12.75" customHeight="1">
      <c r="A57" s="52"/>
      <c r="B57" s="452" t="s">
        <v>316</v>
      </c>
      <c r="C57" s="320"/>
      <c r="D57" s="320"/>
      <c r="E57" s="320"/>
      <c r="F57" s="445">
        <v>0.13</v>
      </c>
      <c r="G57" s="489"/>
      <c r="H57" s="490">
        <f>H56*F57</f>
        <v>14.39060389</v>
      </c>
      <c r="I57" s="417"/>
      <c r="J57" s="445">
        <v>0.13</v>
      </c>
      <c r="K57" s="453"/>
      <c r="L57" s="400">
        <f>L56*J57</f>
        <v>15.435050019999997</v>
      </c>
      <c r="M57" s="128"/>
      <c r="N57" s="401">
        <f t="shared" si="72"/>
        <v>1.0444461299999972</v>
      </c>
      <c r="O57" s="402">
        <f t="shared" si="73"/>
        <v>7.2578339170726577E-2</v>
      </c>
      <c r="P57" s="52"/>
      <c r="Q57" s="445">
        <v>0.13</v>
      </c>
      <c r="R57" s="453"/>
      <c r="S57" s="400">
        <f>S56*Q57</f>
        <v>15.925150019999998</v>
      </c>
      <c r="T57" s="128"/>
      <c r="U57" s="401">
        <f t="shared" si="74"/>
        <v>0.49010000000000176</v>
      </c>
      <c r="V57" s="402">
        <f t="shared" si="75"/>
        <v>3.1752407628414143E-2</v>
      </c>
      <c r="W57" s="52"/>
      <c r="X57" s="445">
        <v>0.13</v>
      </c>
      <c r="Y57" s="453"/>
      <c r="Z57" s="400">
        <f>Z56*X57</f>
        <v>16.443221599999998</v>
      </c>
      <c r="AA57" s="128"/>
      <c r="AB57" s="401">
        <f t="shared" si="76"/>
        <v>0.51807157999999909</v>
      </c>
      <c r="AC57" s="402">
        <f t="shared" si="77"/>
        <v>3.2531660885414954E-2</v>
      </c>
      <c r="AD57" s="52"/>
      <c r="AE57" s="445">
        <v>0.13</v>
      </c>
      <c r="AF57" s="453"/>
      <c r="AG57" s="400">
        <f>AG56*AE57</f>
        <v>16.848821599999994</v>
      </c>
      <c r="AH57" s="128"/>
      <c r="AI57" s="401">
        <f t="shared" si="78"/>
        <v>0.40559999999999619</v>
      </c>
      <c r="AJ57" s="402">
        <f t="shared" si="79"/>
        <v>2.466669913394564E-2</v>
      </c>
      <c r="AK57" s="52"/>
      <c r="AL57" s="445">
        <v>0.13</v>
      </c>
      <c r="AM57" s="453"/>
      <c r="AN57" s="400">
        <f>AN56*AL57</f>
        <v>17.233621599999999</v>
      </c>
      <c r="AO57" s="128"/>
      <c r="AP57" s="401">
        <f t="shared" si="80"/>
        <v>0.38480000000000558</v>
      </c>
      <c r="AQ57" s="402">
        <f t="shared" si="81"/>
        <v>2.283839244876364E-2</v>
      </c>
      <c r="AR57" s="403"/>
    </row>
    <row r="58" spans="1:44" ht="12.75" customHeight="1">
      <c r="A58" s="52"/>
      <c r="B58" s="491" t="s">
        <v>342</v>
      </c>
      <c r="C58" s="320"/>
      <c r="D58" s="320"/>
      <c r="E58" s="320"/>
      <c r="F58" s="455"/>
      <c r="G58" s="128"/>
      <c r="H58" s="490">
        <f>H56+H57</f>
        <v>125.08755688999999</v>
      </c>
      <c r="I58" s="417"/>
      <c r="J58" s="455"/>
      <c r="K58" s="417"/>
      <c r="L58" s="400">
        <f>L56+L57</f>
        <v>134.16620401999998</v>
      </c>
      <c r="M58" s="128"/>
      <c r="N58" s="401">
        <f t="shared" si="72"/>
        <v>9.0786471299999931</v>
      </c>
      <c r="O58" s="402">
        <f t="shared" si="73"/>
        <v>7.2578339170726716E-2</v>
      </c>
      <c r="P58" s="52"/>
      <c r="Q58" s="417"/>
      <c r="R58" s="417"/>
      <c r="S58" s="400">
        <f>S56+S57</f>
        <v>138.42630401999998</v>
      </c>
      <c r="T58" s="128"/>
      <c r="U58" s="401">
        <f t="shared" si="74"/>
        <v>4.2600999999999942</v>
      </c>
      <c r="V58" s="402">
        <f t="shared" si="75"/>
        <v>3.1752407628413984E-2</v>
      </c>
      <c r="W58" s="52"/>
      <c r="X58" s="417"/>
      <c r="Y58" s="417"/>
      <c r="Z58" s="400">
        <f>Z56+Z57</f>
        <v>142.92954159999996</v>
      </c>
      <c r="AA58" s="128"/>
      <c r="AB58" s="401">
        <f t="shared" si="76"/>
        <v>4.5032375799999897</v>
      </c>
      <c r="AC58" s="402">
        <f t="shared" si="77"/>
        <v>3.253166088541494E-2</v>
      </c>
      <c r="AD58" s="52"/>
      <c r="AE58" s="417"/>
      <c r="AF58" s="417"/>
      <c r="AG58" s="400">
        <f>AG56+AG57</f>
        <v>146.45514159999993</v>
      </c>
      <c r="AH58" s="128"/>
      <c r="AI58" s="401">
        <f t="shared" si="78"/>
        <v>3.5255999999999688</v>
      </c>
      <c r="AJ58" s="402">
        <f t="shared" si="79"/>
        <v>2.4666699133945657E-2</v>
      </c>
      <c r="AK58" s="52"/>
      <c r="AL58" s="417"/>
      <c r="AM58" s="417"/>
      <c r="AN58" s="400">
        <f>AN56+AN57</f>
        <v>149.79994159999998</v>
      </c>
      <c r="AO58" s="128"/>
      <c r="AP58" s="401">
        <f t="shared" si="80"/>
        <v>3.3448000000000491</v>
      </c>
      <c r="AQ58" s="402">
        <f t="shared" si="81"/>
        <v>2.2838392448763647E-2</v>
      </c>
      <c r="AR58" s="403"/>
    </row>
    <row r="59" spans="1:44" ht="15.75" customHeight="1">
      <c r="A59" s="52"/>
      <c r="B59" s="628" t="s">
        <v>273</v>
      </c>
      <c r="C59" s="615"/>
      <c r="D59" s="615"/>
      <c r="E59" s="320"/>
      <c r="F59" s="456">
        <f>F53</f>
        <v>0.23499999999999999</v>
      </c>
      <c r="G59" s="128"/>
      <c r="H59" s="492">
        <f>F59*H56</f>
        <v>26.013783954999997</v>
      </c>
      <c r="I59" s="417"/>
      <c r="J59" s="456">
        <f>J53</f>
        <v>0.23499999999999999</v>
      </c>
      <c r="K59" s="417"/>
      <c r="L59" s="457">
        <f>J59*L56</f>
        <v>27.901821189999993</v>
      </c>
      <c r="M59" s="128"/>
      <c r="N59" s="457">
        <f t="shared" si="72"/>
        <v>1.8880372349999952</v>
      </c>
      <c r="O59" s="459">
        <f t="shared" si="73"/>
        <v>7.2578339170726591E-2</v>
      </c>
      <c r="P59" s="52"/>
      <c r="Q59" s="458">
        <f>Q53</f>
        <v>0.23499999999999999</v>
      </c>
      <c r="R59" s="417"/>
      <c r="S59" s="457">
        <f>Q59*S56</f>
        <v>28.787771189999994</v>
      </c>
      <c r="T59" s="128"/>
      <c r="U59" s="457">
        <f t="shared" si="74"/>
        <v>0.88595000000000113</v>
      </c>
      <c r="V59" s="459">
        <f t="shared" si="75"/>
        <v>3.1752407628414067E-2</v>
      </c>
      <c r="W59" s="52"/>
      <c r="X59" s="458">
        <f>X53</f>
        <v>0.23499999999999999</v>
      </c>
      <c r="Y59" s="417"/>
      <c r="Z59" s="457">
        <f>X59*Z56</f>
        <v>29.72428519999999</v>
      </c>
      <c r="AA59" s="128"/>
      <c r="AB59" s="457">
        <f t="shared" si="76"/>
        <v>0.93651400999999623</v>
      </c>
      <c r="AC59" s="459">
        <f t="shared" si="77"/>
        <v>3.2531660885414884E-2</v>
      </c>
      <c r="AD59" s="52"/>
      <c r="AE59" s="458">
        <f>AE53</f>
        <v>0.23499999999999999</v>
      </c>
      <c r="AF59" s="417"/>
      <c r="AG59" s="457">
        <f>AE59*AG56</f>
        <v>30.457485199999986</v>
      </c>
      <c r="AH59" s="128"/>
      <c r="AI59" s="457">
        <f t="shared" si="78"/>
        <v>0.73319999999999652</v>
      </c>
      <c r="AJ59" s="459">
        <f t="shared" si="79"/>
        <v>2.4666699133945761E-2</v>
      </c>
      <c r="AK59" s="52"/>
      <c r="AL59" s="458">
        <f>AL53</f>
        <v>0.23499999999999999</v>
      </c>
      <c r="AM59" s="417"/>
      <c r="AN59" s="457">
        <f>AL59*AN56</f>
        <v>31.153085199999996</v>
      </c>
      <c r="AO59" s="128"/>
      <c r="AP59" s="457">
        <f t="shared" si="80"/>
        <v>0.69560000000000954</v>
      </c>
      <c r="AQ59" s="459">
        <f t="shared" si="81"/>
        <v>2.2838392448763626E-2</v>
      </c>
      <c r="AR59" s="460"/>
    </row>
    <row r="60" spans="1:44" ht="12.75" customHeight="1">
      <c r="A60" s="52"/>
      <c r="B60" s="627" t="s">
        <v>321</v>
      </c>
      <c r="C60" s="613"/>
      <c r="D60" s="613"/>
      <c r="E60" s="461"/>
      <c r="F60" s="469"/>
      <c r="G60" s="495"/>
      <c r="H60" s="496">
        <f>H58-H59</f>
        <v>99.073772934999994</v>
      </c>
      <c r="I60" s="470"/>
      <c r="J60" s="469"/>
      <c r="K60" s="470"/>
      <c r="L60" s="471">
        <f>L58-L59</f>
        <v>106.26438282999999</v>
      </c>
      <c r="M60" s="472"/>
      <c r="N60" s="473">
        <f t="shared" si="72"/>
        <v>7.1906098949999944</v>
      </c>
      <c r="O60" s="474">
        <f t="shared" si="73"/>
        <v>7.2578339170726716E-2</v>
      </c>
      <c r="P60" s="52"/>
      <c r="Q60" s="470"/>
      <c r="R60" s="470"/>
      <c r="S60" s="471">
        <f>S58-S59</f>
        <v>109.63853282999997</v>
      </c>
      <c r="T60" s="472"/>
      <c r="U60" s="473">
        <f t="shared" si="74"/>
        <v>3.374149999999986</v>
      </c>
      <c r="V60" s="474">
        <f t="shared" si="75"/>
        <v>3.1752407628413894E-2</v>
      </c>
      <c r="W60" s="52"/>
      <c r="X60" s="470"/>
      <c r="Y60" s="470"/>
      <c r="Z60" s="471">
        <f>Z58-Z59</f>
        <v>113.20525639999997</v>
      </c>
      <c r="AA60" s="472"/>
      <c r="AB60" s="473">
        <f t="shared" si="76"/>
        <v>3.5667235699999935</v>
      </c>
      <c r="AC60" s="474">
        <f t="shared" si="77"/>
        <v>3.2531660885414954E-2</v>
      </c>
      <c r="AD60" s="52"/>
      <c r="AE60" s="470"/>
      <c r="AF60" s="470"/>
      <c r="AG60" s="471">
        <f>AG58-AG59</f>
        <v>115.99765639999995</v>
      </c>
      <c r="AH60" s="472"/>
      <c r="AI60" s="473">
        <f t="shared" si="78"/>
        <v>2.7923999999999864</v>
      </c>
      <c r="AJ60" s="474">
        <f t="shared" si="79"/>
        <v>2.4666699133945758E-2</v>
      </c>
      <c r="AK60" s="52"/>
      <c r="AL60" s="470"/>
      <c r="AM60" s="470"/>
      <c r="AN60" s="471">
        <f>AN58-AN59</f>
        <v>118.64685639999999</v>
      </c>
      <c r="AO60" s="472"/>
      <c r="AP60" s="473">
        <f t="shared" si="80"/>
        <v>2.649200000000036</v>
      </c>
      <c r="AQ60" s="474">
        <f t="shared" si="81"/>
        <v>2.2838392448763619E-2</v>
      </c>
      <c r="AR60" s="468"/>
    </row>
    <row r="61" spans="1:4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5.75" customHeight="1">
      <c r="A65" s="479" t="s">
        <v>343</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B00-000000000000}">
      <formula1>"TOU,non-TOU"</formula1>
    </dataValidation>
    <dataValidation type="list" allowBlank="1" showErrorMessage="1" sqref="E15:E28 E30:E36 E38:E39 E41:E49 E55 E61" xr:uid="{00000000-0002-0000-0B00-000001000000}">
      <formula1>#REF!</formula1>
    </dataValidation>
    <dataValidation type="list" allowBlank="1" showInputMessage="1" showErrorMessage="1" prompt="Select Charge Unit - monthly, per kWh, per kW" sqref="D15:D28 D30:D36 D38:D39 D41:D49 D55 D61" xr:uid="{00000000-0002-0000-0B00-000002000000}">
      <formula1>"Monthly,per kWh,per kW"</formula1>
    </dataValidation>
  </dataValidations>
  <pageMargins left="0.74803149606299213" right="0.74803149606299213" top="0.98425196850393704" bottom="0.98425196850393704"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1000"/>
  <sheetViews>
    <sheetView showGridLines="0" workbookViewId="0">
      <pane ySplit="14" topLeftCell="A4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85546875" customWidth="1"/>
    <col min="7" max="7" width="7.5703125" customWidth="1"/>
    <col min="8" max="8" width="9.28515625" customWidth="1"/>
    <col min="9" max="9" width="1.42578125" customWidth="1"/>
    <col min="10" max="10" width="10.42578125" customWidth="1"/>
    <col min="11" max="11" width="7.5703125" customWidth="1"/>
    <col min="12" max="12" width="9.28515625" customWidth="1"/>
    <col min="13" max="13" width="1" customWidth="1"/>
    <col min="14" max="14" width="9.140625" customWidth="1"/>
    <col min="15" max="15" width="9.42578125" customWidth="1"/>
    <col min="16" max="16" width="1.28515625" customWidth="1"/>
    <col min="17" max="17" width="10.42578125" customWidth="1"/>
    <col min="18" max="18" width="7.5703125" customWidth="1"/>
    <col min="19" max="19" width="9.28515625" customWidth="1"/>
    <col min="20" max="20" width="1.28515625" customWidth="1"/>
    <col min="21" max="21" width="9.140625" customWidth="1"/>
    <col min="22" max="22" width="9.42578125" customWidth="1"/>
    <col min="23" max="23" width="0.7109375" customWidth="1"/>
    <col min="24" max="24" width="10.42578125" customWidth="1"/>
    <col min="25" max="25" width="7.5703125" customWidth="1"/>
    <col min="26" max="26" width="9.28515625" customWidth="1"/>
    <col min="27" max="27" width="1.42578125" customWidth="1"/>
    <col min="28" max="28" width="9.140625" customWidth="1"/>
    <col min="29" max="29" width="9.42578125" customWidth="1"/>
    <col min="30" max="30" width="0.85546875" customWidth="1"/>
    <col min="31" max="31" width="10.42578125" customWidth="1"/>
    <col min="32" max="32" width="7.5703125" customWidth="1"/>
    <col min="33" max="33" width="9.28515625" customWidth="1"/>
    <col min="34" max="34" width="2.85546875" customWidth="1"/>
    <col min="35" max="35" width="9.140625" customWidth="1"/>
    <col min="36" max="36" width="9.42578125" customWidth="1"/>
    <col min="37" max="37" width="0.42578125" customWidth="1"/>
    <col min="38" max="38" width="10.42578125" customWidth="1"/>
    <col min="39" max="39" width="7.5703125" customWidth="1"/>
    <col min="40" max="40" width="9.28515625" customWidth="1"/>
    <col min="41" max="41" width="2.85546875" customWidth="1"/>
    <col min="42" max="42" width="9.140625" customWidth="1"/>
    <col min="43" max="43" width="9.42578125" customWidth="1"/>
    <col min="44" max="44" width="1.140625" customWidth="1"/>
    <col min="45" max="46" width="10.85546875" customWidth="1"/>
    <col min="47" max="54" width="12.42578125" customWidth="1"/>
  </cols>
  <sheetData>
    <row r="1" spans="1:54" ht="6"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18.75" customHeight="1">
      <c r="A2" s="52"/>
      <c r="B2" s="52"/>
      <c r="C2" s="379"/>
      <c r="D2" s="379"/>
      <c r="E2" s="379"/>
      <c r="F2" s="379" t="s">
        <v>291</v>
      </c>
      <c r="G2" s="379"/>
      <c r="H2" s="379"/>
      <c r="I2" s="379"/>
      <c r="J2" s="379"/>
      <c r="K2" s="379"/>
      <c r="L2" s="379"/>
      <c r="M2" s="379"/>
      <c r="N2" s="379"/>
      <c r="O2" s="379"/>
      <c r="P2" s="3"/>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c r="AS2" s="52"/>
      <c r="AT2" s="52"/>
      <c r="AU2" s="3"/>
      <c r="AV2" s="3"/>
      <c r="AW2" s="3"/>
      <c r="AX2" s="3"/>
      <c r="AY2" s="3"/>
      <c r="AZ2" s="3"/>
      <c r="BA2" s="3"/>
      <c r="BB2" s="3"/>
    </row>
    <row r="3" spans="1:54" ht="18.75" customHeight="1">
      <c r="A3" s="52"/>
      <c r="B3" s="52"/>
      <c r="C3" s="379"/>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3"/>
      <c r="AV3" s="3"/>
      <c r="AW3" s="3"/>
      <c r="AX3" s="3"/>
      <c r="AY3" s="3"/>
      <c r="AZ3" s="3"/>
      <c r="BA3" s="3"/>
      <c r="BB3" s="3"/>
    </row>
    <row r="4" spans="1:54" ht="7.5" customHeight="1">
      <c r="A4" s="52"/>
      <c r="B4" s="52"/>
      <c r="C4" s="52"/>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3"/>
      <c r="AV4" s="3"/>
      <c r="AW4" s="3"/>
      <c r="AX4" s="3"/>
      <c r="AY4" s="3"/>
      <c r="AZ4" s="3"/>
      <c r="BA4" s="3"/>
      <c r="BB4" s="3"/>
    </row>
    <row r="5" spans="1:54" ht="7.5" customHeight="1">
      <c r="A5" s="52"/>
      <c r="B5" s="52"/>
      <c r="C5" s="52"/>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3"/>
      <c r="AV5" s="3"/>
      <c r="AW5" s="3"/>
      <c r="AX5" s="3"/>
      <c r="AY5" s="3"/>
      <c r="AZ5" s="3"/>
      <c r="BA5" s="3"/>
      <c r="BB5" s="3"/>
    </row>
    <row r="6" spans="1:54" ht="12.75" customHeight="1">
      <c r="A6" s="52"/>
      <c r="B6" s="319" t="s">
        <v>294</v>
      </c>
      <c r="C6" s="52"/>
      <c r="D6" s="499"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3"/>
      <c r="AV6" s="3"/>
      <c r="AW6" s="3"/>
      <c r="AX6" s="3"/>
      <c r="AY6" s="3"/>
      <c r="AZ6" s="3"/>
      <c r="BA6" s="3"/>
      <c r="BB6" s="3"/>
    </row>
    <row r="7" spans="1:54"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3"/>
      <c r="AV7" s="3"/>
      <c r="AW7" s="3"/>
      <c r="AX7" s="3"/>
      <c r="AY7" s="3"/>
      <c r="AZ7" s="3"/>
      <c r="BA7" s="3"/>
      <c r="BB7" s="3"/>
    </row>
    <row r="8" spans="1:54"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3"/>
      <c r="AV8" s="3"/>
      <c r="AW8" s="3"/>
      <c r="AX8" s="3"/>
      <c r="AY8" s="3"/>
      <c r="AZ8" s="3"/>
      <c r="BA8" s="3"/>
      <c r="BB8" s="3"/>
    </row>
    <row r="9" spans="1:54"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3"/>
      <c r="AV9" s="3"/>
      <c r="AW9" s="3"/>
      <c r="AX9" s="3"/>
      <c r="AY9" s="3"/>
      <c r="AZ9" s="3"/>
      <c r="BA9" s="3"/>
      <c r="BB9" s="3"/>
    </row>
    <row r="10" spans="1:54" ht="12.75" customHeight="1">
      <c r="A10" s="52"/>
      <c r="B10" s="52"/>
      <c r="C10" s="52"/>
      <c r="D10" s="306" t="s">
        <v>297</v>
      </c>
      <c r="E10" s="306"/>
      <c r="F10" s="386">
        <v>620</v>
      </c>
      <c r="G10" s="306" t="s">
        <v>344</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3"/>
      <c r="AV10" s="3"/>
      <c r="AW10" s="3"/>
      <c r="AX10" s="3"/>
      <c r="AY10" s="3"/>
      <c r="AZ10" s="3"/>
      <c r="BA10" s="3"/>
      <c r="BB10" s="3"/>
    </row>
    <row r="11" spans="1:54"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52"/>
      <c r="AT11" s="52"/>
      <c r="AU11" s="3"/>
      <c r="AV11" s="3"/>
      <c r="AW11" s="3"/>
      <c r="AX11" s="3"/>
      <c r="AY11" s="3"/>
      <c r="AZ11" s="3"/>
      <c r="BA11" s="3"/>
      <c r="BB11" s="3"/>
    </row>
    <row r="12" spans="1:54"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09"/>
      <c r="AT12" s="309"/>
      <c r="AU12" s="3"/>
      <c r="AV12" s="3"/>
      <c r="AW12" s="3"/>
      <c r="AX12" s="3"/>
      <c r="AY12" s="3"/>
      <c r="AZ12" s="3"/>
      <c r="BA12" s="3"/>
      <c r="BB12" s="3"/>
    </row>
    <row r="13" spans="1:54"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88"/>
      <c r="AT13" s="388"/>
      <c r="AU13" s="3"/>
      <c r="AV13" s="3"/>
      <c r="AW13" s="3"/>
      <c r="AX13" s="3"/>
      <c r="AY13" s="3"/>
      <c r="AZ13" s="3"/>
      <c r="BA13" s="3"/>
      <c r="BB13" s="3"/>
    </row>
    <row r="14" spans="1:54"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88"/>
      <c r="AT14" s="388"/>
      <c r="AU14" s="3"/>
      <c r="AV14" s="3"/>
      <c r="AW14" s="3"/>
      <c r="AX14" s="3"/>
      <c r="AY14" s="3"/>
      <c r="AZ14" s="3"/>
      <c r="BA14" s="3"/>
      <c r="BB14" s="3"/>
    </row>
    <row r="15" spans="1:54"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30" si="5">L15-H15</f>
        <v>6.7700000000000031</v>
      </c>
      <c r="O15" s="402">
        <f t="shared" ref="O15:O30"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c r="AS15" s="403"/>
      <c r="AT15" s="403"/>
      <c r="AU15" s="3"/>
      <c r="AV15" s="3"/>
      <c r="AW15" s="3"/>
      <c r="AX15" s="3"/>
      <c r="AY15" s="3"/>
      <c r="AZ15" s="3"/>
      <c r="BA15" s="3"/>
      <c r="BB15" s="3"/>
    </row>
    <row r="16" spans="1:54"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c r="AS16" s="403"/>
      <c r="AT16" s="403"/>
      <c r="AU16" s="3"/>
      <c r="AV16" s="3"/>
      <c r="AW16" s="3"/>
      <c r="AX16" s="3"/>
      <c r="AY16" s="3"/>
      <c r="AZ16" s="3"/>
      <c r="BA16" s="3"/>
      <c r="BB16" s="3"/>
    </row>
    <row r="17" spans="1:5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620</v>
      </c>
      <c r="H17" s="400">
        <f t="shared" si="2"/>
        <v>0</v>
      </c>
      <c r="I17" s="128"/>
      <c r="J17" s="397">
        <f>IFERROR(VLOOKUP($C17,'Proposed Rates'!$B:$J,J$11,FALSE),0)</f>
        <v>0</v>
      </c>
      <c r="K17" s="398">
        <f t="shared" si="3"/>
        <v>620</v>
      </c>
      <c r="L17" s="400">
        <f t="shared" si="4"/>
        <v>0</v>
      </c>
      <c r="M17" s="128"/>
      <c r="N17" s="401">
        <f t="shared" si="5"/>
        <v>0</v>
      </c>
      <c r="O17" s="402" t="str">
        <f t="shared" si="6"/>
        <v/>
      </c>
      <c r="P17" s="52"/>
      <c r="Q17" s="397">
        <f>IFERROR(VLOOKUP($C17,'Proposed Rates'!$B:$J,Q$11,FALSE),0)</f>
        <v>0</v>
      </c>
      <c r="R17" s="398">
        <f t="shared" si="7"/>
        <v>620</v>
      </c>
      <c r="S17" s="400">
        <f t="shared" si="8"/>
        <v>0</v>
      </c>
      <c r="T17" s="128"/>
      <c r="U17" s="401">
        <f t="shared" si="9"/>
        <v>0</v>
      </c>
      <c r="V17" s="402" t="str">
        <f t="shared" si="10"/>
        <v/>
      </c>
      <c r="W17" s="52"/>
      <c r="X17" s="397">
        <f>IFERROR(VLOOKUP($C17,'Proposed Rates'!$B:$J,X$11,FALSE),0)</f>
        <v>0</v>
      </c>
      <c r="Y17" s="398">
        <f t="shared" si="11"/>
        <v>620</v>
      </c>
      <c r="Z17" s="400">
        <f t="shared" si="12"/>
        <v>0</v>
      </c>
      <c r="AA17" s="128"/>
      <c r="AB17" s="401">
        <f t="shared" si="13"/>
        <v>0</v>
      </c>
      <c r="AC17" s="402" t="str">
        <f t="shared" si="14"/>
        <v/>
      </c>
      <c r="AD17" s="52"/>
      <c r="AE17" s="397">
        <f>IFERROR(VLOOKUP($C17,'Proposed Rates'!$B:$J,AE$11,FALSE),0)</f>
        <v>0</v>
      </c>
      <c r="AF17" s="398">
        <f t="shared" si="15"/>
        <v>620</v>
      </c>
      <c r="AG17" s="400">
        <f t="shared" si="16"/>
        <v>0</v>
      </c>
      <c r="AH17" s="128"/>
      <c r="AI17" s="401">
        <f t="shared" si="17"/>
        <v>0</v>
      </c>
      <c r="AJ17" s="402" t="str">
        <f t="shared" si="18"/>
        <v/>
      </c>
      <c r="AK17" s="52"/>
      <c r="AL17" s="397">
        <f>IFERROR(VLOOKUP($C17,'Proposed Rates'!$B:$J,AL$11,FALSE),0)</f>
        <v>0</v>
      </c>
      <c r="AM17" s="398">
        <f t="shared" si="19"/>
        <v>620</v>
      </c>
      <c r="AN17" s="400">
        <f t="shared" si="20"/>
        <v>0</v>
      </c>
      <c r="AO17" s="128"/>
      <c r="AP17" s="401">
        <f t="shared" si="21"/>
        <v>0</v>
      </c>
      <c r="AQ17" s="402" t="str">
        <f t="shared" si="22"/>
        <v/>
      </c>
      <c r="AR17" s="403"/>
      <c r="AS17" s="403"/>
      <c r="AT17" s="403"/>
      <c r="AU17" s="3"/>
      <c r="AV17" s="3"/>
      <c r="AW17" s="3"/>
      <c r="AX17" s="3"/>
      <c r="AY17" s="3"/>
      <c r="AZ17" s="3"/>
      <c r="BA17" s="3"/>
      <c r="BB17" s="3"/>
    </row>
    <row r="18" spans="1:5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c r="AS18" s="403"/>
      <c r="AT18" s="403"/>
      <c r="AU18" s="3"/>
      <c r="AV18" s="3"/>
      <c r="AW18" s="3"/>
      <c r="AX18" s="3"/>
      <c r="AY18" s="3"/>
      <c r="AZ18" s="3"/>
      <c r="BA18" s="3"/>
      <c r="BB18" s="3"/>
    </row>
    <row r="19" spans="1:54" ht="12.75" customHeight="1">
      <c r="A19" s="52"/>
      <c r="B19" s="320" t="s">
        <v>59</v>
      </c>
      <c r="C19" s="395" t="str">
        <f t="shared" si="0"/>
        <v>Residential.Distribution Volumetric Rate</v>
      </c>
      <c r="D19" s="396" t="s">
        <v>308</v>
      </c>
      <c r="E19" s="320"/>
      <c r="F19" s="397">
        <f>IFERROR(VLOOKUP($C19,'Proposed Rates'!$B:$J,F$11,FALSE),0)</f>
        <v>0</v>
      </c>
      <c r="G19" s="398">
        <f t="shared" si="1"/>
        <v>620</v>
      </c>
      <c r="H19" s="400">
        <f t="shared" si="2"/>
        <v>0</v>
      </c>
      <c r="I19" s="128"/>
      <c r="J19" s="397">
        <f>IFERROR(VLOOKUP($C19,'Proposed Rates'!$B:$J,J$11,FALSE),0)</f>
        <v>0</v>
      </c>
      <c r="K19" s="398">
        <f t="shared" si="3"/>
        <v>620</v>
      </c>
      <c r="L19" s="400">
        <f t="shared" si="4"/>
        <v>0</v>
      </c>
      <c r="M19" s="128"/>
      <c r="N19" s="401">
        <f t="shared" si="5"/>
        <v>0</v>
      </c>
      <c r="O19" s="402" t="str">
        <f t="shared" si="6"/>
        <v/>
      </c>
      <c r="P19" s="52"/>
      <c r="Q19" s="397">
        <f>IFERROR(VLOOKUP($C19,'Proposed Rates'!$B:$J,Q$11,FALSE),0)</f>
        <v>0</v>
      </c>
      <c r="R19" s="398">
        <f t="shared" si="7"/>
        <v>620</v>
      </c>
      <c r="S19" s="400">
        <f t="shared" si="8"/>
        <v>0</v>
      </c>
      <c r="T19" s="128"/>
      <c r="U19" s="401">
        <f t="shared" si="9"/>
        <v>0</v>
      </c>
      <c r="V19" s="402" t="str">
        <f t="shared" si="10"/>
        <v/>
      </c>
      <c r="W19" s="52"/>
      <c r="X19" s="397">
        <f>IFERROR(VLOOKUP($C19,'Proposed Rates'!$B:$J,X$11,FALSE),0)</f>
        <v>0</v>
      </c>
      <c r="Y19" s="398">
        <f t="shared" si="11"/>
        <v>620</v>
      </c>
      <c r="Z19" s="400">
        <f t="shared" si="12"/>
        <v>0</v>
      </c>
      <c r="AA19" s="128"/>
      <c r="AB19" s="401">
        <f t="shared" si="13"/>
        <v>0</v>
      </c>
      <c r="AC19" s="402" t="str">
        <f t="shared" si="14"/>
        <v/>
      </c>
      <c r="AD19" s="52"/>
      <c r="AE19" s="397">
        <f>IFERROR(VLOOKUP($C19,'Proposed Rates'!$B:$J,AE$11,FALSE),0)</f>
        <v>0</v>
      </c>
      <c r="AF19" s="398">
        <f t="shared" si="15"/>
        <v>620</v>
      </c>
      <c r="AG19" s="400">
        <f t="shared" si="16"/>
        <v>0</v>
      </c>
      <c r="AH19" s="128"/>
      <c r="AI19" s="401">
        <f t="shared" si="17"/>
        <v>0</v>
      </c>
      <c r="AJ19" s="402" t="str">
        <f t="shared" si="18"/>
        <v/>
      </c>
      <c r="AK19" s="52"/>
      <c r="AL19" s="397">
        <f>IFERROR(VLOOKUP($C19,'Proposed Rates'!$B:$J,AL$11,FALSE),0)</f>
        <v>0</v>
      </c>
      <c r="AM19" s="398">
        <f t="shared" si="19"/>
        <v>620</v>
      </c>
      <c r="AN19" s="400">
        <f t="shared" si="20"/>
        <v>0</v>
      </c>
      <c r="AO19" s="128"/>
      <c r="AP19" s="401">
        <f t="shared" si="21"/>
        <v>0</v>
      </c>
      <c r="AQ19" s="402" t="str">
        <f t="shared" si="22"/>
        <v/>
      </c>
      <c r="AR19" s="403"/>
      <c r="AS19" s="403"/>
      <c r="AT19" s="403"/>
      <c r="AU19" s="3"/>
      <c r="AV19" s="3"/>
      <c r="AW19" s="3"/>
      <c r="AX19" s="3"/>
      <c r="AY19" s="3"/>
      <c r="AZ19" s="3"/>
      <c r="BA19" s="3"/>
      <c r="BB19" s="3"/>
    </row>
    <row r="20" spans="1:54" ht="12.75" customHeight="1">
      <c r="A20" s="52"/>
      <c r="B20" s="320" t="s">
        <v>309</v>
      </c>
      <c r="C20" s="395" t="str">
        <f t="shared" si="0"/>
        <v>Residential.Smart Meter Disposition Rider</v>
      </c>
      <c r="D20" s="396" t="s">
        <v>308</v>
      </c>
      <c r="E20" s="320"/>
      <c r="F20" s="397">
        <f>IFERROR(VLOOKUP($C20,'Proposed Rates'!$B:$J,F$11,FALSE),0)</f>
        <v>0</v>
      </c>
      <c r="G20" s="398">
        <f t="shared" si="1"/>
        <v>620</v>
      </c>
      <c r="H20" s="400">
        <f t="shared" si="2"/>
        <v>0</v>
      </c>
      <c r="I20" s="128"/>
      <c r="J20" s="397">
        <f>IFERROR(VLOOKUP($C20,'Proposed Rates'!$B:$J,J$11,FALSE),0)</f>
        <v>0</v>
      </c>
      <c r="K20" s="398">
        <f t="shared" si="3"/>
        <v>620</v>
      </c>
      <c r="L20" s="400">
        <f t="shared" si="4"/>
        <v>0</v>
      </c>
      <c r="M20" s="128"/>
      <c r="N20" s="401">
        <f t="shared" si="5"/>
        <v>0</v>
      </c>
      <c r="O20" s="402" t="str">
        <f t="shared" si="6"/>
        <v/>
      </c>
      <c r="P20" s="52"/>
      <c r="Q20" s="397">
        <f>IFERROR(VLOOKUP($C20,'Proposed Rates'!$B:$J,Q$11,FALSE),0)</f>
        <v>0</v>
      </c>
      <c r="R20" s="398">
        <f t="shared" si="7"/>
        <v>620</v>
      </c>
      <c r="S20" s="400">
        <f t="shared" si="8"/>
        <v>0</v>
      </c>
      <c r="T20" s="128"/>
      <c r="U20" s="401">
        <f t="shared" si="9"/>
        <v>0</v>
      </c>
      <c r="V20" s="402" t="str">
        <f t="shared" si="10"/>
        <v/>
      </c>
      <c r="W20" s="52"/>
      <c r="X20" s="397">
        <f>IFERROR(VLOOKUP($C20,'Proposed Rates'!$B:$J,X$11,FALSE),0)</f>
        <v>0</v>
      </c>
      <c r="Y20" s="398">
        <f t="shared" si="11"/>
        <v>620</v>
      </c>
      <c r="Z20" s="400">
        <f t="shared" si="12"/>
        <v>0</v>
      </c>
      <c r="AA20" s="128"/>
      <c r="AB20" s="401">
        <f t="shared" si="13"/>
        <v>0</v>
      </c>
      <c r="AC20" s="402" t="str">
        <f t="shared" si="14"/>
        <v/>
      </c>
      <c r="AD20" s="52"/>
      <c r="AE20" s="397">
        <f>IFERROR(VLOOKUP($C20,'Proposed Rates'!$B:$J,AE$11,FALSE),0)</f>
        <v>0</v>
      </c>
      <c r="AF20" s="398">
        <f t="shared" si="15"/>
        <v>620</v>
      </c>
      <c r="AG20" s="400">
        <f t="shared" si="16"/>
        <v>0</v>
      </c>
      <c r="AH20" s="128"/>
      <c r="AI20" s="401">
        <f t="shared" si="17"/>
        <v>0</v>
      </c>
      <c r="AJ20" s="402" t="str">
        <f t="shared" si="18"/>
        <v/>
      </c>
      <c r="AK20" s="52"/>
      <c r="AL20" s="397">
        <f>IFERROR(VLOOKUP($C20,'Proposed Rates'!$B:$J,AL$11,FALSE),0)</f>
        <v>0</v>
      </c>
      <c r="AM20" s="398">
        <f t="shared" si="19"/>
        <v>620</v>
      </c>
      <c r="AN20" s="400">
        <f t="shared" si="20"/>
        <v>0</v>
      </c>
      <c r="AO20" s="128"/>
      <c r="AP20" s="401">
        <f t="shared" si="21"/>
        <v>0</v>
      </c>
      <c r="AQ20" s="402" t="str">
        <f t="shared" si="22"/>
        <v/>
      </c>
      <c r="AR20" s="403"/>
      <c r="AS20" s="403"/>
      <c r="AT20" s="403"/>
      <c r="AU20" s="3"/>
      <c r="AV20" s="3"/>
      <c r="AW20" s="3"/>
      <c r="AX20" s="3"/>
      <c r="AY20" s="3"/>
      <c r="AZ20" s="3"/>
      <c r="BA20" s="3"/>
      <c r="BB20" s="3"/>
    </row>
    <row r="21" spans="1:5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c r="AS21" s="403"/>
      <c r="AT21" s="403"/>
      <c r="AU21" s="3"/>
      <c r="AV21" s="3"/>
      <c r="AW21" s="3"/>
      <c r="AX21" s="3"/>
      <c r="AY21" s="3"/>
      <c r="AZ21" s="3"/>
      <c r="BA21" s="3"/>
      <c r="BB21" s="3"/>
    </row>
    <row r="22" spans="1:54" ht="12.75" customHeight="1">
      <c r="A22" s="52"/>
      <c r="B22" s="48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c r="AS22" s="403"/>
      <c r="AT22" s="403"/>
      <c r="AU22" s="3"/>
      <c r="AV22" s="3"/>
      <c r="AW22" s="3"/>
      <c r="AX22" s="3"/>
      <c r="AY22" s="3"/>
      <c r="AZ22" s="3"/>
      <c r="BA22" s="3"/>
      <c r="BB22" s="3"/>
    </row>
    <row r="23" spans="1:5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c r="AS23" s="403"/>
      <c r="AT23" s="403"/>
      <c r="AU23" s="3"/>
      <c r="AV23" s="3"/>
      <c r="AW23" s="3"/>
      <c r="AX23" s="3"/>
      <c r="AY23" s="3"/>
      <c r="AZ23" s="3"/>
      <c r="BA23" s="3"/>
      <c r="BB23" s="3"/>
    </row>
    <row r="24" spans="1:5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c r="AS24" s="403"/>
      <c r="AT24" s="403"/>
      <c r="AU24" s="3"/>
      <c r="AV24" s="3"/>
      <c r="AW24" s="3"/>
      <c r="AX24" s="3"/>
      <c r="AY24" s="3"/>
      <c r="AZ24" s="3"/>
      <c r="BA24" s="3"/>
      <c r="BB24" s="3"/>
    </row>
    <row r="25" spans="1:5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c r="AS25" s="403"/>
      <c r="AT25" s="403"/>
      <c r="AU25" s="3"/>
      <c r="AV25" s="3"/>
      <c r="AW25" s="3"/>
      <c r="AX25" s="3"/>
      <c r="AY25" s="3"/>
      <c r="AZ25" s="3"/>
      <c r="BA25" s="3"/>
      <c r="BB25" s="3"/>
    </row>
    <row r="26" spans="1:54" ht="12.75" customHeight="1">
      <c r="A26" s="52"/>
      <c r="B26" s="48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c r="AS26" s="403"/>
      <c r="AT26" s="403"/>
      <c r="AU26" s="3"/>
      <c r="AV26" s="3"/>
      <c r="AW26" s="3"/>
      <c r="AX26" s="3"/>
      <c r="AY26" s="3"/>
      <c r="AZ26" s="3"/>
      <c r="BA26" s="3"/>
      <c r="BB26" s="3"/>
    </row>
    <row r="27" spans="1:5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c r="AS27" s="403"/>
      <c r="AT27" s="403"/>
      <c r="AU27" s="3"/>
      <c r="AV27" s="3"/>
      <c r="AW27" s="3"/>
      <c r="AX27" s="3"/>
      <c r="AY27" s="3"/>
      <c r="AZ27" s="3"/>
      <c r="BA27" s="3"/>
      <c r="BB27" s="3"/>
    </row>
    <row r="28" spans="1:5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c r="AS28" s="403"/>
      <c r="AT28" s="403"/>
      <c r="AU28" s="3"/>
      <c r="AV28" s="3"/>
      <c r="AW28" s="3"/>
      <c r="AX28" s="3"/>
      <c r="AY28" s="3"/>
      <c r="AZ28" s="3"/>
      <c r="BA28" s="3"/>
      <c r="BB28" s="3"/>
    </row>
    <row r="29" spans="1:54" ht="12.75" customHeight="1">
      <c r="A29" s="306"/>
      <c r="B29" s="405" t="s">
        <v>310</v>
      </c>
      <c r="C29" s="406"/>
      <c r="D29" s="406"/>
      <c r="E29" s="406"/>
      <c r="F29" s="407"/>
      <c r="G29" s="500"/>
      <c r="H29" s="409">
        <f>SUM(H15:H28)</f>
        <v>34.51</v>
      </c>
      <c r="I29" s="410"/>
      <c r="J29" s="407"/>
      <c r="K29" s="500"/>
      <c r="L29" s="409">
        <f>SUM(L15:L28)</f>
        <v>40.49</v>
      </c>
      <c r="M29" s="410"/>
      <c r="N29" s="411">
        <f t="shared" si="5"/>
        <v>5.980000000000004</v>
      </c>
      <c r="O29" s="412">
        <f t="shared" si="6"/>
        <v>0.17328310634598679</v>
      </c>
      <c r="P29" s="306"/>
      <c r="Q29" s="407"/>
      <c r="R29" s="500"/>
      <c r="S29" s="409">
        <f>SUM(S15:S28)</f>
        <v>44.13</v>
      </c>
      <c r="T29" s="410"/>
      <c r="U29" s="411">
        <f t="shared" si="9"/>
        <v>3.6400000000000006</v>
      </c>
      <c r="V29" s="412">
        <f t="shared" si="10"/>
        <v>8.9898740429735752E-2</v>
      </c>
      <c r="W29" s="306"/>
      <c r="X29" s="407"/>
      <c r="Y29" s="500"/>
      <c r="Z29" s="409">
        <f>SUM(Z15:Z28)</f>
        <v>48.07</v>
      </c>
      <c r="AA29" s="410"/>
      <c r="AB29" s="411">
        <f t="shared" si="13"/>
        <v>3.9399999999999977</v>
      </c>
      <c r="AC29" s="412">
        <f t="shared" si="14"/>
        <v>8.9281667799682704E-2</v>
      </c>
      <c r="AD29" s="306"/>
      <c r="AE29" s="407"/>
      <c r="AF29" s="500"/>
      <c r="AG29" s="409">
        <f>SUM(AG15:AG28)</f>
        <v>51.15</v>
      </c>
      <c r="AH29" s="410"/>
      <c r="AI29" s="411">
        <f t="shared" si="17"/>
        <v>3.0799999999999983</v>
      </c>
      <c r="AJ29" s="412">
        <f t="shared" si="18"/>
        <v>6.4073226544622386E-2</v>
      </c>
      <c r="AK29" s="306"/>
      <c r="AL29" s="407"/>
      <c r="AM29" s="500"/>
      <c r="AN29" s="409">
        <f>SUM(AN15:AN28)</f>
        <v>54.07</v>
      </c>
      <c r="AO29" s="410"/>
      <c r="AP29" s="411">
        <f t="shared" si="21"/>
        <v>2.9200000000000017</v>
      </c>
      <c r="AQ29" s="412">
        <f t="shared" si="22"/>
        <v>5.7086999022482932E-2</v>
      </c>
      <c r="AR29" s="451"/>
      <c r="AS29" s="451"/>
      <c r="AT29" s="451"/>
      <c r="AU29" s="3"/>
      <c r="AV29" s="3"/>
      <c r="AW29" s="3"/>
      <c r="AX29" s="3"/>
      <c r="AY29" s="3"/>
      <c r="AZ29" s="3"/>
      <c r="BA29" s="3"/>
      <c r="BB29" s="3"/>
    </row>
    <row r="30" spans="1:5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620</v>
      </c>
      <c r="H30" s="400">
        <f t="shared" ref="H30:H36" si="25">G30*F30</f>
        <v>-0.124</v>
      </c>
      <c r="I30" s="128"/>
      <c r="J30" s="414">
        <f>IFERROR(VLOOKUP($C30,'Proposed Rates'!$B:$J,J$11,FALSE),0)</f>
        <v>-5.9999999999999995E-4</v>
      </c>
      <c r="K30" s="415">
        <f t="shared" ref="K30:K33" si="26">IF($D30="Monthly",1,IF($D30="per KWH",$F$10,0))</f>
        <v>620</v>
      </c>
      <c r="L30" s="400">
        <f t="shared" ref="L30:L36" si="27">K30*J30</f>
        <v>-0.37199999999999994</v>
      </c>
      <c r="M30" s="128"/>
      <c r="N30" s="401">
        <f t="shared" si="5"/>
        <v>-0.24799999999999994</v>
      </c>
      <c r="O30" s="402">
        <f t="shared" si="6"/>
        <v>1.9999999999999996</v>
      </c>
      <c r="P30" s="52"/>
      <c r="Q30" s="414">
        <f>IFERROR(VLOOKUP($C30,'Proposed Rates'!$B:$J,Q$11,FALSE),0)</f>
        <v>0</v>
      </c>
      <c r="R30" s="415">
        <f t="shared" ref="R30:R33" si="28">IF($D30="Monthly",1,IF($D30="per KWH",$F$10,0))</f>
        <v>620</v>
      </c>
      <c r="S30" s="400">
        <f t="shared" ref="S30:S36" si="29">R30*Q30</f>
        <v>0</v>
      </c>
      <c r="T30" s="128"/>
      <c r="U30" s="401">
        <f t="shared" si="9"/>
        <v>0.37199999999999994</v>
      </c>
      <c r="V30" s="402">
        <f t="shared" si="10"/>
        <v>-1</v>
      </c>
      <c r="W30" s="52"/>
      <c r="X30" s="414">
        <f>IFERROR(VLOOKUP($C30,'Proposed Rates'!$B:$J,X$11,FALSE),0)</f>
        <v>0</v>
      </c>
      <c r="Y30" s="415">
        <f t="shared" ref="Y30:Y33" si="30">IF($D30="Monthly",1,IF($D30="per KWH",$F$10,0))</f>
        <v>620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620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620</v>
      </c>
      <c r="AN30" s="400">
        <f t="shared" ref="AN30:AN36" si="35">AM30*AL30</f>
        <v>0</v>
      </c>
      <c r="AO30" s="128"/>
      <c r="AP30" s="401">
        <f t="shared" si="21"/>
        <v>0</v>
      </c>
      <c r="AQ30" s="402" t="str">
        <f t="shared" si="22"/>
        <v/>
      </c>
      <c r="AR30" s="403"/>
      <c r="AS30" s="403"/>
      <c r="AT30" s="403"/>
      <c r="AU30" s="3"/>
      <c r="AV30" s="3"/>
      <c r="AW30" s="3"/>
      <c r="AX30" s="3"/>
      <c r="AY30" s="3"/>
      <c r="AZ30" s="3"/>
      <c r="BA30" s="3"/>
      <c r="BB30" s="3"/>
    </row>
    <row r="31" spans="1:54" ht="12.75" customHeight="1">
      <c r="A31" s="52"/>
      <c r="B31" s="484" t="s">
        <v>236</v>
      </c>
      <c r="C31" s="395" t="str">
        <f t="shared" si="23"/>
        <v>Residential.DVA Disposition Rate Rider Group 1 - 2024</v>
      </c>
      <c r="D31" s="396" t="s">
        <v>308</v>
      </c>
      <c r="E31" s="320"/>
      <c r="F31" s="414">
        <f>IFERROR(VLOOKUP($C31,'Proposed Rates'!$B:$J,F$11,FALSE),0)</f>
        <v>0</v>
      </c>
      <c r="G31" s="415">
        <f t="shared" si="24"/>
        <v>620</v>
      </c>
      <c r="H31" s="498">
        <f t="shared" si="25"/>
        <v>0</v>
      </c>
      <c r="I31" s="485"/>
      <c r="J31" s="414">
        <f>IFERROR(VLOOKUP($C31,'Proposed Rates'!$B:$J,J$11,FALSE),0)</f>
        <v>0</v>
      </c>
      <c r="K31" s="415">
        <f t="shared" si="26"/>
        <v>620</v>
      </c>
      <c r="L31" s="498">
        <f t="shared" si="27"/>
        <v>0</v>
      </c>
      <c r="M31" s="417"/>
      <c r="N31" s="401"/>
      <c r="O31" s="402"/>
      <c r="P31" s="52"/>
      <c r="Q31" s="414">
        <f>IFERROR(VLOOKUP($C31,'Proposed Rates'!$B:$J,Q$11,FALSE),0)</f>
        <v>0</v>
      </c>
      <c r="R31" s="415">
        <f t="shared" si="28"/>
        <v>620</v>
      </c>
      <c r="S31" s="498">
        <f t="shared" si="29"/>
        <v>0</v>
      </c>
      <c r="T31" s="417"/>
      <c r="U31" s="401">
        <f t="shared" si="9"/>
        <v>0</v>
      </c>
      <c r="V31" s="402" t="str">
        <f t="shared" si="10"/>
        <v/>
      </c>
      <c r="W31" s="52"/>
      <c r="X31" s="414">
        <f>IFERROR(VLOOKUP($C31,'Proposed Rates'!$B:$J,X$11,FALSE),0)</f>
        <v>0</v>
      </c>
      <c r="Y31" s="415">
        <f t="shared" si="30"/>
        <v>620</v>
      </c>
      <c r="Z31" s="498">
        <f t="shared" si="31"/>
        <v>0</v>
      </c>
      <c r="AA31" s="417"/>
      <c r="AB31" s="401">
        <f t="shared" si="13"/>
        <v>0</v>
      </c>
      <c r="AC31" s="402" t="str">
        <f t="shared" si="14"/>
        <v/>
      </c>
      <c r="AD31" s="52"/>
      <c r="AE31" s="414">
        <f>IFERROR(VLOOKUP($C31,'Proposed Rates'!$B:$J,AE$11,FALSE),0)</f>
        <v>0</v>
      </c>
      <c r="AF31" s="415">
        <f t="shared" si="32"/>
        <v>620</v>
      </c>
      <c r="AG31" s="498">
        <f t="shared" si="33"/>
        <v>0</v>
      </c>
      <c r="AH31" s="417"/>
      <c r="AI31" s="401">
        <f t="shared" si="17"/>
        <v>0</v>
      </c>
      <c r="AJ31" s="402" t="str">
        <f t="shared" si="18"/>
        <v/>
      </c>
      <c r="AK31" s="52"/>
      <c r="AL31" s="414">
        <f>IFERROR(VLOOKUP($C31,'Proposed Rates'!$B:$J,AL$11,FALSE),0)</f>
        <v>0</v>
      </c>
      <c r="AM31" s="415">
        <f t="shared" si="34"/>
        <v>620</v>
      </c>
      <c r="AN31" s="498">
        <f t="shared" si="35"/>
        <v>0</v>
      </c>
      <c r="AO31" s="417"/>
      <c r="AP31" s="401">
        <f t="shared" si="21"/>
        <v>0</v>
      </c>
      <c r="AQ31" s="402" t="str">
        <f t="shared" si="22"/>
        <v/>
      </c>
      <c r="AR31" s="403"/>
      <c r="AS31" s="403"/>
      <c r="AT31" s="403"/>
      <c r="AU31" s="3"/>
      <c r="AV31" s="3"/>
      <c r="AW31" s="3"/>
      <c r="AX31" s="3"/>
      <c r="AY31" s="3"/>
      <c r="AZ31" s="3"/>
      <c r="BA31" s="3"/>
      <c r="BB31" s="3"/>
    </row>
    <row r="32" spans="1:54" ht="12.75" customHeight="1">
      <c r="A32" s="52"/>
      <c r="B32" s="484" t="s">
        <v>244</v>
      </c>
      <c r="C32" s="395" t="str">
        <f t="shared" si="23"/>
        <v>Residential.CBR Class B Rate Riders</v>
      </c>
      <c r="D32" s="396" t="s">
        <v>308</v>
      </c>
      <c r="E32" s="320"/>
      <c r="F32" s="414">
        <f>IFERROR(VLOOKUP($C32,'Proposed Rates'!$B:$J,F$11,FALSE),0)</f>
        <v>2.0000000000000001E-4</v>
      </c>
      <c r="G32" s="415">
        <f t="shared" si="24"/>
        <v>620</v>
      </c>
      <c r="H32" s="400">
        <f t="shared" si="25"/>
        <v>0.124</v>
      </c>
      <c r="I32" s="485"/>
      <c r="J32" s="414">
        <f>IFERROR(VLOOKUP($C32,'Proposed Rates'!$B:$J,J$11,FALSE),0)</f>
        <v>4.0000000000000002E-4</v>
      </c>
      <c r="K32" s="415">
        <f t="shared" si="26"/>
        <v>620</v>
      </c>
      <c r="L32" s="400">
        <f t="shared" si="27"/>
        <v>0.248</v>
      </c>
      <c r="M32" s="417"/>
      <c r="N32" s="401">
        <f t="shared" ref="N32:N48" si="36">L32-H32</f>
        <v>0.124</v>
      </c>
      <c r="O32" s="402">
        <f t="shared" ref="O32:O48" si="37">IF((H32)=0,"",(N32/H32))</f>
        <v>1</v>
      </c>
      <c r="P32" s="52"/>
      <c r="Q32" s="414">
        <f>IFERROR(VLOOKUP($C32,'Proposed Rates'!$B:$J,Q$11,FALSE),0)</f>
        <v>0</v>
      </c>
      <c r="R32" s="415">
        <f t="shared" si="28"/>
        <v>620</v>
      </c>
      <c r="S32" s="400">
        <f t="shared" si="29"/>
        <v>0</v>
      </c>
      <c r="T32" s="417"/>
      <c r="U32" s="401">
        <f t="shared" si="9"/>
        <v>-0.248</v>
      </c>
      <c r="V32" s="402">
        <f t="shared" si="10"/>
        <v>-1</v>
      </c>
      <c r="W32" s="52"/>
      <c r="X32" s="414">
        <f>IFERROR(VLOOKUP($C32,'Proposed Rates'!$B:$J,X$11,FALSE),0)</f>
        <v>0</v>
      </c>
      <c r="Y32" s="415">
        <f t="shared" si="30"/>
        <v>620</v>
      </c>
      <c r="Z32" s="400">
        <f t="shared" si="31"/>
        <v>0</v>
      </c>
      <c r="AA32" s="417"/>
      <c r="AB32" s="401">
        <f t="shared" si="13"/>
        <v>0</v>
      </c>
      <c r="AC32" s="402" t="str">
        <f t="shared" si="14"/>
        <v/>
      </c>
      <c r="AD32" s="52"/>
      <c r="AE32" s="414">
        <f>IFERROR(VLOOKUP($C32,'Proposed Rates'!$B:$J,AE$11,FALSE),0)</f>
        <v>0</v>
      </c>
      <c r="AF32" s="415">
        <f t="shared" si="32"/>
        <v>620</v>
      </c>
      <c r="AG32" s="400">
        <f t="shared" si="33"/>
        <v>0</v>
      </c>
      <c r="AH32" s="417"/>
      <c r="AI32" s="401">
        <f t="shared" si="17"/>
        <v>0</v>
      </c>
      <c r="AJ32" s="402" t="str">
        <f t="shared" si="18"/>
        <v/>
      </c>
      <c r="AK32" s="52"/>
      <c r="AL32" s="414">
        <f>IFERROR(VLOOKUP($C32,'Proposed Rates'!$B:$J,AL$11,FALSE),0)</f>
        <v>0</v>
      </c>
      <c r="AM32" s="415">
        <f t="shared" si="34"/>
        <v>620</v>
      </c>
      <c r="AN32" s="400">
        <f t="shared" si="35"/>
        <v>0</v>
      </c>
      <c r="AO32" s="417"/>
      <c r="AP32" s="401">
        <f t="shared" si="21"/>
        <v>0</v>
      </c>
      <c r="AQ32" s="402" t="str">
        <f t="shared" si="22"/>
        <v/>
      </c>
      <c r="AR32" s="403"/>
      <c r="AS32" s="403"/>
      <c r="AT32" s="403"/>
      <c r="AU32" s="3"/>
      <c r="AV32" s="3"/>
      <c r="AW32" s="3"/>
      <c r="AX32" s="3"/>
      <c r="AY32" s="3"/>
      <c r="AZ32" s="3"/>
      <c r="BA32" s="3"/>
      <c r="BB32" s="3"/>
    </row>
    <row r="33" spans="1:54" ht="12.75" customHeight="1">
      <c r="A33" s="52"/>
      <c r="B33" s="484" t="s">
        <v>311</v>
      </c>
      <c r="C33" s="395" t="str">
        <f t="shared" si="23"/>
        <v>Residential.GA Disposition Rate Rider-NonRPP</v>
      </c>
      <c r="D33" s="396" t="s">
        <v>308</v>
      </c>
      <c r="E33" s="320"/>
      <c r="F33" s="414">
        <f>IFERROR(VLOOKUP($C33,'Proposed Rates'!$B:$J,F$11,FALSE),0)</f>
        <v>0</v>
      </c>
      <c r="G33" s="415">
        <f t="shared" si="24"/>
        <v>620</v>
      </c>
      <c r="H33" s="400">
        <f t="shared" si="25"/>
        <v>0</v>
      </c>
      <c r="I33" s="485"/>
      <c r="J33" s="414">
        <f>IFERROR(VLOOKUP($C33,'Proposed Rates'!$B:$J,J$11,FALSE),0)</f>
        <v>0</v>
      </c>
      <c r="K33" s="415">
        <f t="shared" si="26"/>
        <v>620</v>
      </c>
      <c r="L33" s="400">
        <f t="shared" si="27"/>
        <v>0</v>
      </c>
      <c r="M33" s="417"/>
      <c r="N33" s="401">
        <f t="shared" si="36"/>
        <v>0</v>
      </c>
      <c r="O33" s="402" t="str">
        <f t="shared" si="37"/>
        <v/>
      </c>
      <c r="P33" s="52"/>
      <c r="Q33" s="414">
        <f>IFERROR(VLOOKUP($C33,'Proposed Rates'!$B:$J,Q$11,FALSE),0)</f>
        <v>0</v>
      </c>
      <c r="R33" s="415">
        <f t="shared" si="28"/>
        <v>620</v>
      </c>
      <c r="S33" s="400">
        <f t="shared" si="29"/>
        <v>0</v>
      </c>
      <c r="T33" s="417"/>
      <c r="U33" s="401">
        <f t="shared" si="9"/>
        <v>0</v>
      </c>
      <c r="V33" s="402" t="str">
        <f t="shared" si="10"/>
        <v/>
      </c>
      <c r="W33" s="52"/>
      <c r="X33" s="414">
        <f>IFERROR(VLOOKUP($C33,'Proposed Rates'!$B:$J,X$11,FALSE),0)</f>
        <v>0</v>
      </c>
      <c r="Y33" s="415">
        <f t="shared" si="30"/>
        <v>620</v>
      </c>
      <c r="Z33" s="400">
        <f t="shared" si="31"/>
        <v>0</v>
      </c>
      <c r="AA33" s="417"/>
      <c r="AB33" s="401">
        <f t="shared" si="13"/>
        <v>0</v>
      </c>
      <c r="AC33" s="402" t="str">
        <f t="shared" si="14"/>
        <v/>
      </c>
      <c r="AD33" s="52"/>
      <c r="AE33" s="414">
        <f>IFERROR(VLOOKUP($C33,'Proposed Rates'!$B:$J,AE$11,FALSE),0)</f>
        <v>0</v>
      </c>
      <c r="AF33" s="415">
        <f t="shared" si="32"/>
        <v>620</v>
      </c>
      <c r="AG33" s="400">
        <f t="shared" si="33"/>
        <v>0</v>
      </c>
      <c r="AH33" s="417"/>
      <c r="AI33" s="401">
        <f t="shared" si="17"/>
        <v>0</v>
      </c>
      <c r="AJ33" s="402" t="str">
        <f t="shared" si="18"/>
        <v/>
      </c>
      <c r="AK33" s="52"/>
      <c r="AL33" s="414">
        <f>IFERROR(VLOOKUP($C33,'Proposed Rates'!$B:$J,AL$11,FALSE),0)</f>
        <v>0</v>
      </c>
      <c r="AM33" s="415">
        <f t="shared" si="34"/>
        <v>620</v>
      </c>
      <c r="AN33" s="400">
        <f t="shared" si="35"/>
        <v>0</v>
      </c>
      <c r="AO33" s="417"/>
      <c r="AP33" s="401">
        <f t="shared" si="21"/>
        <v>0</v>
      </c>
      <c r="AQ33" s="402" t="str">
        <f t="shared" si="22"/>
        <v/>
      </c>
      <c r="AR33" s="403"/>
      <c r="AS33" s="403"/>
      <c r="AT33" s="403"/>
      <c r="AU33" s="3"/>
      <c r="AV33" s="3"/>
      <c r="AW33" s="3"/>
      <c r="AX33" s="3"/>
      <c r="AY33" s="3"/>
      <c r="AZ33" s="3"/>
      <c r="BA33" s="3"/>
      <c r="BB33" s="3"/>
    </row>
    <row r="34" spans="1:54" ht="12.75" customHeight="1">
      <c r="A34" s="52"/>
      <c r="B34" s="320" t="s">
        <v>269</v>
      </c>
      <c r="C34" s="395" t="str">
        <f t="shared" si="23"/>
        <v>Residential.Low Voltage Service Charge</v>
      </c>
      <c r="D34" s="396" t="s">
        <v>308</v>
      </c>
      <c r="E34" s="320"/>
      <c r="F34" s="418">
        <f>IFERROR(VLOOKUP($C34,'Proposed Rates'!$B:$J,F$11,FALSE),0)</f>
        <v>5.0000000000000002E-5</v>
      </c>
      <c r="G34" s="419">
        <f>$F$10*(1+F$63)</f>
        <v>640.95600000000002</v>
      </c>
      <c r="H34" s="400">
        <f t="shared" si="25"/>
        <v>3.2047800000000001E-2</v>
      </c>
      <c r="I34" s="128"/>
      <c r="J34" s="418">
        <f>IFERROR(VLOOKUP($C34,'Proposed Rates'!$B:$J,J$11,FALSE),0)</f>
        <v>6.9999999999999994E-5</v>
      </c>
      <c r="K34" s="419">
        <f>$F$10*(1+J$63)</f>
        <v>640.58399999999995</v>
      </c>
      <c r="L34" s="400">
        <f t="shared" si="27"/>
        <v>4.4840879999999993E-2</v>
      </c>
      <c r="M34" s="128"/>
      <c r="N34" s="401">
        <f t="shared" si="36"/>
        <v>1.2793079999999991E-2</v>
      </c>
      <c r="O34" s="402">
        <f t="shared" si="37"/>
        <v>0.3991874637260589</v>
      </c>
      <c r="P34" s="52"/>
      <c r="Q34" s="418">
        <f>IFERROR(VLOOKUP($C34,'Proposed Rates'!$B:$J,Q$11,FALSE),0)</f>
        <v>6.9999999999999994E-5</v>
      </c>
      <c r="R34" s="419">
        <f>$F$10*(1+Q$63)</f>
        <v>640.58399999999995</v>
      </c>
      <c r="S34" s="400">
        <f t="shared" si="29"/>
        <v>4.4840879999999993E-2</v>
      </c>
      <c r="T34" s="128"/>
      <c r="U34" s="401">
        <f t="shared" si="9"/>
        <v>0</v>
      </c>
      <c r="V34" s="402">
        <f t="shared" si="10"/>
        <v>0</v>
      </c>
      <c r="W34" s="52"/>
      <c r="X34" s="418">
        <f>IFERROR(VLOOKUP($C34,'Proposed Rates'!$B:$J,X$11,FALSE),0)</f>
        <v>8.0000000000000007E-5</v>
      </c>
      <c r="Y34" s="419">
        <f>$F$10*(1+X$63)</f>
        <v>640.58399999999995</v>
      </c>
      <c r="Z34" s="400">
        <f t="shared" si="31"/>
        <v>5.1246720000000003E-2</v>
      </c>
      <c r="AA34" s="128"/>
      <c r="AB34" s="401">
        <f t="shared" si="13"/>
        <v>6.4058400000000099E-3</v>
      </c>
      <c r="AC34" s="402">
        <f t="shared" si="14"/>
        <v>0.1428571428571431</v>
      </c>
      <c r="AD34" s="52"/>
      <c r="AE34" s="418">
        <f>IFERROR(VLOOKUP($C34,'Proposed Rates'!$B:$J,AE$11,FALSE),0)</f>
        <v>8.0000000000000007E-5</v>
      </c>
      <c r="AF34" s="419">
        <f>$F$10*(1+AE$63)</f>
        <v>640.58399999999995</v>
      </c>
      <c r="AG34" s="400">
        <f t="shared" si="33"/>
        <v>5.1246720000000003E-2</v>
      </c>
      <c r="AH34" s="128"/>
      <c r="AI34" s="401">
        <f t="shared" si="17"/>
        <v>0</v>
      </c>
      <c r="AJ34" s="402">
        <f t="shared" si="18"/>
        <v>0</v>
      </c>
      <c r="AK34" s="52"/>
      <c r="AL34" s="418">
        <f>IFERROR(VLOOKUP($C34,'Proposed Rates'!$B:$J,AL$11,FALSE),0)</f>
        <v>8.0000000000000007E-5</v>
      </c>
      <c r="AM34" s="419">
        <f>$F$10*(1+AL$63)</f>
        <v>640.58399999999995</v>
      </c>
      <c r="AN34" s="400">
        <f t="shared" si="35"/>
        <v>5.1246720000000003E-2</v>
      </c>
      <c r="AO34" s="128"/>
      <c r="AP34" s="401">
        <f t="shared" si="21"/>
        <v>0</v>
      </c>
      <c r="AQ34" s="402">
        <f t="shared" si="22"/>
        <v>0</v>
      </c>
      <c r="AR34" s="403"/>
      <c r="AS34" s="403"/>
      <c r="AT34" s="403"/>
      <c r="AU34" s="3"/>
      <c r="AV34" s="3"/>
      <c r="AW34" s="3"/>
      <c r="AX34" s="3"/>
      <c r="AY34" s="3"/>
      <c r="AZ34" s="3"/>
      <c r="BA34" s="3"/>
      <c r="BB34" s="3"/>
    </row>
    <row r="35" spans="1:54" ht="12.75" customHeight="1">
      <c r="A35" s="52"/>
      <c r="B35" s="320" t="s">
        <v>312</v>
      </c>
      <c r="C35" s="395" t="str">
        <f t="shared" si="23"/>
        <v>Residential.Line Losses on Cost of Power</v>
      </c>
      <c r="D35" s="396" t="s">
        <v>308</v>
      </c>
      <c r="E35" s="320"/>
      <c r="F35" s="420">
        <f>'Proposed Rates'!$K$249*F$44+'Proposed Rates'!$K$250*F$46+'Proposed Rates'!$K$251*F$45</f>
        <v>0.12751999999999999</v>
      </c>
      <c r="G35" s="421">
        <f>$F$10*(1+F$63)-$F$10</f>
        <v>20.956000000000017</v>
      </c>
      <c r="H35" s="400">
        <f t="shared" si="25"/>
        <v>2.6723091200000022</v>
      </c>
      <c r="I35" s="128"/>
      <c r="J35" s="420">
        <f>'Proposed Rates'!$K$249*J$44+'Proposed Rates'!$K$250*J$46+'Proposed Rates'!$K$251*J$45</f>
        <v>0.12751999999999999</v>
      </c>
      <c r="K35" s="421">
        <f>$F$10*(1+J$63)-$F$10</f>
        <v>20.583999999999946</v>
      </c>
      <c r="L35" s="400">
        <f t="shared" si="27"/>
        <v>2.6248716799999929</v>
      </c>
      <c r="M35" s="128"/>
      <c r="N35" s="401">
        <f t="shared" si="36"/>
        <v>-4.7437440000009268E-2</v>
      </c>
      <c r="O35" s="402">
        <f t="shared" si="37"/>
        <v>-1.7751479289944281E-2</v>
      </c>
      <c r="P35" s="52"/>
      <c r="Q35" s="420">
        <f>'Proposed Rates'!$K$249*Q$44+'Proposed Rates'!$K$250*Q$46+'Proposed Rates'!$K$251*Q$45</f>
        <v>0.12751999999999999</v>
      </c>
      <c r="R35" s="421">
        <f>$F$10*(1+Q$63)-$F$10</f>
        <v>20.583999999999946</v>
      </c>
      <c r="S35" s="400">
        <f t="shared" si="29"/>
        <v>2.6248716799999929</v>
      </c>
      <c r="T35" s="128"/>
      <c r="U35" s="401">
        <f t="shared" si="9"/>
        <v>0</v>
      </c>
      <c r="V35" s="402">
        <f t="shared" si="10"/>
        <v>0</v>
      </c>
      <c r="W35" s="52"/>
      <c r="X35" s="420">
        <f>'Proposed Rates'!$K$249*X$44+'Proposed Rates'!$K$250*X$46+'Proposed Rates'!$K$251*X$45</f>
        <v>0.12751999999999999</v>
      </c>
      <c r="Y35" s="421">
        <f>$F$10*(1+X$63)-$F$10</f>
        <v>20.583999999999946</v>
      </c>
      <c r="Z35" s="400">
        <f t="shared" si="31"/>
        <v>2.6248716799999929</v>
      </c>
      <c r="AA35" s="128"/>
      <c r="AB35" s="401">
        <f t="shared" si="13"/>
        <v>0</v>
      </c>
      <c r="AC35" s="402">
        <f t="shared" si="14"/>
        <v>0</v>
      </c>
      <c r="AD35" s="52"/>
      <c r="AE35" s="420">
        <f>'Proposed Rates'!$K$249*AE$44+'Proposed Rates'!$K$250*AE$46+'Proposed Rates'!$K$251*AE$45</f>
        <v>0.12751999999999999</v>
      </c>
      <c r="AF35" s="421">
        <f>$F$10*(1+AE$63)-$F$10</f>
        <v>20.583999999999946</v>
      </c>
      <c r="AG35" s="400">
        <f t="shared" si="33"/>
        <v>2.6248716799999929</v>
      </c>
      <c r="AH35" s="128"/>
      <c r="AI35" s="401">
        <f t="shared" si="17"/>
        <v>0</v>
      </c>
      <c r="AJ35" s="402">
        <f t="shared" si="18"/>
        <v>0</v>
      </c>
      <c r="AK35" s="52"/>
      <c r="AL35" s="420">
        <f>'Proposed Rates'!$K$249*AL$44+'Proposed Rates'!$K$250*AL$46+'Proposed Rates'!$K$251*AL$45</f>
        <v>0.12751999999999999</v>
      </c>
      <c r="AM35" s="421">
        <f>$F$10*(1+AL$63)-$F$10</f>
        <v>20.583999999999946</v>
      </c>
      <c r="AN35" s="400">
        <f t="shared" si="35"/>
        <v>2.6248716799999929</v>
      </c>
      <c r="AO35" s="128"/>
      <c r="AP35" s="401">
        <f t="shared" si="21"/>
        <v>0</v>
      </c>
      <c r="AQ35" s="402">
        <f t="shared" si="22"/>
        <v>0</v>
      </c>
      <c r="AR35" s="403"/>
      <c r="AS35" s="403"/>
      <c r="AT35" s="403"/>
      <c r="AU35" s="3"/>
      <c r="AV35" s="3"/>
      <c r="AW35" s="3"/>
      <c r="AX35" s="3"/>
      <c r="AY35" s="3"/>
      <c r="AZ35" s="3"/>
      <c r="BA35" s="3"/>
      <c r="BB35" s="3"/>
    </row>
    <row r="36" spans="1:5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36"/>
        <v>0</v>
      </c>
      <c r="O36" s="402">
        <f t="shared" si="37"/>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c r="AS36" s="403"/>
      <c r="AT36" s="403"/>
      <c r="AU36" s="3"/>
      <c r="AV36" s="3"/>
      <c r="AW36" s="3"/>
      <c r="AX36" s="3"/>
      <c r="AY36" s="3"/>
      <c r="AZ36" s="3"/>
      <c r="BA36" s="3"/>
      <c r="BB36" s="3"/>
    </row>
    <row r="37" spans="1:54" ht="12.75" customHeight="1">
      <c r="A37" s="52"/>
      <c r="B37" s="486" t="s">
        <v>313</v>
      </c>
      <c r="C37" s="422"/>
      <c r="D37" s="422"/>
      <c r="E37" s="422"/>
      <c r="F37" s="423"/>
      <c r="G37" s="501"/>
      <c r="H37" s="409">
        <f>SUM(H30:H36)+H29</f>
        <v>37.634356920000002</v>
      </c>
      <c r="I37" s="425"/>
      <c r="J37" s="423"/>
      <c r="K37" s="501"/>
      <c r="L37" s="409">
        <f>SUM(L30:L36)+L29</f>
        <v>43.455712559999995</v>
      </c>
      <c r="M37" s="425"/>
      <c r="N37" s="411">
        <f t="shared" si="36"/>
        <v>5.8213556399999931</v>
      </c>
      <c r="O37" s="412">
        <f t="shared" si="37"/>
        <v>0.15468194799700041</v>
      </c>
      <c r="P37" s="52"/>
      <c r="Q37" s="423"/>
      <c r="R37" s="501"/>
      <c r="S37" s="409">
        <f>SUM(S30:S36)+S29</f>
        <v>47.219712559999998</v>
      </c>
      <c r="T37" s="425"/>
      <c r="U37" s="411">
        <f t="shared" si="9"/>
        <v>3.7640000000000029</v>
      </c>
      <c r="V37" s="412">
        <f t="shared" si="10"/>
        <v>8.6616920498150576E-2</v>
      </c>
      <c r="W37" s="52"/>
      <c r="X37" s="423"/>
      <c r="Y37" s="501"/>
      <c r="Z37" s="409">
        <f>SUM(Z30:Z36)+Z29</f>
        <v>51.176118399999993</v>
      </c>
      <c r="AA37" s="425"/>
      <c r="AB37" s="411">
        <f t="shared" si="13"/>
        <v>3.9564058399999951</v>
      </c>
      <c r="AC37" s="412">
        <f t="shared" si="14"/>
        <v>8.3787164840801717E-2</v>
      </c>
      <c r="AD37" s="52"/>
      <c r="AE37" s="423"/>
      <c r="AF37" s="501"/>
      <c r="AG37" s="409">
        <f>SUM(AG30:AG36)+AG29</f>
        <v>54.266118399999989</v>
      </c>
      <c r="AH37" s="425"/>
      <c r="AI37" s="411">
        <f t="shared" si="17"/>
        <v>3.0899999999999963</v>
      </c>
      <c r="AJ37" s="412">
        <f t="shared" si="18"/>
        <v>6.0379725868384672E-2</v>
      </c>
      <c r="AK37" s="52"/>
      <c r="AL37" s="423"/>
      <c r="AM37" s="501"/>
      <c r="AN37" s="409">
        <f>SUM(AN30:AN36)+AN29</f>
        <v>57.196118399999996</v>
      </c>
      <c r="AO37" s="425"/>
      <c r="AP37" s="411">
        <f t="shared" si="21"/>
        <v>2.9300000000000068</v>
      </c>
      <c r="AQ37" s="412">
        <f t="shared" si="22"/>
        <v>5.3993174496151312E-2</v>
      </c>
      <c r="AR37" s="451"/>
      <c r="AS37" s="451"/>
      <c r="AT37" s="451"/>
      <c r="AU37" s="3"/>
      <c r="AV37" s="3"/>
      <c r="AW37" s="3"/>
      <c r="AX37" s="3"/>
      <c r="AY37" s="3"/>
      <c r="AZ37" s="3"/>
      <c r="BA37" s="3"/>
      <c r="BB37" s="3"/>
    </row>
    <row r="38" spans="1:54" ht="12.75" customHeight="1">
      <c r="A38" s="52"/>
      <c r="B38" s="128" t="s">
        <v>255</v>
      </c>
      <c r="C38" s="395" t="str">
        <f t="shared" ref="C38:C39" si="38">D$6&amp;"."&amp;B38</f>
        <v>Residential.RTSR - Network</v>
      </c>
      <c r="D38" s="426" t="s">
        <v>308</v>
      </c>
      <c r="E38" s="128"/>
      <c r="F38" s="414">
        <f>IFERROR(VLOOKUP($C38,'Proposed Rates'!$B:$J,F$11,FALSE),0)</f>
        <v>1.26E-2</v>
      </c>
      <c r="G38" s="419">
        <f t="shared" ref="G38:G39" si="39">$F$10*(1+F$63)</f>
        <v>640.95600000000002</v>
      </c>
      <c r="H38" s="400">
        <f t="shared" ref="H38:H39" si="40">G38*F38</f>
        <v>8.0760456000000005</v>
      </c>
      <c r="I38" s="128"/>
      <c r="J38" s="414">
        <f>IFERROR(VLOOKUP($C38,'Proposed Rates'!$B:$J,J$11,FALSE),0)</f>
        <v>1.38E-2</v>
      </c>
      <c r="K38" s="419">
        <f t="shared" ref="K38:K39" si="41">$F$10*(1+J$63)</f>
        <v>640.58399999999995</v>
      </c>
      <c r="L38" s="400">
        <f t="shared" ref="L38:L39" si="42">K38*J38</f>
        <v>8.8400591999999989</v>
      </c>
      <c r="M38" s="128"/>
      <c r="N38" s="401">
        <f t="shared" si="36"/>
        <v>0.76401359999999841</v>
      </c>
      <c r="O38" s="402">
        <f t="shared" si="37"/>
        <v>9.4602437608821616E-2</v>
      </c>
      <c r="P38" s="52"/>
      <c r="Q38" s="414">
        <f>IFERROR(VLOOKUP($C38,'Proposed Rates'!$B:$J,Q$11,FALSE),0)</f>
        <v>1.38E-2</v>
      </c>
      <c r="R38" s="419">
        <f t="shared" ref="R38:R39" si="43">$F$10*(1+Q$63)</f>
        <v>640.58399999999995</v>
      </c>
      <c r="S38" s="400">
        <f t="shared" ref="S38:S39" si="44">R38*Q38</f>
        <v>8.8400591999999989</v>
      </c>
      <c r="T38" s="128"/>
      <c r="U38" s="401">
        <f t="shared" si="9"/>
        <v>0</v>
      </c>
      <c r="V38" s="402">
        <f t="shared" si="10"/>
        <v>0</v>
      </c>
      <c r="W38" s="52"/>
      <c r="X38" s="414">
        <f>IFERROR(VLOOKUP($C38,'Proposed Rates'!$B:$J,X$11,FALSE),0)</f>
        <v>1.38E-2</v>
      </c>
      <c r="Y38" s="419">
        <f t="shared" ref="Y38:Y39" si="45">$F$10*(1+X$63)</f>
        <v>640.58399999999995</v>
      </c>
      <c r="Z38" s="400">
        <f t="shared" ref="Z38:Z39" si="46">Y38*X38</f>
        <v>8.8400591999999989</v>
      </c>
      <c r="AA38" s="128"/>
      <c r="AB38" s="401">
        <f t="shared" si="13"/>
        <v>0</v>
      </c>
      <c r="AC38" s="402">
        <f t="shared" si="14"/>
        <v>0</v>
      </c>
      <c r="AD38" s="52"/>
      <c r="AE38" s="414">
        <f>IFERROR(VLOOKUP($C38,'Proposed Rates'!$B:$J,AE$11,FALSE),0)</f>
        <v>1.38E-2</v>
      </c>
      <c r="AF38" s="419">
        <f t="shared" ref="AF38:AF39" si="47">$F$10*(1+AE$63)</f>
        <v>640.58399999999995</v>
      </c>
      <c r="AG38" s="400">
        <f t="shared" ref="AG38:AG39" si="48">AF38*AE38</f>
        <v>8.8400591999999989</v>
      </c>
      <c r="AH38" s="128"/>
      <c r="AI38" s="401">
        <f t="shared" si="17"/>
        <v>0</v>
      </c>
      <c r="AJ38" s="402">
        <f t="shared" si="18"/>
        <v>0</v>
      </c>
      <c r="AK38" s="52"/>
      <c r="AL38" s="414">
        <f>IFERROR(VLOOKUP($C38,'Proposed Rates'!$B:$J,AL$11,FALSE),0)</f>
        <v>1.38E-2</v>
      </c>
      <c r="AM38" s="419">
        <f t="shared" ref="AM38:AM39" si="49">$F$10*(1+AL$63)</f>
        <v>640.58399999999995</v>
      </c>
      <c r="AN38" s="400">
        <f t="shared" ref="AN38:AN39" si="50">AM38*AL38</f>
        <v>8.8400591999999989</v>
      </c>
      <c r="AO38" s="128"/>
      <c r="AP38" s="401">
        <f t="shared" si="21"/>
        <v>0</v>
      </c>
      <c r="AQ38" s="402">
        <f t="shared" si="22"/>
        <v>0</v>
      </c>
      <c r="AR38" s="403"/>
      <c r="AS38" s="403"/>
      <c r="AT38" s="403"/>
      <c r="AU38" s="3"/>
      <c r="AV38" s="3"/>
      <c r="AW38" s="3"/>
      <c r="AX38" s="3"/>
      <c r="AY38" s="3"/>
      <c r="AZ38" s="3"/>
      <c r="BA38" s="3"/>
      <c r="BB38" s="3"/>
    </row>
    <row r="39" spans="1:54" ht="12.75" customHeight="1">
      <c r="A39" s="52"/>
      <c r="B39" s="487" t="s">
        <v>256</v>
      </c>
      <c r="C39" s="395" t="str">
        <f t="shared" si="38"/>
        <v>Residential.RTSR - Line and Transformation Connection</v>
      </c>
      <c r="D39" s="426" t="s">
        <v>308</v>
      </c>
      <c r="E39" s="128"/>
      <c r="F39" s="414">
        <f>IFERROR(VLOOKUP($C39,'Proposed Rates'!$B:$J,F$11,FALSE),0)</f>
        <v>7.1999999999999998E-3</v>
      </c>
      <c r="G39" s="419">
        <f t="shared" si="39"/>
        <v>640.95600000000002</v>
      </c>
      <c r="H39" s="400">
        <f t="shared" si="40"/>
        <v>4.6148832000000004</v>
      </c>
      <c r="I39" s="128"/>
      <c r="J39" s="414">
        <f>IFERROR(VLOOKUP($C39,'Proposed Rates'!$B:$J,J$11,FALSE),0)</f>
        <v>7.7999999999999996E-3</v>
      </c>
      <c r="K39" s="419">
        <f t="shared" si="41"/>
        <v>640.58399999999995</v>
      </c>
      <c r="L39" s="400">
        <f t="shared" si="42"/>
        <v>4.9965551999999995</v>
      </c>
      <c r="M39" s="128"/>
      <c r="N39" s="401">
        <f t="shared" si="36"/>
        <v>0.38167199999999912</v>
      </c>
      <c r="O39" s="402">
        <f t="shared" si="37"/>
        <v>8.2704585026117036E-2</v>
      </c>
      <c r="P39" s="52"/>
      <c r="Q39" s="414">
        <f>IFERROR(VLOOKUP($C39,'Proposed Rates'!$B:$J,Q$11,FALSE),0)</f>
        <v>7.7999999999999996E-3</v>
      </c>
      <c r="R39" s="419">
        <f t="shared" si="43"/>
        <v>640.58399999999995</v>
      </c>
      <c r="S39" s="400">
        <f t="shared" si="44"/>
        <v>4.9965551999999995</v>
      </c>
      <c r="T39" s="128"/>
      <c r="U39" s="401">
        <f t="shared" si="9"/>
        <v>0</v>
      </c>
      <c r="V39" s="402">
        <f t="shared" si="10"/>
        <v>0</v>
      </c>
      <c r="W39" s="52"/>
      <c r="X39" s="414">
        <f>IFERROR(VLOOKUP($C39,'Proposed Rates'!$B:$J,X$11,FALSE),0)</f>
        <v>7.7999999999999996E-3</v>
      </c>
      <c r="Y39" s="419">
        <f t="shared" si="45"/>
        <v>640.58399999999995</v>
      </c>
      <c r="Z39" s="400">
        <f t="shared" si="46"/>
        <v>4.9965551999999995</v>
      </c>
      <c r="AA39" s="128"/>
      <c r="AB39" s="401">
        <f t="shared" si="13"/>
        <v>0</v>
      </c>
      <c r="AC39" s="402">
        <f t="shared" si="14"/>
        <v>0</v>
      </c>
      <c r="AD39" s="52"/>
      <c r="AE39" s="414">
        <f>IFERROR(VLOOKUP($C39,'Proposed Rates'!$B:$J,AE$11,FALSE),0)</f>
        <v>7.7999999999999996E-3</v>
      </c>
      <c r="AF39" s="419">
        <f t="shared" si="47"/>
        <v>640.58399999999995</v>
      </c>
      <c r="AG39" s="400">
        <f t="shared" si="48"/>
        <v>4.9965551999999995</v>
      </c>
      <c r="AH39" s="128"/>
      <c r="AI39" s="401">
        <f t="shared" si="17"/>
        <v>0</v>
      </c>
      <c r="AJ39" s="402">
        <f t="shared" si="18"/>
        <v>0</v>
      </c>
      <c r="AK39" s="52"/>
      <c r="AL39" s="414">
        <f>IFERROR(VLOOKUP($C39,'Proposed Rates'!$B:$J,AL$11,FALSE),0)</f>
        <v>7.7999999999999996E-3</v>
      </c>
      <c r="AM39" s="419">
        <f t="shared" si="49"/>
        <v>640.58399999999995</v>
      </c>
      <c r="AN39" s="400">
        <f t="shared" si="50"/>
        <v>4.9965551999999995</v>
      </c>
      <c r="AO39" s="128"/>
      <c r="AP39" s="401">
        <f t="shared" si="21"/>
        <v>0</v>
      </c>
      <c r="AQ39" s="402">
        <f t="shared" si="22"/>
        <v>0</v>
      </c>
      <c r="AR39" s="403"/>
      <c r="AS39" s="403"/>
      <c r="AT39" s="403"/>
      <c r="AU39" s="3"/>
      <c r="AV39" s="3"/>
      <c r="AW39" s="3"/>
      <c r="AX39" s="3"/>
      <c r="AY39" s="3"/>
      <c r="AZ39" s="3"/>
      <c r="BA39" s="3"/>
      <c r="BB39" s="3"/>
    </row>
    <row r="40" spans="1:54" ht="12.75" customHeight="1">
      <c r="A40" s="52"/>
      <c r="B40" s="486" t="s">
        <v>314</v>
      </c>
      <c r="C40" s="427"/>
      <c r="D40" s="427"/>
      <c r="E40" s="427"/>
      <c r="F40" s="428"/>
      <c r="G40" s="429"/>
      <c r="H40" s="409">
        <f>SUM(H37:H39)</f>
        <v>50.325285720000004</v>
      </c>
      <c r="I40" s="410"/>
      <c r="J40" s="428"/>
      <c r="K40" s="429"/>
      <c r="L40" s="409">
        <f>SUM(L37:L39)</f>
        <v>57.292326959999997</v>
      </c>
      <c r="M40" s="410"/>
      <c r="N40" s="411">
        <f t="shared" si="36"/>
        <v>6.9670412399999933</v>
      </c>
      <c r="O40" s="412">
        <f t="shared" si="37"/>
        <v>0.1384401725757354</v>
      </c>
      <c r="P40" s="52"/>
      <c r="Q40" s="428"/>
      <c r="R40" s="429"/>
      <c r="S40" s="409">
        <f>SUM(S37:S39)</f>
        <v>61.056326959999993</v>
      </c>
      <c r="T40" s="410"/>
      <c r="U40" s="411">
        <f t="shared" si="9"/>
        <v>3.7639999999999958</v>
      </c>
      <c r="V40" s="412">
        <f t="shared" si="10"/>
        <v>6.5698151911824459E-2</v>
      </c>
      <c r="W40" s="52"/>
      <c r="X40" s="428"/>
      <c r="Y40" s="429"/>
      <c r="Z40" s="409">
        <f>SUM(Z37:Z39)</f>
        <v>65.012732799999995</v>
      </c>
      <c r="AA40" s="410"/>
      <c r="AB40" s="411">
        <f t="shared" si="13"/>
        <v>3.9564058400000022</v>
      </c>
      <c r="AC40" s="412">
        <f t="shared" si="14"/>
        <v>6.4799276946220064E-2</v>
      </c>
      <c r="AD40" s="52"/>
      <c r="AE40" s="428"/>
      <c r="AF40" s="429"/>
      <c r="AG40" s="409">
        <f>SUM(AG37:AG39)</f>
        <v>68.102732799999984</v>
      </c>
      <c r="AH40" s="410"/>
      <c r="AI40" s="411">
        <f t="shared" si="17"/>
        <v>3.0899999999999892</v>
      </c>
      <c r="AJ40" s="412">
        <f t="shared" si="18"/>
        <v>4.7529151089615314E-2</v>
      </c>
      <c r="AK40" s="52"/>
      <c r="AL40" s="428"/>
      <c r="AM40" s="429"/>
      <c r="AN40" s="409">
        <f>SUM(AN37:AN39)</f>
        <v>71.032732800000005</v>
      </c>
      <c r="AO40" s="410"/>
      <c r="AP40" s="411">
        <f t="shared" si="21"/>
        <v>2.930000000000021</v>
      </c>
      <c r="AQ40" s="412">
        <f t="shared" si="22"/>
        <v>4.3023236800271571E-2</v>
      </c>
      <c r="AR40" s="451"/>
      <c r="AS40" s="451"/>
      <c r="AT40" s="451"/>
      <c r="AU40" s="3"/>
      <c r="AV40" s="3"/>
      <c r="AW40" s="3"/>
      <c r="AX40" s="3"/>
      <c r="AY40" s="3"/>
      <c r="AZ40" s="3"/>
      <c r="BA40" s="3"/>
      <c r="BB40" s="3"/>
    </row>
    <row r="41" spans="1:54" ht="12.75" customHeight="1">
      <c r="A41" s="52"/>
      <c r="B41" s="488" t="s">
        <v>257</v>
      </c>
      <c r="C41" s="395" t="str">
        <f t="shared" ref="C41:C48" si="51">D$6&amp;"."&amp;B41</f>
        <v>Residential.Wholesale Market Service Charge (WMSC)</v>
      </c>
      <c r="D41" s="396" t="s">
        <v>308</v>
      </c>
      <c r="E41" s="320"/>
      <c r="F41" s="414">
        <f>IFERROR(VLOOKUP($C41,'Proposed Rates'!$B:$J,F$11,FALSE),0)</f>
        <v>4.4999999999999997E-3</v>
      </c>
      <c r="G41" s="419">
        <f t="shared" ref="G41:G42" si="52">$F$10*(1+F$63)</f>
        <v>640.95600000000002</v>
      </c>
      <c r="H41" s="400">
        <f t="shared" ref="H41:H48" si="53">G41*F41</f>
        <v>2.8843019999999999</v>
      </c>
      <c r="I41" s="128"/>
      <c r="J41" s="414">
        <f>IFERROR(VLOOKUP($C41,'Proposed Rates'!$B:$J,J$11,FALSE),0)</f>
        <v>4.4999999999999997E-3</v>
      </c>
      <c r="K41" s="419">
        <f t="shared" ref="K41:K42" si="54">$F$10*(1+J$63)</f>
        <v>640.58399999999995</v>
      </c>
      <c r="L41" s="400">
        <f t="shared" ref="L41:L48" si="55">K41*J41</f>
        <v>2.8826279999999995</v>
      </c>
      <c r="M41" s="128"/>
      <c r="N41" s="401">
        <f t="shared" si="36"/>
        <v>-1.6740000000003974E-3</v>
      </c>
      <c r="O41" s="402">
        <f t="shared" si="37"/>
        <v>-5.8038305281499561E-4</v>
      </c>
      <c r="P41" s="52"/>
      <c r="Q41" s="414">
        <f>IFERROR(VLOOKUP($C41,'Proposed Rates'!$B:$J,Q$11,FALSE),0)</f>
        <v>4.4999999999999997E-3</v>
      </c>
      <c r="R41" s="419">
        <f t="shared" ref="R41:R42" si="56">$F$10*(1+Q$63)</f>
        <v>640.58399999999995</v>
      </c>
      <c r="S41" s="400">
        <f t="shared" ref="S41:S48" si="57">R41*Q41</f>
        <v>2.8826279999999995</v>
      </c>
      <c r="T41" s="128"/>
      <c r="U41" s="401">
        <f t="shared" si="9"/>
        <v>0</v>
      </c>
      <c r="V41" s="402">
        <f t="shared" si="10"/>
        <v>0</v>
      </c>
      <c r="W41" s="52"/>
      <c r="X41" s="414">
        <f>IFERROR(VLOOKUP($C41,'Proposed Rates'!$B:$J,X$11,FALSE),0)</f>
        <v>4.4999999999999997E-3</v>
      </c>
      <c r="Y41" s="419">
        <f t="shared" ref="Y41:Y42" si="58">$F$10*(1+X$63)</f>
        <v>640.58399999999995</v>
      </c>
      <c r="Z41" s="400">
        <f t="shared" ref="Z41:Z48" si="59">Y41*X41</f>
        <v>2.8826279999999995</v>
      </c>
      <c r="AA41" s="128"/>
      <c r="AB41" s="401">
        <f t="shared" si="13"/>
        <v>0</v>
      </c>
      <c r="AC41" s="402">
        <f t="shared" si="14"/>
        <v>0</v>
      </c>
      <c r="AD41" s="52"/>
      <c r="AE41" s="414">
        <f>IFERROR(VLOOKUP($C41,'Proposed Rates'!$B:$J,AE$11,FALSE),0)</f>
        <v>4.4999999999999997E-3</v>
      </c>
      <c r="AF41" s="419">
        <f t="shared" ref="AF41:AF42" si="60">$F$10*(1+AE$63)</f>
        <v>640.58399999999995</v>
      </c>
      <c r="AG41" s="400">
        <f t="shared" ref="AG41:AG48" si="61">AF41*AE41</f>
        <v>2.8826279999999995</v>
      </c>
      <c r="AH41" s="128"/>
      <c r="AI41" s="401">
        <f t="shared" si="17"/>
        <v>0</v>
      </c>
      <c r="AJ41" s="402">
        <f t="shared" si="18"/>
        <v>0</v>
      </c>
      <c r="AK41" s="52"/>
      <c r="AL41" s="414">
        <f>IFERROR(VLOOKUP($C41,'Proposed Rates'!$B:$J,AL$11,FALSE),0)</f>
        <v>4.4999999999999997E-3</v>
      </c>
      <c r="AM41" s="419">
        <f t="shared" ref="AM41:AM42" si="62">$F$10*(1+AL$63)</f>
        <v>640.58399999999995</v>
      </c>
      <c r="AN41" s="400">
        <f t="shared" ref="AN41:AN48" si="63">AM41*AL41</f>
        <v>2.8826279999999995</v>
      </c>
      <c r="AO41" s="128"/>
      <c r="AP41" s="401">
        <f t="shared" si="21"/>
        <v>0</v>
      </c>
      <c r="AQ41" s="402">
        <f t="shared" si="22"/>
        <v>0</v>
      </c>
      <c r="AR41" s="403"/>
      <c r="AS41" s="403"/>
      <c r="AT41" s="403"/>
      <c r="AU41" s="3"/>
      <c r="AV41" s="3"/>
      <c r="AW41" s="3"/>
      <c r="AX41" s="3"/>
      <c r="AY41" s="3"/>
      <c r="AZ41" s="3"/>
      <c r="BA41" s="3"/>
      <c r="BB41" s="3"/>
    </row>
    <row r="42" spans="1:54" ht="12.75" customHeight="1">
      <c r="A42" s="52"/>
      <c r="B42" s="488" t="s">
        <v>258</v>
      </c>
      <c r="C42" s="395" t="str">
        <f t="shared" si="51"/>
        <v>Residential.Rural and Remote Rate Protection (RRRP)</v>
      </c>
      <c r="D42" s="396" t="s">
        <v>308</v>
      </c>
      <c r="E42" s="320"/>
      <c r="F42" s="414">
        <f>IFERROR(VLOOKUP($C42,'Proposed Rates'!$B:$J,F$11,FALSE),0)</f>
        <v>1.5E-3</v>
      </c>
      <c r="G42" s="419">
        <f t="shared" si="52"/>
        <v>640.95600000000002</v>
      </c>
      <c r="H42" s="400">
        <f t="shared" si="53"/>
        <v>0.96143400000000001</v>
      </c>
      <c r="I42" s="128"/>
      <c r="J42" s="414">
        <f>IFERROR(VLOOKUP($C42,'Proposed Rates'!$B:$J,J$11,FALSE),0)</f>
        <v>1.5E-3</v>
      </c>
      <c r="K42" s="419">
        <f t="shared" si="54"/>
        <v>640.58399999999995</v>
      </c>
      <c r="L42" s="400">
        <f t="shared" si="55"/>
        <v>0.96087599999999995</v>
      </c>
      <c r="M42" s="128"/>
      <c r="N42" s="401">
        <f t="shared" si="36"/>
        <v>-5.5800000000005845E-4</v>
      </c>
      <c r="O42" s="402">
        <f t="shared" si="37"/>
        <v>-5.8038305281491863E-4</v>
      </c>
      <c r="P42" s="52"/>
      <c r="Q42" s="414">
        <f>IFERROR(VLOOKUP($C42,'Proposed Rates'!$B:$J,Q$11,FALSE),0)</f>
        <v>1.5E-3</v>
      </c>
      <c r="R42" s="419">
        <f t="shared" si="56"/>
        <v>640.58399999999995</v>
      </c>
      <c r="S42" s="400">
        <f t="shared" si="57"/>
        <v>0.96087599999999995</v>
      </c>
      <c r="T42" s="128"/>
      <c r="U42" s="401">
        <f t="shared" si="9"/>
        <v>0</v>
      </c>
      <c r="V42" s="402">
        <f t="shared" si="10"/>
        <v>0</v>
      </c>
      <c r="W42" s="52"/>
      <c r="X42" s="414">
        <f>IFERROR(VLOOKUP($C42,'Proposed Rates'!$B:$J,X$11,FALSE),0)</f>
        <v>1.5E-3</v>
      </c>
      <c r="Y42" s="419">
        <f t="shared" si="58"/>
        <v>640.58399999999995</v>
      </c>
      <c r="Z42" s="400">
        <f t="shared" si="59"/>
        <v>0.96087599999999995</v>
      </c>
      <c r="AA42" s="128"/>
      <c r="AB42" s="401">
        <f t="shared" si="13"/>
        <v>0</v>
      </c>
      <c r="AC42" s="402">
        <f t="shared" si="14"/>
        <v>0</v>
      </c>
      <c r="AD42" s="52"/>
      <c r="AE42" s="414">
        <f>IFERROR(VLOOKUP($C42,'Proposed Rates'!$B:$J,AE$11,FALSE),0)</f>
        <v>1.5E-3</v>
      </c>
      <c r="AF42" s="419">
        <f t="shared" si="60"/>
        <v>640.58399999999995</v>
      </c>
      <c r="AG42" s="400">
        <f t="shared" si="61"/>
        <v>0.96087599999999995</v>
      </c>
      <c r="AH42" s="128"/>
      <c r="AI42" s="401">
        <f t="shared" si="17"/>
        <v>0</v>
      </c>
      <c r="AJ42" s="402">
        <f t="shared" si="18"/>
        <v>0</v>
      </c>
      <c r="AK42" s="52"/>
      <c r="AL42" s="414">
        <f>IFERROR(VLOOKUP($C42,'Proposed Rates'!$B:$J,AL$11,FALSE),0)</f>
        <v>1.5E-3</v>
      </c>
      <c r="AM42" s="419">
        <f t="shared" si="62"/>
        <v>640.58399999999995</v>
      </c>
      <c r="AN42" s="400">
        <f t="shared" si="63"/>
        <v>0.96087599999999995</v>
      </c>
      <c r="AO42" s="128"/>
      <c r="AP42" s="401">
        <f t="shared" si="21"/>
        <v>0</v>
      </c>
      <c r="AQ42" s="402">
        <f t="shared" si="22"/>
        <v>0</v>
      </c>
      <c r="AR42" s="403"/>
      <c r="AS42" s="403"/>
      <c r="AT42" s="403"/>
      <c r="AU42" s="3"/>
      <c r="AV42" s="3"/>
      <c r="AW42" s="3"/>
      <c r="AX42" s="3"/>
      <c r="AY42" s="3"/>
      <c r="AZ42" s="3"/>
      <c r="BA42" s="3"/>
      <c r="BB42" s="3"/>
    </row>
    <row r="43" spans="1:54" ht="12.75" customHeight="1">
      <c r="A43" s="52"/>
      <c r="B43" s="320" t="s">
        <v>260</v>
      </c>
      <c r="C43" s="395" t="str">
        <f t="shared" si="51"/>
        <v>Residential.Standard Supply Service Charge</v>
      </c>
      <c r="D43" s="396" t="s">
        <v>306</v>
      </c>
      <c r="E43" s="320"/>
      <c r="F43" s="414">
        <f>IFERROR(VLOOKUP($C43,'Proposed Rates'!$B:$J,F$11,FALSE),0)</f>
        <v>0.25</v>
      </c>
      <c r="G43" s="415">
        <f>IF($D43="Monthly",1,IF($D43="per KWH",$F$10,0))</f>
        <v>1</v>
      </c>
      <c r="H43" s="400">
        <f t="shared" si="53"/>
        <v>0.25</v>
      </c>
      <c r="I43" s="128"/>
      <c r="J43" s="414">
        <f>IFERROR(VLOOKUP($C43,'Proposed Rates'!$B:$J,J$11,FALSE),0)</f>
        <v>1.51</v>
      </c>
      <c r="K43" s="415">
        <f>IF($D43="Monthly",1,IF($D43="per KWH",$F$10,0))</f>
        <v>1</v>
      </c>
      <c r="L43" s="400">
        <f t="shared" si="55"/>
        <v>1.51</v>
      </c>
      <c r="M43" s="128"/>
      <c r="N43" s="401">
        <f t="shared" si="36"/>
        <v>1.26</v>
      </c>
      <c r="O43" s="402">
        <f t="shared" si="37"/>
        <v>5.04</v>
      </c>
      <c r="P43" s="52"/>
      <c r="Q43" s="414">
        <f>IFERROR(VLOOKUP($C43,'Proposed Rates'!$B:$J,Q$11,FALSE),0)</f>
        <v>1.54</v>
      </c>
      <c r="R43" s="415">
        <f>IF($D43="Monthly",1,IF($D43="per KWH",$F$10,0))</f>
        <v>1</v>
      </c>
      <c r="S43" s="400">
        <f t="shared" si="57"/>
        <v>1.54</v>
      </c>
      <c r="T43" s="128"/>
      <c r="U43" s="401">
        <f t="shared" si="9"/>
        <v>3.0000000000000027E-2</v>
      </c>
      <c r="V43" s="402">
        <f t="shared" si="10"/>
        <v>1.986754966887419E-2</v>
      </c>
      <c r="W43" s="52"/>
      <c r="X43" s="414">
        <f>IFERROR(VLOOKUP($C43,'Proposed Rates'!$B:$J,X$11,FALSE),0)</f>
        <v>1.57</v>
      </c>
      <c r="Y43" s="415">
        <f>IF($D43="Monthly",1,IF($D43="per KWH",$F$10,0))</f>
        <v>1</v>
      </c>
      <c r="Z43" s="400">
        <f t="shared" si="59"/>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61"/>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3"/>
        <v>1.63</v>
      </c>
      <c r="AO43" s="128"/>
      <c r="AP43" s="401">
        <f t="shared" si="21"/>
        <v>2.9999999999999805E-2</v>
      </c>
      <c r="AQ43" s="402">
        <f t="shared" si="22"/>
        <v>1.8749999999999878E-2</v>
      </c>
      <c r="AR43" s="403"/>
      <c r="AS43" s="403"/>
      <c r="AT43" s="403"/>
      <c r="AU43" s="3"/>
      <c r="AV43" s="3"/>
      <c r="AW43" s="3"/>
      <c r="AX43" s="3"/>
      <c r="AY43" s="3"/>
      <c r="AZ43" s="3"/>
      <c r="BA43" s="3"/>
      <c r="BB43" s="3"/>
    </row>
    <row r="44" spans="1:54" ht="12.75" customHeight="1">
      <c r="A44" s="52"/>
      <c r="B44" s="320" t="s">
        <v>262</v>
      </c>
      <c r="C44" s="395" t="str">
        <f t="shared" si="51"/>
        <v>Residential.TOU - Off Peak</v>
      </c>
      <c r="D44" s="396" t="s">
        <v>308</v>
      </c>
      <c r="E44" s="320"/>
      <c r="F44" s="430">
        <f>VLOOKUP($B44,'Proposed Rates'!$D$248:$J$254,+F$11-2,FALSE)</f>
        <v>9.8000000000000004E-2</v>
      </c>
      <c r="G44" s="421">
        <f>$F$10*'Proposed Rates'!$K$249</f>
        <v>396.8</v>
      </c>
      <c r="H44" s="400">
        <f t="shared" si="53"/>
        <v>38.886400000000002</v>
      </c>
      <c r="I44" s="128"/>
      <c r="J44" s="430">
        <f>VLOOKUP($B44,'Proposed Rates'!$D$248:$J$254,+J$11-2,FALSE)</f>
        <v>9.8000000000000004E-2</v>
      </c>
      <c r="K44" s="421">
        <f>$F$10*'Proposed Rates'!$K$249</f>
        <v>396.8</v>
      </c>
      <c r="L44" s="400">
        <f t="shared" si="55"/>
        <v>38.886400000000002</v>
      </c>
      <c r="M44" s="128"/>
      <c r="N44" s="401">
        <f t="shared" si="36"/>
        <v>0</v>
      </c>
      <c r="O44" s="402">
        <f t="shared" si="37"/>
        <v>0</v>
      </c>
      <c r="P44" s="52"/>
      <c r="Q44" s="430">
        <f>VLOOKUP($B44,'Proposed Rates'!$D$248:$J$254,+Q$11-2,FALSE)</f>
        <v>9.8000000000000004E-2</v>
      </c>
      <c r="R44" s="421">
        <f>$F$10*'Proposed Rates'!$K$249</f>
        <v>396.8</v>
      </c>
      <c r="S44" s="400">
        <f t="shared" si="57"/>
        <v>38.886400000000002</v>
      </c>
      <c r="T44" s="128"/>
      <c r="U44" s="401">
        <f t="shared" si="9"/>
        <v>0</v>
      </c>
      <c r="V44" s="402">
        <f t="shared" si="10"/>
        <v>0</v>
      </c>
      <c r="W44" s="52"/>
      <c r="X44" s="430">
        <f>VLOOKUP($B44,'Proposed Rates'!$D$248:$J$254,+X$11-2,FALSE)</f>
        <v>9.8000000000000004E-2</v>
      </c>
      <c r="Y44" s="421">
        <f>$F$10*'Proposed Rates'!$K$249</f>
        <v>396.8</v>
      </c>
      <c r="Z44" s="400">
        <f t="shared" si="59"/>
        <v>38.886400000000002</v>
      </c>
      <c r="AA44" s="128"/>
      <c r="AB44" s="401">
        <f t="shared" si="13"/>
        <v>0</v>
      </c>
      <c r="AC44" s="402">
        <f t="shared" si="14"/>
        <v>0</v>
      </c>
      <c r="AD44" s="52"/>
      <c r="AE44" s="430">
        <f>VLOOKUP($B44,'Proposed Rates'!$D$248:$J$254,+AE$11-2,FALSE)</f>
        <v>9.8000000000000004E-2</v>
      </c>
      <c r="AF44" s="421">
        <f>$F$10*'Proposed Rates'!$K$249</f>
        <v>396.8</v>
      </c>
      <c r="AG44" s="400">
        <f t="shared" si="61"/>
        <v>38.886400000000002</v>
      </c>
      <c r="AH44" s="128"/>
      <c r="AI44" s="401">
        <f t="shared" si="17"/>
        <v>0</v>
      </c>
      <c r="AJ44" s="402">
        <f t="shared" si="18"/>
        <v>0</v>
      </c>
      <c r="AK44" s="52"/>
      <c r="AL44" s="430">
        <f>VLOOKUP($B44,'Proposed Rates'!$D$248:$J$254,+AL$11-2,FALSE)</f>
        <v>9.8000000000000004E-2</v>
      </c>
      <c r="AM44" s="421">
        <f>$F$10*'Proposed Rates'!$K$249</f>
        <v>396.8</v>
      </c>
      <c r="AN44" s="400">
        <f t="shared" si="63"/>
        <v>38.886400000000002</v>
      </c>
      <c r="AO44" s="128"/>
      <c r="AP44" s="401">
        <f t="shared" si="21"/>
        <v>0</v>
      </c>
      <c r="AQ44" s="402">
        <f t="shared" si="22"/>
        <v>0</v>
      </c>
      <c r="AR44" s="403"/>
      <c r="AS44" s="403"/>
      <c r="AT44" s="403"/>
      <c r="AU44" s="3"/>
      <c r="AV44" s="3"/>
      <c r="AW44" s="3"/>
      <c r="AX44" s="3"/>
      <c r="AY44" s="3"/>
      <c r="AZ44" s="3"/>
      <c r="BA44" s="3"/>
      <c r="BB44" s="3"/>
    </row>
    <row r="45" spans="1:54" ht="12.75" customHeight="1">
      <c r="A45" s="52"/>
      <c r="B45" s="320" t="s">
        <v>263</v>
      </c>
      <c r="C45" s="395" t="str">
        <f t="shared" si="51"/>
        <v>Residential.TOU - Mid Peak</v>
      </c>
      <c r="D45" s="396" t="s">
        <v>308</v>
      </c>
      <c r="E45" s="320"/>
      <c r="F45" s="430">
        <f>VLOOKUP($B45,'Proposed Rates'!$D$248:$J$254,+F$11-2,FALSE)</f>
        <v>0.157</v>
      </c>
      <c r="G45" s="421">
        <f>$F$10*'Proposed Rates'!$K$250</f>
        <v>111.6</v>
      </c>
      <c r="H45" s="400">
        <f t="shared" si="53"/>
        <v>17.5212</v>
      </c>
      <c r="I45" s="128"/>
      <c r="J45" s="430">
        <f>VLOOKUP($B45,'Proposed Rates'!$D$248:$J$254,+J$11-2,FALSE)</f>
        <v>0.157</v>
      </c>
      <c r="K45" s="421">
        <f>$F$10*'Proposed Rates'!$K$250</f>
        <v>111.6</v>
      </c>
      <c r="L45" s="400">
        <f t="shared" si="55"/>
        <v>17.5212</v>
      </c>
      <c r="M45" s="128"/>
      <c r="N45" s="401">
        <f t="shared" si="36"/>
        <v>0</v>
      </c>
      <c r="O45" s="402">
        <f t="shared" si="37"/>
        <v>0</v>
      </c>
      <c r="P45" s="52"/>
      <c r="Q45" s="430">
        <f>VLOOKUP($B45,'Proposed Rates'!$D$248:$J$254,+Q$11-2,FALSE)</f>
        <v>0.157</v>
      </c>
      <c r="R45" s="421">
        <f>$F$10*'Proposed Rates'!$K$250</f>
        <v>111.6</v>
      </c>
      <c r="S45" s="400">
        <f t="shared" si="57"/>
        <v>17.5212</v>
      </c>
      <c r="T45" s="128"/>
      <c r="U45" s="401">
        <f t="shared" si="9"/>
        <v>0</v>
      </c>
      <c r="V45" s="402">
        <f t="shared" si="10"/>
        <v>0</v>
      </c>
      <c r="W45" s="52"/>
      <c r="X45" s="430">
        <f>VLOOKUP($B45,'Proposed Rates'!$D$248:$J$254,+X$11-2,FALSE)</f>
        <v>0.157</v>
      </c>
      <c r="Y45" s="421">
        <f>$F$10*'Proposed Rates'!$K$250</f>
        <v>111.6</v>
      </c>
      <c r="Z45" s="400">
        <f t="shared" si="59"/>
        <v>17.5212</v>
      </c>
      <c r="AA45" s="128"/>
      <c r="AB45" s="401">
        <f t="shared" si="13"/>
        <v>0</v>
      </c>
      <c r="AC45" s="402">
        <f t="shared" si="14"/>
        <v>0</v>
      </c>
      <c r="AD45" s="52"/>
      <c r="AE45" s="430">
        <f>VLOOKUP($B45,'Proposed Rates'!$D$248:$J$254,+AE$11-2,FALSE)</f>
        <v>0.157</v>
      </c>
      <c r="AF45" s="421">
        <f>$F$10*'Proposed Rates'!$K$250</f>
        <v>111.6</v>
      </c>
      <c r="AG45" s="400">
        <f t="shared" si="61"/>
        <v>17.5212</v>
      </c>
      <c r="AH45" s="128"/>
      <c r="AI45" s="401">
        <f t="shared" si="17"/>
        <v>0</v>
      </c>
      <c r="AJ45" s="402">
        <f t="shared" si="18"/>
        <v>0</v>
      </c>
      <c r="AK45" s="52"/>
      <c r="AL45" s="430">
        <f>VLOOKUP($B45,'Proposed Rates'!$D$248:$J$254,+AL$11-2,FALSE)</f>
        <v>0.157</v>
      </c>
      <c r="AM45" s="421">
        <f>$F$10*'Proposed Rates'!$K$250</f>
        <v>111.6</v>
      </c>
      <c r="AN45" s="400">
        <f t="shared" si="63"/>
        <v>17.5212</v>
      </c>
      <c r="AO45" s="128"/>
      <c r="AP45" s="401">
        <f t="shared" si="21"/>
        <v>0</v>
      </c>
      <c r="AQ45" s="402">
        <f t="shared" si="22"/>
        <v>0</v>
      </c>
      <c r="AR45" s="403"/>
      <c r="AS45" s="403"/>
      <c r="AT45" s="403"/>
      <c r="AU45" s="3"/>
      <c r="AV45" s="3"/>
      <c r="AW45" s="3"/>
      <c r="AX45" s="3"/>
      <c r="AY45" s="3"/>
      <c r="AZ45" s="3"/>
      <c r="BA45" s="3"/>
      <c r="BB45" s="3"/>
    </row>
    <row r="46" spans="1:54" ht="12.75" customHeight="1">
      <c r="A46" s="52"/>
      <c r="B46" s="52" t="s">
        <v>264</v>
      </c>
      <c r="C46" s="395" t="str">
        <f t="shared" si="51"/>
        <v>Residential.TOU - On Peak</v>
      </c>
      <c r="D46" s="396" t="s">
        <v>308</v>
      </c>
      <c r="E46" s="320"/>
      <c r="F46" s="430">
        <f>VLOOKUP($B46,'Proposed Rates'!$D$248:$J$254,+F$11-2,FALSE)</f>
        <v>0.20300000000000001</v>
      </c>
      <c r="G46" s="421">
        <f>$F$10*'Proposed Rates'!$K$251</f>
        <v>111.6</v>
      </c>
      <c r="H46" s="400">
        <f t="shared" si="53"/>
        <v>22.654800000000002</v>
      </c>
      <c r="I46" s="128"/>
      <c r="J46" s="430">
        <f>VLOOKUP($B46,'Proposed Rates'!$D$248:$J$254,+J$11-2,FALSE)</f>
        <v>0.20300000000000001</v>
      </c>
      <c r="K46" s="421">
        <f>$F$10*'Proposed Rates'!$K$251</f>
        <v>111.6</v>
      </c>
      <c r="L46" s="400">
        <f t="shared" si="55"/>
        <v>22.654800000000002</v>
      </c>
      <c r="M46" s="128"/>
      <c r="N46" s="401">
        <f t="shared" si="36"/>
        <v>0</v>
      </c>
      <c r="O46" s="402">
        <f t="shared" si="37"/>
        <v>0</v>
      </c>
      <c r="P46" s="52"/>
      <c r="Q46" s="430">
        <f>VLOOKUP($B46,'Proposed Rates'!$D$248:$J$254,+Q$11-2,FALSE)</f>
        <v>0.20300000000000001</v>
      </c>
      <c r="R46" s="421">
        <f>$F$10*'Proposed Rates'!$K$251</f>
        <v>111.6</v>
      </c>
      <c r="S46" s="400">
        <f t="shared" si="57"/>
        <v>22.654800000000002</v>
      </c>
      <c r="T46" s="128"/>
      <c r="U46" s="401">
        <f t="shared" si="9"/>
        <v>0</v>
      </c>
      <c r="V46" s="402">
        <f t="shared" si="10"/>
        <v>0</v>
      </c>
      <c r="W46" s="52"/>
      <c r="X46" s="430">
        <f>VLOOKUP($B46,'Proposed Rates'!$D$248:$J$254,+X$11-2,FALSE)</f>
        <v>0.20300000000000001</v>
      </c>
      <c r="Y46" s="421">
        <f>$F$10*'Proposed Rates'!$K$251</f>
        <v>111.6</v>
      </c>
      <c r="Z46" s="400">
        <f t="shared" si="59"/>
        <v>22.654800000000002</v>
      </c>
      <c r="AA46" s="128"/>
      <c r="AB46" s="401">
        <f t="shared" si="13"/>
        <v>0</v>
      </c>
      <c r="AC46" s="402">
        <f t="shared" si="14"/>
        <v>0</v>
      </c>
      <c r="AD46" s="52"/>
      <c r="AE46" s="430">
        <f>VLOOKUP($B46,'Proposed Rates'!$D$248:$J$254,+AE$11-2,FALSE)</f>
        <v>0.20300000000000001</v>
      </c>
      <c r="AF46" s="421">
        <f>$F$10*'Proposed Rates'!$K$251</f>
        <v>111.6</v>
      </c>
      <c r="AG46" s="400">
        <f t="shared" si="61"/>
        <v>22.654800000000002</v>
      </c>
      <c r="AH46" s="128"/>
      <c r="AI46" s="401">
        <f t="shared" si="17"/>
        <v>0</v>
      </c>
      <c r="AJ46" s="402">
        <f t="shared" si="18"/>
        <v>0</v>
      </c>
      <c r="AK46" s="52"/>
      <c r="AL46" s="430">
        <f>VLOOKUP($B46,'Proposed Rates'!$D$248:$J$254,+AL$11-2,FALSE)</f>
        <v>0.20300000000000001</v>
      </c>
      <c r="AM46" s="421">
        <f>$F$10*'Proposed Rates'!$K$251</f>
        <v>111.6</v>
      </c>
      <c r="AN46" s="400">
        <f t="shared" si="63"/>
        <v>22.654800000000002</v>
      </c>
      <c r="AO46" s="128"/>
      <c r="AP46" s="401">
        <f t="shared" si="21"/>
        <v>0</v>
      </c>
      <c r="AQ46" s="402">
        <f t="shared" si="22"/>
        <v>0</v>
      </c>
      <c r="AR46" s="403"/>
      <c r="AS46" s="403"/>
      <c r="AT46" s="403"/>
      <c r="AU46" s="3"/>
      <c r="AV46" s="3"/>
      <c r="AW46" s="3"/>
      <c r="AX46" s="3"/>
      <c r="AY46" s="3"/>
      <c r="AZ46" s="3"/>
      <c r="BA46" s="3"/>
      <c r="BB46" s="3"/>
    </row>
    <row r="47" spans="1:54" ht="12.75" customHeight="1">
      <c r="A47" s="52"/>
      <c r="B47" s="320" t="s">
        <v>265</v>
      </c>
      <c r="C47" s="395" t="str">
        <f t="shared" si="51"/>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3"/>
        <v>72</v>
      </c>
      <c r="I47" s="128"/>
      <c r="J47" s="430">
        <f>VLOOKUP($B47,'Proposed Rates'!$D$248:$J$254,+J$11-2,FALSE)</f>
        <v>0.12</v>
      </c>
      <c r="K47" s="431">
        <f>IF(AND($S$2=1, $F$10&gt;=600), 600, IF(AND($S$2=1, AND($F$10&lt;600, $F$10&gt;=0)), $F$10, IF(AND($S$2=2, $F$10&gt;=1000), 1000, IF(AND($S$2=2, AND($F$10&lt;1000, $F$10&gt;=0)), $F$10))))</f>
        <v>600</v>
      </c>
      <c r="L47" s="400">
        <f t="shared" si="55"/>
        <v>72</v>
      </c>
      <c r="M47" s="128"/>
      <c r="N47" s="401">
        <f t="shared" si="36"/>
        <v>0</v>
      </c>
      <c r="O47" s="402">
        <f t="shared" si="37"/>
        <v>0</v>
      </c>
      <c r="P47" s="52"/>
      <c r="Q47" s="430">
        <f>VLOOKUP($B47,'Proposed Rates'!$D$248:$J$254,+Q$11-2,FALSE)</f>
        <v>0.12</v>
      </c>
      <c r="R47" s="431">
        <f>IF(AND($S$2=1, $F$10&gt;=600), 600, IF(AND($S$2=1, AND($F$10&lt;600, $F$10&gt;=0)), $F$10, IF(AND($S$2=2, $F$10&gt;=1000), 1000, IF(AND($S$2=2, AND($F$10&lt;1000, $F$10&gt;=0)), $F$10))))</f>
        <v>600</v>
      </c>
      <c r="S47" s="400">
        <f t="shared" si="57"/>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9"/>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61"/>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3"/>
        <v>72</v>
      </c>
      <c r="AO47" s="128"/>
      <c r="AP47" s="401">
        <f t="shared" si="21"/>
        <v>0</v>
      </c>
      <c r="AQ47" s="402">
        <f t="shared" si="22"/>
        <v>0</v>
      </c>
      <c r="AR47" s="403"/>
      <c r="AS47" s="403"/>
      <c r="AT47" s="403"/>
      <c r="AU47" s="3"/>
      <c r="AV47" s="3"/>
      <c r="AW47" s="3"/>
      <c r="AX47" s="3"/>
      <c r="AY47" s="3"/>
      <c r="AZ47" s="3"/>
      <c r="BA47" s="3"/>
      <c r="BB47" s="3"/>
    </row>
    <row r="48" spans="1:54" ht="12.75" customHeight="1">
      <c r="A48" s="52"/>
      <c r="B48" s="320" t="s">
        <v>266</v>
      </c>
      <c r="C48" s="395" t="str">
        <f t="shared" si="51"/>
        <v>Residential.Energy - RPP - Tier 2</v>
      </c>
      <c r="D48" s="396" t="s">
        <v>308</v>
      </c>
      <c r="E48" s="320"/>
      <c r="F48" s="430">
        <f>VLOOKUP($B48,'Proposed Rates'!$D$248:$J$254,+F$11-2,FALSE)</f>
        <v>0.14199999999999999</v>
      </c>
      <c r="G48" s="433">
        <f>IF(AND($S$2=1, $F$10&gt;=600), $F$10-600, IF(AND($S$2=1, AND($F$10&lt;600, $F$10&gt;=0)), 0, IF(AND($S$2=2, $F$10&gt;=1000), $F$10-1000, IF(AND($S$2=2, AND($F$10&lt;1000, $F$10&gt;=0)), 0))))</f>
        <v>20</v>
      </c>
      <c r="H48" s="400">
        <f t="shared" si="53"/>
        <v>2.84</v>
      </c>
      <c r="I48" s="128"/>
      <c r="J48" s="430">
        <f>VLOOKUP($B48,'Proposed Rates'!$D$248:$J$254,+J$11-2,FALSE)</f>
        <v>0.14199999999999999</v>
      </c>
      <c r="K48" s="433">
        <f>IF(AND($S$2=1, $F$10&gt;=600), $F$10-600, IF(AND($S$2=1, AND($F$10&lt;600, $F$10&gt;=0)), 0, IF(AND($S$2=2, $F$10&gt;=1000), $F$10-1000, IF(AND($S$2=2, AND($F$10&lt;1000, $F$10&gt;=0)), 0))))</f>
        <v>20</v>
      </c>
      <c r="L48" s="400">
        <f t="shared" si="55"/>
        <v>2.84</v>
      </c>
      <c r="M48" s="128"/>
      <c r="N48" s="401">
        <f t="shared" si="36"/>
        <v>0</v>
      </c>
      <c r="O48" s="402">
        <f t="shared" si="37"/>
        <v>0</v>
      </c>
      <c r="P48" s="52"/>
      <c r="Q48" s="430">
        <f>VLOOKUP($B48,'Proposed Rates'!$D$248:$J$254,+Q$11-2,FALSE)</f>
        <v>0.14199999999999999</v>
      </c>
      <c r="R48" s="433">
        <f>IF(AND($S$2=1, $F$10&gt;=600), $F$10-600, IF(AND($S$2=1, AND($F$10&lt;600, $F$10&gt;=0)), 0, IF(AND($S$2=2, $F$10&gt;=1000), $F$10-1000, IF(AND($S$2=2, AND($F$10&lt;1000, $F$10&gt;=0)), 0))))</f>
        <v>20</v>
      </c>
      <c r="S48" s="400">
        <f t="shared" si="57"/>
        <v>2.84</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20</v>
      </c>
      <c r="Z48" s="400">
        <f t="shared" si="59"/>
        <v>2.84</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20</v>
      </c>
      <c r="AG48" s="400">
        <f t="shared" si="61"/>
        <v>2.84</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20</v>
      </c>
      <c r="AN48" s="400">
        <f t="shared" si="63"/>
        <v>2.84</v>
      </c>
      <c r="AO48" s="128"/>
      <c r="AP48" s="401">
        <f t="shared" si="21"/>
        <v>0</v>
      </c>
      <c r="AQ48" s="402">
        <f t="shared" si="22"/>
        <v>0</v>
      </c>
      <c r="AR48" s="403"/>
      <c r="AS48" s="403"/>
      <c r="AT48" s="403"/>
      <c r="AU48" s="3"/>
      <c r="AV48" s="3"/>
      <c r="AW48" s="3"/>
      <c r="AX48" s="3"/>
      <c r="AY48" s="3"/>
      <c r="AZ48" s="3"/>
      <c r="BA48" s="3"/>
      <c r="BB48" s="3"/>
    </row>
    <row r="49" spans="1:5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03"/>
      <c r="AS49" s="403"/>
      <c r="AT49" s="403"/>
      <c r="AU49" s="3"/>
      <c r="AV49" s="3"/>
      <c r="AW49" s="3"/>
      <c r="AX49" s="3"/>
      <c r="AY49" s="3"/>
      <c r="AZ49" s="3"/>
      <c r="BA49" s="3"/>
      <c r="BB49" s="3"/>
    </row>
    <row r="50" spans="1:54" ht="12.75" customHeight="1">
      <c r="A50" s="52"/>
      <c r="B50" s="444" t="s">
        <v>315</v>
      </c>
      <c r="C50" s="320"/>
      <c r="D50" s="320"/>
      <c r="E50" s="320"/>
      <c r="F50" s="445"/>
      <c r="G50" s="489"/>
      <c r="H50" s="447">
        <f>SUM(H41:H46,H40)</f>
        <v>133.48342172000002</v>
      </c>
      <c r="I50" s="482"/>
      <c r="J50" s="445"/>
      <c r="K50" s="446"/>
      <c r="L50" s="447">
        <f>SUM(L41:L46,L40)</f>
        <v>141.70823096000001</v>
      </c>
      <c r="M50" s="449"/>
      <c r="N50" s="448">
        <f t="shared" ref="N50:N54" si="64">L50-H50</f>
        <v>8.2248092399999848</v>
      </c>
      <c r="O50" s="450">
        <f t="shared" ref="O50:O54" si="65">IF((H50)=0,"",(N50/H50))</f>
        <v>6.1616709655920136E-2</v>
      </c>
      <c r="P50" s="52"/>
      <c r="Q50" s="446"/>
      <c r="R50" s="446"/>
      <c r="S50" s="448">
        <f>SUM(S41:S46,S40)</f>
        <v>145.50223096000002</v>
      </c>
      <c r="T50" s="449"/>
      <c r="U50" s="448">
        <f t="shared" ref="U50:U54" si="66">S50-L50</f>
        <v>3.7940000000000111</v>
      </c>
      <c r="V50" s="450">
        <f t="shared" ref="V50:V54" si="67">IF((L50)=0,"",(U50/L50))</f>
        <v>2.6773321311667094E-2</v>
      </c>
      <c r="W50" s="52"/>
      <c r="X50" s="446"/>
      <c r="Y50" s="446"/>
      <c r="Z50" s="448">
        <f>SUM(Z41:Z46,Z40)</f>
        <v>149.48863679999999</v>
      </c>
      <c r="AA50" s="449"/>
      <c r="AB50" s="448">
        <f t="shared" ref="AB50:AB54" si="68">Z50-S50</f>
        <v>3.9864058399999749</v>
      </c>
      <c r="AC50" s="450">
        <f t="shared" ref="AC50:AC54" si="69">IF((S50)=0,"",(AB50/S50))</f>
        <v>2.739755819342644E-2</v>
      </c>
      <c r="AD50" s="52"/>
      <c r="AE50" s="446"/>
      <c r="AF50" s="446"/>
      <c r="AG50" s="448">
        <f>SUM(AG41:AG46,AG40)</f>
        <v>152.6086368</v>
      </c>
      <c r="AH50" s="449"/>
      <c r="AI50" s="448">
        <f t="shared" ref="AI50:AI54" si="70">AG50-Z50</f>
        <v>3.1200000000000045</v>
      </c>
      <c r="AJ50" s="450">
        <f t="shared" ref="AJ50:AJ54" si="71">IF((Z50)=0,"",(AI50/Z50))</f>
        <v>2.0871151592440001E-2</v>
      </c>
      <c r="AK50" s="52"/>
      <c r="AL50" s="446"/>
      <c r="AM50" s="446"/>
      <c r="AN50" s="448">
        <f>SUM(AN41:AN46,AN40)</f>
        <v>155.56863680000001</v>
      </c>
      <c r="AO50" s="449"/>
      <c r="AP50" s="448">
        <f t="shared" ref="AP50:AP54" si="72">AN50-AG50</f>
        <v>2.960000000000008</v>
      </c>
      <c r="AQ50" s="450">
        <f t="shared" ref="AQ50:AQ54" si="73">IF((AG50)=0,"",(AP50/AG50))</f>
        <v>1.9396018875912063E-2</v>
      </c>
      <c r="AR50" s="451"/>
      <c r="AS50" s="451"/>
      <c r="AT50" s="451"/>
      <c r="AU50" s="3"/>
      <c r="AV50" s="3"/>
      <c r="AW50" s="3"/>
      <c r="AX50" s="3"/>
      <c r="AY50" s="3"/>
      <c r="AZ50" s="3"/>
      <c r="BA50" s="3"/>
      <c r="BB50" s="3"/>
    </row>
    <row r="51" spans="1:54" ht="12.75" customHeight="1">
      <c r="A51" s="52"/>
      <c r="B51" s="452" t="s">
        <v>316</v>
      </c>
      <c r="C51" s="320"/>
      <c r="D51" s="320"/>
      <c r="E51" s="320"/>
      <c r="F51" s="445">
        <v>0.13</v>
      </c>
      <c r="G51" s="128"/>
      <c r="H51" s="490">
        <f>H50*F51</f>
        <v>17.352844823600005</v>
      </c>
      <c r="I51" s="417"/>
      <c r="J51" s="445">
        <v>0.13</v>
      </c>
      <c r="K51" s="417"/>
      <c r="L51" s="400">
        <f>L50*J51</f>
        <v>18.4220700248</v>
      </c>
      <c r="M51" s="128"/>
      <c r="N51" s="401">
        <f t="shared" si="64"/>
        <v>1.0692252011999948</v>
      </c>
      <c r="O51" s="402">
        <f t="shared" si="65"/>
        <v>6.1616709655919935E-2</v>
      </c>
      <c r="P51" s="52"/>
      <c r="Q51" s="453">
        <v>0.13</v>
      </c>
      <c r="R51" s="417"/>
      <c r="S51" s="400">
        <f>S50*Q51</f>
        <v>18.915290024800004</v>
      </c>
      <c r="T51" s="128"/>
      <c r="U51" s="401">
        <f t="shared" si="66"/>
        <v>0.49322000000000443</v>
      </c>
      <c r="V51" s="402">
        <f t="shared" si="67"/>
        <v>2.6773321311667261E-2</v>
      </c>
      <c r="W51" s="52"/>
      <c r="X51" s="453">
        <v>0.13</v>
      </c>
      <c r="Y51" s="417"/>
      <c r="Z51" s="400">
        <f>Z50*X51</f>
        <v>19.433522784000001</v>
      </c>
      <c r="AA51" s="128"/>
      <c r="AB51" s="401">
        <f t="shared" si="68"/>
        <v>0.51823275919999645</v>
      </c>
      <c r="AC51" s="402">
        <f t="shared" si="69"/>
        <v>2.7397558193426423E-2</v>
      </c>
      <c r="AD51" s="52"/>
      <c r="AE51" s="453">
        <v>0.13</v>
      </c>
      <c r="AF51" s="417"/>
      <c r="AG51" s="400">
        <f>AG50*AE51</f>
        <v>19.839122784000001</v>
      </c>
      <c r="AH51" s="128"/>
      <c r="AI51" s="401">
        <f t="shared" si="70"/>
        <v>0.40559999999999974</v>
      </c>
      <c r="AJ51" s="402">
        <f t="shared" si="71"/>
        <v>2.0871151592439952E-2</v>
      </c>
      <c r="AK51" s="52"/>
      <c r="AL51" s="453">
        <v>0.13</v>
      </c>
      <c r="AM51" s="417"/>
      <c r="AN51" s="400">
        <f>AN50*AL51</f>
        <v>20.223922784000003</v>
      </c>
      <c r="AO51" s="128"/>
      <c r="AP51" s="401">
        <f t="shared" si="72"/>
        <v>0.38480000000000203</v>
      </c>
      <c r="AQ51" s="402">
        <f t="shared" si="73"/>
        <v>1.9396018875912111E-2</v>
      </c>
      <c r="AR51" s="403"/>
      <c r="AS51" s="403"/>
      <c r="AT51" s="403"/>
      <c r="AU51" s="3"/>
      <c r="AV51" s="3"/>
      <c r="AW51" s="3"/>
      <c r="AX51" s="3"/>
      <c r="AY51" s="3"/>
      <c r="AZ51" s="3"/>
      <c r="BA51" s="3"/>
      <c r="BB51" s="3"/>
    </row>
    <row r="52" spans="1:54" ht="12.75" customHeight="1">
      <c r="A52" s="52"/>
      <c r="B52" s="491" t="s">
        <v>345</v>
      </c>
      <c r="C52" s="320"/>
      <c r="D52" s="320"/>
      <c r="E52" s="320"/>
      <c r="F52" s="455"/>
      <c r="G52" s="128"/>
      <c r="H52" s="490">
        <f>H50+H51</f>
        <v>150.83626654360003</v>
      </c>
      <c r="I52" s="417"/>
      <c r="J52" s="455"/>
      <c r="K52" s="417"/>
      <c r="L52" s="400">
        <f>L50+L51</f>
        <v>160.13030098480002</v>
      </c>
      <c r="M52" s="128"/>
      <c r="N52" s="401">
        <f t="shared" si="64"/>
        <v>9.2940344411999831</v>
      </c>
      <c r="O52" s="402">
        <f t="shared" si="65"/>
        <v>6.1616709655920136E-2</v>
      </c>
      <c r="P52" s="52"/>
      <c r="Q52" s="417"/>
      <c r="R52" s="417"/>
      <c r="S52" s="400">
        <f>S50+S51</f>
        <v>164.41752098480003</v>
      </c>
      <c r="T52" s="128"/>
      <c r="U52" s="401">
        <f t="shared" si="66"/>
        <v>4.2872200000000191</v>
      </c>
      <c r="V52" s="402">
        <f t="shared" si="67"/>
        <v>2.6773321311667136E-2</v>
      </c>
      <c r="W52" s="52"/>
      <c r="X52" s="417"/>
      <c r="Y52" s="417"/>
      <c r="Z52" s="400">
        <f>Z50+Z51</f>
        <v>168.92215958399998</v>
      </c>
      <c r="AA52" s="128"/>
      <c r="AB52" s="401">
        <f t="shared" si="68"/>
        <v>4.50463859919995</v>
      </c>
      <c r="AC52" s="402">
        <f t="shared" si="69"/>
        <v>2.7397558193426309E-2</v>
      </c>
      <c r="AD52" s="52"/>
      <c r="AE52" s="417"/>
      <c r="AF52" s="417"/>
      <c r="AG52" s="400">
        <f>AG50+AG51</f>
        <v>172.44775958400001</v>
      </c>
      <c r="AH52" s="128"/>
      <c r="AI52" s="401">
        <f t="shared" si="70"/>
        <v>3.5256000000000256</v>
      </c>
      <c r="AJ52" s="402">
        <f t="shared" si="71"/>
        <v>2.0871151592440122E-2</v>
      </c>
      <c r="AK52" s="52"/>
      <c r="AL52" s="417"/>
      <c r="AM52" s="417"/>
      <c r="AN52" s="400">
        <f>AN50+AN51</f>
        <v>175.792559584</v>
      </c>
      <c r="AO52" s="128"/>
      <c r="AP52" s="401">
        <f t="shared" si="72"/>
        <v>3.3447999999999922</v>
      </c>
      <c r="AQ52" s="402">
        <f t="shared" si="73"/>
        <v>1.9396018875911962E-2</v>
      </c>
      <c r="AR52" s="403"/>
      <c r="AS52" s="403"/>
      <c r="AT52" s="403"/>
      <c r="AU52" s="3"/>
      <c r="AV52" s="3"/>
      <c r="AW52" s="3"/>
      <c r="AX52" s="3"/>
      <c r="AY52" s="3"/>
      <c r="AZ52" s="3"/>
      <c r="BA52" s="3"/>
      <c r="BB52" s="3"/>
    </row>
    <row r="53" spans="1:54" ht="15.75" customHeight="1">
      <c r="A53" s="52"/>
      <c r="B53" s="628" t="s">
        <v>273</v>
      </c>
      <c r="C53" s="615"/>
      <c r="D53" s="615"/>
      <c r="E53" s="320"/>
      <c r="F53" s="456">
        <f>'Proposed Rates'!E286</f>
        <v>0.23499999999999999</v>
      </c>
      <c r="G53" s="128"/>
      <c r="H53" s="492">
        <f>F53*H50</f>
        <v>31.368604104200003</v>
      </c>
      <c r="I53" s="417"/>
      <c r="J53" s="456">
        <f>'Proposed Rates'!F286</f>
        <v>0.23499999999999999</v>
      </c>
      <c r="K53" s="417"/>
      <c r="L53" s="457">
        <f>J53*L50</f>
        <v>33.301434275600002</v>
      </c>
      <c r="M53" s="128"/>
      <c r="N53" s="457">
        <f t="shared" si="64"/>
        <v>1.9328301713999991</v>
      </c>
      <c r="O53" s="459">
        <f t="shared" si="65"/>
        <v>6.1616709655920227E-2</v>
      </c>
      <c r="P53" s="52"/>
      <c r="Q53" s="458">
        <f>'Proposed Rates'!G286</f>
        <v>0.23499999999999999</v>
      </c>
      <c r="R53" s="417"/>
      <c r="S53" s="457">
        <f>Q53*S50</f>
        <v>34.193024275600003</v>
      </c>
      <c r="T53" s="128"/>
      <c r="U53" s="457">
        <f t="shared" si="66"/>
        <v>0.89159000000000077</v>
      </c>
      <c r="V53" s="459">
        <f t="shared" si="67"/>
        <v>2.6773321311667039E-2</v>
      </c>
      <c r="W53" s="52"/>
      <c r="X53" s="458">
        <f>'Proposed Rates'!H286</f>
        <v>0.23499999999999999</v>
      </c>
      <c r="Y53" s="417"/>
      <c r="Z53" s="457">
        <f>X53*Z50</f>
        <v>35.129829647999998</v>
      </c>
      <c r="AA53" s="128"/>
      <c r="AB53" s="457">
        <f t="shared" si="68"/>
        <v>0.93680537239999495</v>
      </c>
      <c r="AC53" s="459">
        <f t="shared" si="69"/>
        <v>2.7397558193426468E-2</v>
      </c>
      <c r="AD53" s="52"/>
      <c r="AE53" s="458">
        <f>'Proposed Rates'!I286</f>
        <v>0.23499999999999999</v>
      </c>
      <c r="AF53" s="417"/>
      <c r="AG53" s="457">
        <f>AE53*AG50</f>
        <v>35.863029648000001</v>
      </c>
      <c r="AH53" s="128"/>
      <c r="AI53" s="457">
        <f t="shared" si="70"/>
        <v>0.73320000000000363</v>
      </c>
      <c r="AJ53" s="459">
        <f t="shared" si="71"/>
        <v>2.0871151592440074E-2</v>
      </c>
      <c r="AK53" s="52"/>
      <c r="AL53" s="458">
        <f>'Proposed Rates'!J286</f>
        <v>0.23499999999999999</v>
      </c>
      <c r="AM53" s="417"/>
      <c r="AN53" s="457">
        <f>AL53*AN50</f>
        <v>36.558629648</v>
      </c>
      <c r="AO53" s="128"/>
      <c r="AP53" s="457">
        <f t="shared" si="72"/>
        <v>0.69559999999999889</v>
      </c>
      <c r="AQ53" s="459">
        <f t="shared" si="73"/>
        <v>1.9396018875911976E-2</v>
      </c>
      <c r="AR53" s="460"/>
      <c r="AS53" s="460"/>
      <c r="AT53" s="460"/>
      <c r="AU53" s="3"/>
      <c r="AV53" s="3"/>
      <c r="AW53" s="3"/>
      <c r="AX53" s="3"/>
      <c r="AY53" s="3"/>
      <c r="AZ53" s="3"/>
      <c r="BA53" s="3"/>
      <c r="BB53" s="3"/>
    </row>
    <row r="54" spans="1:54" ht="12.75" customHeight="1">
      <c r="A54" s="52"/>
      <c r="B54" s="627" t="s">
        <v>318</v>
      </c>
      <c r="C54" s="613"/>
      <c r="D54" s="613"/>
      <c r="E54" s="461"/>
      <c r="F54" s="462"/>
      <c r="G54" s="493"/>
      <c r="H54" s="494">
        <f>H52-H53</f>
        <v>119.46766243940003</v>
      </c>
      <c r="I54" s="463"/>
      <c r="J54" s="462"/>
      <c r="K54" s="463"/>
      <c r="L54" s="464">
        <f>L52-L53</f>
        <v>126.82886670920001</v>
      </c>
      <c r="M54" s="465"/>
      <c r="N54" s="466">
        <f t="shared" si="64"/>
        <v>7.361204269799984</v>
      </c>
      <c r="O54" s="467">
        <f t="shared" si="65"/>
        <v>6.1616709655920109E-2</v>
      </c>
      <c r="P54" s="52"/>
      <c r="Q54" s="463"/>
      <c r="R54" s="463"/>
      <c r="S54" s="464">
        <f>S52-S53</f>
        <v>130.22449670920003</v>
      </c>
      <c r="T54" s="465"/>
      <c r="U54" s="466">
        <f t="shared" si="66"/>
        <v>3.3956300000000113</v>
      </c>
      <c r="V54" s="467">
        <f t="shared" si="67"/>
        <v>2.6773321311667105E-2</v>
      </c>
      <c r="W54" s="52"/>
      <c r="X54" s="463"/>
      <c r="Y54" s="463"/>
      <c r="Z54" s="464">
        <f>Z52-Z53</f>
        <v>133.79232993599999</v>
      </c>
      <c r="AA54" s="465"/>
      <c r="AB54" s="466">
        <f t="shared" si="68"/>
        <v>3.5678332267999622</v>
      </c>
      <c r="AC54" s="467">
        <f t="shared" si="69"/>
        <v>2.7397558193426323E-2</v>
      </c>
      <c r="AD54" s="52"/>
      <c r="AE54" s="463"/>
      <c r="AF54" s="463"/>
      <c r="AG54" s="464">
        <f>AG52-AG53</f>
        <v>136.584729936</v>
      </c>
      <c r="AH54" s="465"/>
      <c r="AI54" s="466">
        <f t="shared" si="70"/>
        <v>2.7924000000000149</v>
      </c>
      <c r="AJ54" s="467">
        <f t="shared" si="71"/>
        <v>2.0871151592440081E-2</v>
      </c>
      <c r="AK54" s="52"/>
      <c r="AL54" s="463"/>
      <c r="AM54" s="463"/>
      <c r="AN54" s="464">
        <f>AN52-AN53</f>
        <v>139.23392993600001</v>
      </c>
      <c r="AO54" s="465"/>
      <c r="AP54" s="466">
        <f t="shared" si="72"/>
        <v>2.6492000000000075</v>
      </c>
      <c r="AQ54" s="467">
        <f t="shared" si="73"/>
        <v>1.9396018875912063E-2</v>
      </c>
      <c r="AR54" s="451"/>
      <c r="AS54" s="451"/>
      <c r="AT54" s="451"/>
      <c r="AU54" s="3"/>
      <c r="AV54" s="3"/>
      <c r="AW54" s="3"/>
      <c r="AX54" s="3"/>
      <c r="AY54" s="3"/>
      <c r="AZ54" s="3"/>
      <c r="BA54" s="3"/>
      <c r="BB54" s="3"/>
    </row>
    <row r="55" spans="1:5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03"/>
      <c r="AS55" s="403"/>
      <c r="AT55" s="403"/>
      <c r="AU55" s="3"/>
      <c r="AV55" s="3"/>
      <c r="AW55" s="3"/>
      <c r="AX55" s="3"/>
      <c r="AY55" s="3"/>
      <c r="AZ55" s="3"/>
      <c r="BA55" s="3"/>
      <c r="BB55" s="3"/>
    </row>
    <row r="56" spans="1:54" ht="12.75" customHeight="1">
      <c r="A56" s="52"/>
      <c r="B56" s="444" t="s">
        <v>319</v>
      </c>
      <c r="C56" s="320"/>
      <c r="D56" s="320"/>
      <c r="E56" s="320"/>
      <c r="F56" s="445"/>
      <c r="G56" s="489"/>
      <c r="H56" s="447">
        <f>SUM(H47:H48,H40,H41:H43)</f>
        <v>129.26102172</v>
      </c>
      <c r="I56" s="482"/>
      <c r="J56" s="445"/>
      <c r="K56" s="446"/>
      <c r="L56" s="447">
        <f>SUM(L47:L48,L40,L41:L43)</f>
        <v>137.48583096000002</v>
      </c>
      <c r="M56" s="449"/>
      <c r="N56" s="448">
        <f t="shared" ref="N56:N60" si="74">L56-H56</f>
        <v>8.2248092400000132</v>
      </c>
      <c r="O56" s="450">
        <f t="shared" ref="O56:O60" si="75">IF((H56)=0,"",(N56/H56))</f>
        <v>6.3629461770898441E-2</v>
      </c>
      <c r="P56" s="52"/>
      <c r="Q56" s="446"/>
      <c r="R56" s="446"/>
      <c r="S56" s="448">
        <f>SUM(S47:S48,S40,S41:S43)</f>
        <v>141.27983096000003</v>
      </c>
      <c r="T56" s="449"/>
      <c r="U56" s="448">
        <f t="shared" ref="U56:U60" si="76">S56-L56</f>
        <v>3.7940000000000111</v>
      </c>
      <c r="V56" s="450">
        <f t="shared" ref="V56:V60" si="77">IF((L56)=0,"",(U56/L56))</f>
        <v>2.7595570929078748E-2</v>
      </c>
      <c r="W56" s="52"/>
      <c r="X56" s="446"/>
      <c r="Y56" s="446"/>
      <c r="Z56" s="448">
        <f>SUM(Z47:Z48,Z40,Z41:Z43)</f>
        <v>145.26623680000003</v>
      </c>
      <c r="AA56" s="449"/>
      <c r="AB56" s="448">
        <f t="shared" ref="AB56:AB60" si="78">Z56-S56</f>
        <v>3.9864058400000033</v>
      </c>
      <c r="AC56" s="450">
        <f t="shared" ref="AC56:AC60" si="79">IF((S56)=0,"",(AB56/S56))</f>
        <v>2.821638313772231E-2</v>
      </c>
      <c r="AD56" s="52"/>
      <c r="AE56" s="446"/>
      <c r="AF56" s="446"/>
      <c r="AG56" s="448">
        <f>SUM(AG47:AG48,AG40,AG41:AG43)</f>
        <v>148.38623680000001</v>
      </c>
      <c r="AH56" s="449"/>
      <c r="AI56" s="448">
        <f t="shared" ref="AI56:AI60" si="80">AG56-Z56</f>
        <v>3.1199999999999761</v>
      </c>
      <c r="AJ56" s="450">
        <f t="shared" ref="AJ56:AJ60" si="81">IF((Z56)=0,"",(AI56/Z56))</f>
        <v>2.1477805639692701E-2</v>
      </c>
      <c r="AK56" s="52"/>
      <c r="AL56" s="446"/>
      <c r="AM56" s="446"/>
      <c r="AN56" s="448">
        <f>SUM(AN47:AN48,AN40,AN41:AN43)</f>
        <v>151.34623680000001</v>
      </c>
      <c r="AO56" s="449"/>
      <c r="AP56" s="448">
        <f t="shared" ref="AP56:AP60" si="82">AN56-AG56</f>
        <v>2.960000000000008</v>
      </c>
      <c r="AQ56" s="450">
        <f t="shared" ref="AQ56:AQ60" si="83">IF((AG56)=0,"",(AP56/AG56))</f>
        <v>1.9947941694819015E-2</v>
      </c>
      <c r="AR56" s="451"/>
      <c r="AS56" s="451"/>
      <c r="AT56" s="451"/>
      <c r="AU56" s="3"/>
      <c r="AV56" s="3"/>
      <c r="AW56" s="3"/>
      <c r="AX56" s="3"/>
      <c r="AY56" s="3"/>
      <c r="AZ56" s="3"/>
      <c r="BA56" s="3"/>
      <c r="BB56" s="3"/>
    </row>
    <row r="57" spans="1:54" ht="12.75" customHeight="1">
      <c r="A57" s="52"/>
      <c r="B57" s="452" t="s">
        <v>316</v>
      </c>
      <c r="C57" s="320"/>
      <c r="D57" s="320"/>
      <c r="E57" s="320"/>
      <c r="F57" s="445">
        <v>0.13</v>
      </c>
      <c r="G57" s="489"/>
      <c r="H57" s="490">
        <f>H56*F57</f>
        <v>16.8039328236</v>
      </c>
      <c r="I57" s="417"/>
      <c r="J57" s="445">
        <v>0.13</v>
      </c>
      <c r="K57" s="453"/>
      <c r="L57" s="400">
        <f>L56*J57</f>
        <v>17.873158024800002</v>
      </c>
      <c r="M57" s="128"/>
      <c r="N57" s="401">
        <f t="shared" si="74"/>
        <v>1.0692252012000019</v>
      </c>
      <c r="O57" s="402">
        <f t="shared" si="75"/>
        <v>6.3629461770898454E-2</v>
      </c>
      <c r="P57" s="52"/>
      <c r="Q57" s="445">
        <v>0.13</v>
      </c>
      <c r="R57" s="453"/>
      <c r="S57" s="400">
        <f>S56*Q57</f>
        <v>18.366378024800003</v>
      </c>
      <c r="T57" s="128"/>
      <c r="U57" s="401">
        <f t="shared" si="76"/>
        <v>0.49322000000000088</v>
      </c>
      <c r="V57" s="402">
        <f t="shared" si="77"/>
        <v>2.7595570929078713E-2</v>
      </c>
      <c r="W57" s="52"/>
      <c r="X57" s="445">
        <v>0.13</v>
      </c>
      <c r="Y57" s="453"/>
      <c r="Z57" s="400">
        <f>Z56*X57</f>
        <v>18.884610784000003</v>
      </c>
      <c r="AA57" s="128"/>
      <c r="AB57" s="401">
        <f t="shared" si="78"/>
        <v>0.5182327592</v>
      </c>
      <c r="AC57" s="402">
        <f t="shared" si="79"/>
        <v>2.821638313772229E-2</v>
      </c>
      <c r="AD57" s="52"/>
      <c r="AE57" s="445">
        <v>0.13</v>
      </c>
      <c r="AF57" s="453"/>
      <c r="AG57" s="400">
        <f>AG56*AE57</f>
        <v>19.290210784000003</v>
      </c>
      <c r="AH57" s="128"/>
      <c r="AI57" s="401">
        <f t="shared" si="80"/>
        <v>0.40559999999999974</v>
      </c>
      <c r="AJ57" s="402">
        <f t="shared" si="81"/>
        <v>2.1477805639692853E-2</v>
      </c>
      <c r="AK57" s="52"/>
      <c r="AL57" s="445">
        <v>0.13</v>
      </c>
      <c r="AM57" s="453"/>
      <c r="AN57" s="400">
        <f>AN56*AL57</f>
        <v>19.675010784000001</v>
      </c>
      <c r="AO57" s="128"/>
      <c r="AP57" s="401">
        <f t="shared" si="82"/>
        <v>0.38479999999999848</v>
      </c>
      <c r="AQ57" s="402">
        <f t="shared" si="83"/>
        <v>1.994794169481888E-2</v>
      </c>
      <c r="AR57" s="403"/>
      <c r="AS57" s="403"/>
      <c r="AT57" s="403"/>
      <c r="AU57" s="3"/>
      <c r="AV57" s="3"/>
      <c r="AW57" s="3"/>
      <c r="AX57" s="3"/>
      <c r="AY57" s="3"/>
      <c r="AZ57" s="3"/>
      <c r="BA57" s="3"/>
      <c r="BB57" s="3"/>
    </row>
    <row r="58" spans="1:54" ht="12.75" customHeight="1">
      <c r="A58" s="52"/>
      <c r="B58" s="491" t="s">
        <v>346</v>
      </c>
      <c r="C58" s="320"/>
      <c r="D58" s="320"/>
      <c r="E58" s="320"/>
      <c r="F58" s="455"/>
      <c r="G58" s="128"/>
      <c r="H58" s="490">
        <f>H56+H57</f>
        <v>146.06495454360001</v>
      </c>
      <c r="I58" s="417"/>
      <c r="J58" s="455"/>
      <c r="K58" s="417"/>
      <c r="L58" s="400">
        <f>L56+L57</f>
        <v>155.35898898480002</v>
      </c>
      <c r="M58" s="128"/>
      <c r="N58" s="401">
        <f t="shared" si="74"/>
        <v>9.2940344412000115</v>
      </c>
      <c r="O58" s="402">
        <f t="shared" si="75"/>
        <v>6.3629461770898413E-2</v>
      </c>
      <c r="P58" s="52"/>
      <c r="Q58" s="417"/>
      <c r="R58" s="417"/>
      <c r="S58" s="400">
        <f>S56+S57</f>
        <v>159.64620898480004</v>
      </c>
      <c r="T58" s="128"/>
      <c r="U58" s="401">
        <f t="shared" si="76"/>
        <v>4.2872200000000191</v>
      </c>
      <c r="V58" s="402">
        <f t="shared" si="77"/>
        <v>2.7595570929078789E-2</v>
      </c>
      <c r="W58" s="52"/>
      <c r="X58" s="417"/>
      <c r="Y58" s="417"/>
      <c r="Z58" s="400">
        <f>Z56+Z57</f>
        <v>164.15084758400002</v>
      </c>
      <c r="AA58" s="128"/>
      <c r="AB58" s="401">
        <f t="shared" si="78"/>
        <v>4.5046385991999784</v>
      </c>
      <c r="AC58" s="402">
        <f t="shared" si="79"/>
        <v>2.8216383137722151E-2</v>
      </c>
      <c r="AD58" s="52"/>
      <c r="AE58" s="417"/>
      <c r="AF58" s="417"/>
      <c r="AG58" s="400">
        <f>AG56+AG57</f>
        <v>167.67644758400002</v>
      </c>
      <c r="AH58" s="128"/>
      <c r="AI58" s="401">
        <f t="shared" si="80"/>
        <v>3.5255999999999972</v>
      </c>
      <c r="AJ58" s="402">
        <f t="shared" si="81"/>
        <v>2.147780563969285E-2</v>
      </c>
      <c r="AK58" s="52"/>
      <c r="AL58" s="417"/>
      <c r="AM58" s="417"/>
      <c r="AN58" s="400">
        <f>AN56+AN57</f>
        <v>171.02124758400001</v>
      </c>
      <c r="AO58" s="128"/>
      <c r="AP58" s="401">
        <f t="shared" si="82"/>
        <v>3.3447999999999922</v>
      </c>
      <c r="AQ58" s="402">
        <f t="shared" si="83"/>
        <v>1.9947941694818914E-2</v>
      </c>
      <c r="AR58" s="403"/>
      <c r="AS58" s="403"/>
      <c r="AT58" s="403"/>
      <c r="AU58" s="3"/>
      <c r="AV58" s="3"/>
      <c r="AW58" s="3"/>
      <c r="AX58" s="3"/>
      <c r="AY58" s="3"/>
      <c r="AZ58" s="3"/>
      <c r="BA58" s="3"/>
      <c r="BB58" s="3"/>
    </row>
    <row r="59" spans="1:54" ht="15.75" customHeight="1">
      <c r="A59" s="52"/>
      <c r="B59" s="628" t="s">
        <v>273</v>
      </c>
      <c r="C59" s="615"/>
      <c r="D59" s="615"/>
      <c r="E59" s="320"/>
      <c r="F59" s="456">
        <f>F53</f>
        <v>0.23499999999999999</v>
      </c>
      <c r="G59" s="128"/>
      <c r="H59" s="492">
        <f>F59*H56</f>
        <v>30.376340104200001</v>
      </c>
      <c r="I59" s="417"/>
      <c r="J59" s="456">
        <f>J53</f>
        <v>0.23499999999999999</v>
      </c>
      <c r="K59" s="417"/>
      <c r="L59" s="457">
        <f>J59*L56</f>
        <v>32.309170275600003</v>
      </c>
      <c r="M59" s="128"/>
      <c r="N59" s="457">
        <f t="shared" si="74"/>
        <v>1.9328301714000027</v>
      </c>
      <c r="O59" s="459">
        <f t="shared" si="75"/>
        <v>6.3629461770898427E-2</v>
      </c>
      <c r="P59" s="52"/>
      <c r="Q59" s="458">
        <f>Q53</f>
        <v>0.23499999999999999</v>
      </c>
      <c r="R59" s="417"/>
      <c r="S59" s="457">
        <f>Q59*S56</f>
        <v>33.200760275600004</v>
      </c>
      <c r="T59" s="128"/>
      <c r="U59" s="457">
        <f t="shared" si="76"/>
        <v>0.89159000000000077</v>
      </c>
      <c r="V59" s="459">
        <f t="shared" si="77"/>
        <v>2.7595570929078689E-2</v>
      </c>
      <c r="W59" s="52"/>
      <c r="X59" s="458">
        <f>X53</f>
        <v>0.23499999999999999</v>
      </c>
      <c r="Y59" s="417"/>
      <c r="Z59" s="457">
        <f>X59*Z56</f>
        <v>34.137565648000006</v>
      </c>
      <c r="AA59" s="128"/>
      <c r="AB59" s="457">
        <f t="shared" si="78"/>
        <v>0.93680537240000206</v>
      </c>
      <c r="AC59" s="459">
        <f t="shared" si="79"/>
        <v>2.8216383137722352E-2</v>
      </c>
      <c r="AD59" s="52"/>
      <c r="AE59" s="458">
        <f>AE53</f>
        <v>0.23499999999999999</v>
      </c>
      <c r="AF59" s="417"/>
      <c r="AG59" s="457">
        <f>AE59*AG56</f>
        <v>34.870765648000003</v>
      </c>
      <c r="AH59" s="128"/>
      <c r="AI59" s="457">
        <f t="shared" si="80"/>
        <v>0.73319999999999652</v>
      </c>
      <c r="AJ59" s="459">
        <f t="shared" si="81"/>
        <v>2.1477805639692763E-2</v>
      </c>
      <c r="AK59" s="52"/>
      <c r="AL59" s="458">
        <f>AL53</f>
        <v>0.23499999999999999</v>
      </c>
      <c r="AM59" s="417"/>
      <c r="AN59" s="457">
        <f>AL59*AN56</f>
        <v>35.566365648000001</v>
      </c>
      <c r="AO59" s="128"/>
      <c r="AP59" s="457">
        <f t="shared" si="82"/>
        <v>0.69559999999999889</v>
      </c>
      <c r="AQ59" s="459">
        <f t="shared" si="83"/>
        <v>1.9947941694818928E-2</v>
      </c>
      <c r="AR59" s="460"/>
      <c r="AS59" s="460"/>
      <c r="AT59" s="460"/>
      <c r="AU59" s="3"/>
      <c r="AV59" s="3"/>
      <c r="AW59" s="3"/>
      <c r="AX59" s="3"/>
      <c r="AY59" s="3"/>
      <c r="AZ59" s="3"/>
      <c r="BA59" s="3"/>
      <c r="BB59" s="3"/>
    </row>
    <row r="60" spans="1:54" ht="12.75" customHeight="1">
      <c r="A60" s="52"/>
      <c r="B60" s="627" t="s">
        <v>321</v>
      </c>
      <c r="C60" s="613"/>
      <c r="D60" s="613"/>
      <c r="E60" s="461"/>
      <c r="F60" s="469"/>
      <c r="G60" s="495"/>
      <c r="H60" s="496">
        <f>H58-H59</f>
        <v>115.68861443940001</v>
      </c>
      <c r="I60" s="470"/>
      <c r="J60" s="469"/>
      <c r="K60" s="470"/>
      <c r="L60" s="471">
        <f>L58-L59</f>
        <v>123.04981870920003</v>
      </c>
      <c r="M60" s="472"/>
      <c r="N60" s="473">
        <f t="shared" si="74"/>
        <v>7.3612042698000124</v>
      </c>
      <c r="O60" s="474">
        <f t="shared" si="75"/>
        <v>6.3629461770898441E-2</v>
      </c>
      <c r="P60" s="52"/>
      <c r="Q60" s="470"/>
      <c r="R60" s="470"/>
      <c r="S60" s="471">
        <f>S58-S59</f>
        <v>126.44544870920004</v>
      </c>
      <c r="T60" s="472"/>
      <c r="U60" s="473">
        <f t="shared" si="76"/>
        <v>3.3956300000000113</v>
      </c>
      <c r="V60" s="474">
        <f t="shared" si="77"/>
        <v>2.7595570929078755E-2</v>
      </c>
      <c r="W60" s="52"/>
      <c r="X60" s="470"/>
      <c r="Y60" s="470"/>
      <c r="Z60" s="471">
        <f>Z58-Z59</f>
        <v>130.013281936</v>
      </c>
      <c r="AA60" s="472"/>
      <c r="AB60" s="473">
        <f t="shared" si="78"/>
        <v>3.5678332267999622</v>
      </c>
      <c r="AC60" s="474">
        <f t="shared" si="79"/>
        <v>2.8216383137721988E-2</v>
      </c>
      <c r="AD60" s="52"/>
      <c r="AE60" s="470"/>
      <c r="AF60" s="470"/>
      <c r="AG60" s="471">
        <f>AG58-AG59</f>
        <v>132.80568193600001</v>
      </c>
      <c r="AH60" s="472"/>
      <c r="AI60" s="473">
        <f t="shared" si="80"/>
        <v>2.7924000000000149</v>
      </c>
      <c r="AJ60" s="474">
        <f t="shared" si="81"/>
        <v>2.1477805639692985E-2</v>
      </c>
      <c r="AK60" s="52"/>
      <c r="AL60" s="470"/>
      <c r="AM60" s="470"/>
      <c r="AN60" s="471">
        <f>AN58-AN59</f>
        <v>135.45488193599999</v>
      </c>
      <c r="AO60" s="472"/>
      <c r="AP60" s="473">
        <f t="shared" si="82"/>
        <v>2.6491999999999791</v>
      </c>
      <c r="AQ60" s="474">
        <f t="shared" si="83"/>
        <v>1.9947941694818803E-2</v>
      </c>
      <c r="AR60" s="451"/>
      <c r="AS60" s="451"/>
      <c r="AT60" s="451"/>
      <c r="AU60" s="3"/>
      <c r="AV60" s="3"/>
      <c r="AW60" s="3"/>
      <c r="AX60" s="3"/>
      <c r="AY60" s="3"/>
      <c r="AZ60" s="3"/>
      <c r="BA60" s="3"/>
      <c r="BB60" s="3"/>
    </row>
    <row r="61" spans="1:5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03"/>
      <c r="AS61" s="403"/>
      <c r="AT61" s="403"/>
      <c r="AU61" s="3"/>
      <c r="AV61" s="3"/>
      <c r="AW61" s="3"/>
      <c r="AX61" s="3"/>
      <c r="AY61" s="3"/>
      <c r="AZ61" s="3"/>
      <c r="BA61" s="3"/>
      <c r="BB61" s="3"/>
    </row>
    <row r="62" spans="1:5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c r="AS62" s="52"/>
      <c r="AT62" s="52"/>
      <c r="AU62" s="3"/>
      <c r="AV62" s="3"/>
      <c r="AW62" s="3"/>
      <c r="AX62" s="3"/>
      <c r="AY62" s="3"/>
      <c r="AZ62" s="3"/>
      <c r="BA62" s="3"/>
      <c r="BB62" s="3"/>
    </row>
    <row r="63" spans="1:5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c r="AS63" s="52"/>
      <c r="AT63" s="52"/>
      <c r="AU63" s="3"/>
      <c r="AV63" s="3"/>
      <c r="AW63" s="3"/>
      <c r="AX63" s="3"/>
      <c r="AY63" s="3"/>
      <c r="AZ63" s="3"/>
      <c r="BA63" s="3"/>
      <c r="BB63" s="3"/>
    </row>
    <row r="64" spans="1:5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3"/>
      <c r="AV64" s="3"/>
      <c r="AW64" s="3"/>
      <c r="AX64" s="3"/>
      <c r="AY64" s="3"/>
      <c r="AZ64" s="3"/>
      <c r="BA64" s="3"/>
      <c r="BB64" s="3"/>
    </row>
    <row r="65" spans="1:54" ht="15.75" customHeight="1">
      <c r="A65" s="479" t="s">
        <v>347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3"/>
      <c r="AV65" s="3"/>
      <c r="AW65" s="3"/>
      <c r="AX65" s="3"/>
      <c r="AY65" s="3"/>
      <c r="AZ65" s="3"/>
      <c r="BA65" s="3"/>
      <c r="BB65" s="3"/>
    </row>
    <row r="66" spans="1:5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3"/>
      <c r="AV66" s="3"/>
      <c r="AW66" s="3"/>
      <c r="AX66" s="3"/>
      <c r="AY66" s="3"/>
      <c r="AZ66" s="3"/>
      <c r="BA66" s="3"/>
      <c r="BB66" s="3"/>
    </row>
    <row r="67" spans="1:5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3"/>
      <c r="AV67" s="3"/>
      <c r="AW67" s="3"/>
      <c r="AX67" s="3"/>
      <c r="AY67" s="3"/>
      <c r="AZ67" s="3"/>
      <c r="BA67" s="3"/>
      <c r="BB67" s="3"/>
    </row>
    <row r="68" spans="1:5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3"/>
      <c r="AV68" s="3"/>
      <c r="AW68" s="3"/>
      <c r="AX68" s="3"/>
      <c r="AY68" s="3"/>
      <c r="AZ68" s="3"/>
      <c r="BA68" s="3"/>
      <c r="BB68" s="3"/>
    </row>
    <row r="69" spans="1:5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3"/>
      <c r="AV69" s="3"/>
      <c r="AW69" s="3"/>
      <c r="AX69" s="3"/>
      <c r="AY69" s="3"/>
      <c r="AZ69" s="3"/>
      <c r="BA69" s="3"/>
      <c r="BB69" s="3"/>
    </row>
    <row r="70" spans="1:5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3"/>
      <c r="AV70" s="3"/>
      <c r="AW70" s="3"/>
      <c r="AX70" s="3"/>
      <c r="AY70" s="3"/>
      <c r="AZ70" s="3"/>
      <c r="BA70" s="3"/>
      <c r="BB70" s="3"/>
    </row>
    <row r="71" spans="1:5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3"/>
      <c r="AV71" s="3"/>
      <c r="AW71" s="3"/>
      <c r="AX71" s="3"/>
      <c r="AY71" s="3"/>
      <c r="AZ71" s="3"/>
      <c r="BA71" s="3"/>
      <c r="BB71" s="3"/>
    </row>
    <row r="72" spans="1:5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3"/>
      <c r="AV72" s="3"/>
      <c r="AW72" s="3"/>
      <c r="AX72" s="3"/>
      <c r="AY72" s="3"/>
      <c r="AZ72" s="3"/>
      <c r="BA72" s="3"/>
      <c r="BB72" s="3"/>
    </row>
    <row r="73" spans="1:5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3"/>
      <c r="AV73" s="3"/>
      <c r="AW73" s="3"/>
      <c r="AX73" s="3"/>
      <c r="AY73" s="3"/>
      <c r="AZ73" s="3"/>
      <c r="BA73" s="3"/>
      <c r="BB73" s="3"/>
    </row>
    <row r="74" spans="1:5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3"/>
      <c r="AV74" s="3"/>
      <c r="AW74" s="3"/>
      <c r="AX74" s="3"/>
      <c r="AY74" s="3"/>
      <c r="AZ74" s="3"/>
      <c r="BA74" s="3"/>
      <c r="BB74" s="3"/>
    </row>
    <row r="75" spans="1:5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3"/>
      <c r="AV75" s="3"/>
      <c r="AW75" s="3"/>
      <c r="AX75" s="3"/>
      <c r="AY75" s="3"/>
      <c r="AZ75" s="3"/>
      <c r="BA75" s="3"/>
      <c r="BB75" s="3"/>
    </row>
    <row r="76" spans="1:5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3"/>
      <c r="AV76" s="3"/>
      <c r="AW76" s="3"/>
      <c r="AX76" s="3"/>
      <c r="AY76" s="3"/>
      <c r="AZ76" s="3"/>
      <c r="BA76" s="3"/>
      <c r="BB76" s="3"/>
    </row>
    <row r="77" spans="1:5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3"/>
      <c r="AV77" s="3"/>
      <c r="AW77" s="3"/>
      <c r="AX77" s="3"/>
      <c r="AY77" s="3"/>
      <c r="AZ77" s="3"/>
      <c r="BA77" s="3"/>
      <c r="BB77" s="3"/>
    </row>
    <row r="78" spans="1:5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3"/>
      <c r="AV78" s="3"/>
      <c r="AW78" s="3"/>
      <c r="AX78" s="3"/>
      <c r="AY78" s="3"/>
      <c r="AZ78" s="3"/>
      <c r="BA78" s="3"/>
      <c r="BB78" s="3"/>
    </row>
    <row r="79" spans="1:5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3"/>
      <c r="AV79" s="3"/>
      <c r="AW79" s="3"/>
      <c r="AX79" s="3"/>
      <c r="AY79" s="3"/>
      <c r="AZ79" s="3"/>
      <c r="BA79" s="3"/>
      <c r="BB79" s="3"/>
    </row>
    <row r="80" spans="1:5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3"/>
      <c r="AV80" s="3"/>
      <c r="AW80" s="3"/>
      <c r="AX80" s="3"/>
      <c r="AY80" s="3"/>
      <c r="AZ80" s="3"/>
      <c r="BA80" s="3"/>
      <c r="BB80" s="3"/>
    </row>
    <row r="81" spans="1:5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3"/>
      <c r="AV81" s="3"/>
      <c r="AW81" s="3"/>
      <c r="AX81" s="3"/>
      <c r="AY81" s="3"/>
      <c r="AZ81" s="3"/>
      <c r="BA81" s="3"/>
      <c r="BB81" s="3"/>
    </row>
    <row r="82" spans="1:5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3"/>
      <c r="AV82" s="3"/>
      <c r="AW82" s="3"/>
      <c r="AX82" s="3"/>
      <c r="AY82" s="3"/>
      <c r="AZ82" s="3"/>
      <c r="BA82" s="3"/>
      <c r="BB82" s="3"/>
    </row>
    <row r="83" spans="1:5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3"/>
      <c r="AV83" s="3"/>
      <c r="AW83" s="3"/>
      <c r="AX83" s="3"/>
      <c r="AY83" s="3"/>
      <c r="AZ83" s="3"/>
      <c r="BA83" s="3"/>
      <c r="BB83" s="3"/>
    </row>
    <row r="84" spans="1:5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3"/>
      <c r="AV84" s="3"/>
      <c r="AW84" s="3"/>
      <c r="AX84" s="3"/>
      <c r="AY84" s="3"/>
      <c r="AZ84" s="3"/>
      <c r="BA84" s="3"/>
      <c r="BB84" s="3"/>
    </row>
    <row r="85" spans="1:5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3"/>
      <c r="AV85" s="3"/>
      <c r="AW85" s="3"/>
      <c r="AX85" s="3"/>
      <c r="AY85" s="3"/>
      <c r="AZ85" s="3"/>
      <c r="BA85" s="3"/>
      <c r="BB85" s="3"/>
    </row>
    <row r="86" spans="1:5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3"/>
      <c r="AV86" s="3"/>
      <c r="AW86" s="3"/>
      <c r="AX86" s="3"/>
      <c r="AY86" s="3"/>
      <c r="AZ86" s="3"/>
      <c r="BA86" s="3"/>
      <c r="BB86" s="3"/>
    </row>
    <row r="87" spans="1:5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3"/>
      <c r="AV87" s="3"/>
      <c r="AW87" s="3"/>
      <c r="AX87" s="3"/>
      <c r="AY87" s="3"/>
      <c r="AZ87" s="3"/>
      <c r="BA87" s="3"/>
      <c r="BB87" s="3"/>
    </row>
    <row r="88" spans="1:5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3"/>
      <c r="AV88" s="3"/>
      <c r="AW88" s="3"/>
      <c r="AX88" s="3"/>
      <c r="AY88" s="3"/>
      <c r="AZ88" s="3"/>
      <c r="BA88" s="3"/>
      <c r="BB88" s="3"/>
    </row>
    <row r="89" spans="1:5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3"/>
      <c r="AV89" s="3"/>
      <c r="AW89" s="3"/>
      <c r="AX89" s="3"/>
      <c r="AY89" s="3"/>
      <c r="AZ89" s="3"/>
      <c r="BA89" s="3"/>
      <c r="BB89" s="3"/>
    </row>
    <row r="90" spans="1:5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3"/>
      <c r="AV90" s="3"/>
      <c r="AW90" s="3"/>
      <c r="AX90" s="3"/>
      <c r="AY90" s="3"/>
      <c r="AZ90" s="3"/>
      <c r="BA90" s="3"/>
      <c r="BB90" s="3"/>
    </row>
    <row r="91" spans="1:5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3"/>
      <c r="AV91" s="3"/>
      <c r="AW91" s="3"/>
      <c r="AX91" s="3"/>
      <c r="AY91" s="3"/>
      <c r="AZ91" s="3"/>
      <c r="BA91" s="3"/>
      <c r="BB91" s="3"/>
    </row>
    <row r="92" spans="1:5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3"/>
      <c r="AV92" s="3"/>
      <c r="AW92" s="3"/>
      <c r="AX92" s="3"/>
      <c r="AY92" s="3"/>
      <c r="AZ92" s="3"/>
      <c r="BA92" s="3"/>
      <c r="BB92" s="3"/>
    </row>
    <row r="93" spans="1:5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3"/>
      <c r="AV93" s="3"/>
      <c r="AW93" s="3"/>
      <c r="AX93" s="3"/>
      <c r="AY93" s="3"/>
      <c r="AZ93" s="3"/>
      <c r="BA93" s="3"/>
      <c r="BB93" s="3"/>
    </row>
    <row r="94" spans="1:5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3"/>
      <c r="AV94" s="3"/>
      <c r="AW94" s="3"/>
      <c r="AX94" s="3"/>
      <c r="AY94" s="3"/>
      <c r="AZ94" s="3"/>
      <c r="BA94" s="3"/>
      <c r="BB94" s="3"/>
    </row>
    <row r="95" spans="1:5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3"/>
      <c r="AV95" s="3"/>
      <c r="AW95" s="3"/>
      <c r="AX95" s="3"/>
      <c r="AY95" s="3"/>
      <c r="AZ95" s="3"/>
      <c r="BA95" s="3"/>
      <c r="BB95" s="3"/>
    </row>
    <row r="96" spans="1:5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3"/>
      <c r="AV96" s="3"/>
      <c r="AW96" s="3"/>
      <c r="AX96" s="3"/>
      <c r="AY96" s="3"/>
      <c r="AZ96" s="3"/>
      <c r="BA96" s="3"/>
      <c r="BB96" s="3"/>
    </row>
    <row r="97" spans="1:5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3"/>
      <c r="AV97" s="3"/>
      <c r="AW97" s="3"/>
      <c r="AX97" s="3"/>
      <c r="AY97" s="3"/>
      <c r="AZ97" s="3"/>
      <c r="BA97" s="3"/>
      <c r="BB97" s="3"/>
    </row>
    <row r="98" spans="1:5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3"/>
      <c r="AV98" s="3"/>
      <c r="AW98" s="3"/>
      <c r="AX98" s="3"/>
      <c r="AY98" s="3"/>
      <c r="AZ98" s="3"/>
      <c r="BA98" s="3"/>
      <c r="BB98" s="3"/>
    </row>
    <row r="99" spans="1:5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3"/>
      <c r="AV99" s="3"/>
      <c r="AW99" s="3"/>
      <c r="AX99" s="3"/>
      <c r="AY99" s="3"/>
      <c r="AZ99" s="3"/>
      <c r="BA99" s="3"/>
      <c r="BB99" s="3"/>
    </row>
    <row r="100" spans="1:5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3"/>
      <c r="AV100" s="3"/>
      <c r="AW100" s="3"/>
      <c r="AX100" s="3"/>
      <c r="AY100" s="3"/>
      <c r="AZ100" s="3"/>
      <c r="BA100" s="3"/>
      <c r="BB100" s="3"/>
    </row>
    <row r="101" spans="1:5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3"/>
      <c r="AV101" s="3"/>
      <c r="AW101" s="3"/>
      <c r="AX101" s="3"/>
      <c r="AY101" s="3"/>
      <c r="AZ101" s="3"/>
      <c r="BA101" s="3"/>
      <c r="BB101" s="3"/>
    </row>
    <row r="102" spans="1:5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3"/>
      <c r="AV102" s="3"/>
      <c r="AW102" s="3"/>
      <c r="AX102" s="3"/>
      <c r="AY102" s="3"/>
      <c r="AZ102" s="3"/>
      <c r="BA102" s="3"/>
      <c r="BB102" s="3"/>
    </row>
    <row r="103" spans="1:5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3"/>
      <c r="AV103" s="3"/>
      <c r="AW103" s="3"/>
      <c r="AX103" s="3"/>
      <c r="AY103" s="3"/>
      <c r="AZ103" s="3"/>
      <c r="BA103" s="3"/>
      <c r="BB103" s="3"/>
    </row>
    <row r="104" spans="1:5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3"/>
      <c r="AV104" s="3"/>
      <c r="AW104" s="3"/>
      <c r="AX104" s="3"/>
      <c r="AY104" s="3"/>
      <c r="AZ104" s="3"/>
      <c r="BA104" s="3"/>
      <c r="BB104" s="3"/>
    </row>
    <row r="105" spans="1:5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3"/>
      <c r="AV105" s="3"/>
      <c r="AW105" s="3"/>
      <c r="AX105" s="3"/>
      <c r="AY105" s="3"/>
      <c r="AZ105" s="3"/>
      <c r="BA105" s="3"/>
      <c r="BB105" s="3"/>
    </row>
    <row r="106" spans="1:5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3"/>
      <c r="AV106" s="3"/>
      <c r="AW106" s="3"/>
      <c r="AX106" s="3"/>
      <c r="AY106" s="3"/>
      <c r="AZ106" s="3"/>
      <c r="BA106" s="3"/>
      <c r="BB106" s="3"/>
    </row>
    <row r="107" spans="1:5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3"/>
      <c r="AV107" s="3"/>
      <c r="AW107" s="3"/>
      <c r="AX107" s="3"/>
      <c r="AY107" s="3"/>
      <c r="AZ107" s="3"/>
      <c r="BA107" s="3"/>
      <c r="BB107" s="3"/>
    </row>
    <row r="108" spans="1:5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3"/>
      <c r="AV108" s="3"/>
      <c r="AW108" s="3"/>
      <c r="AX108" s="3"/>
      <c r="AY108" s="3"/>
      <c r="AZ108" s="3"/>
      <c r="BA108" s="3"/>
      <c r="BB108" s="3"/>
    </row>
    <row r="109" spans="1:5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3"/>
      <c r="AV109" s="3"/>
      <c r="AW109" s="3"/>
      <c r="AX109" s="3"/>
      <c r="AY109" s="3"/>
      <c r="AZ109" s="3"/>
      <c r="BA109" s="3"/>
      <c r="BB109" s="3"/>
    </row>
    <row r="110" spans="1:5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3"/>
      <c r="AV110" s="3"/>
      <c r="AW110" s="3"/>
      <c r="AX110" s="3"/>
      <c r="AY110" s="3"/>
      <c r="AZ110" s="3"/>
      <c r="BA110" s="3"/>
      <c r="BB110" s="3"/>
    </row>
    <row r="111" spans="1:5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3"/>
      <c r="AV111" s="3"/>
      <c r="AW111" s="3"/>
      <c r="AX111" s="3"/>
      <c r="AY111" s="3"/>
      <c r="AZ111" s="3"/>
      <c r="BA111" s="3"/>
      <c r="BB111" s="3"/>
    </row>
    <row r="112" spans="1:5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3"/>
      <c r="AV112" s="3"/>
      <c r="AW112" s="3"/>
      <c r="AX112" s="3"/>
      <c r="AY112" s="3"/>
      <c r="AZ112" s="3"/>
      <c r="BA112" s="3"/>
      <c r="BB112" s="3"/>
    </row>
    <row r="113" spans="1:5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3"/>
      <c r="AV113" s="3"/>
      <c r="AW113" s="3"/>
      <c r="AX113" s="3"/>
      <c r="AY113" s="3"/>
      <c r="AZ113" s="3"/>
      <c r="BA113" s="3"/>
      <c r="BB113" s="3"/>
    </row>
    <row r="114" spans="1:5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3"/>
      <c r="AV114" s="3"/>
      <c r="AW114" s="3"/>
      <c r="AX114" s="3"/>
      <c r="AY114" s="3"/>
      <c r="AZ114" s="3"/>
      <c r="BA114" s="3"/>
      <c r="BB114" s="3"/>
    </row>
    <row r="115" spans="1:5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3"/>
      <c r="AV115" s="3"/>
      <c r="AW115" s="3"/>
      <c r="AX115" s="3"/>
      <c r="AY115" s="3"/>
      <c r="AZ115" s="3"/>
      <c r="BA115" s="3"/>
      <c r="BB115" s="3"/>
    </row>
    <row r="116" spans="1:5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3"/>
      <c r="AV116" s="3"/>
      <c r="AW116" s="3"/>
      <c r="AX116" s="3"/>
      <c r="AY116" s="3"/>
      <c r="AZ116" s="3"/>
      <c r="BA116" s="3"/>
      <c r="BB116" s="3"/>
    </row>
    <row r="117" spans="1:5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3"/>
      <c r="AV117" s="3"/>
      <c r="AW117" s="3"/>
      <c r="AX117" s="3"/>
      <c r="AY117" s="3"/>
      <c r="AZ117" s="3"/>
      <c r="BA117" s="3"/>
      <c r="BB117" s="3"/>
    </row>
    <row r="118" spans="1:5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3"/>
      <c r="AV118" s="3"/>
      <c r="AW118" s="3"/>
      <c r="AX118" s="3"/>
      <c r="AY118" s="3"/>
      <c r="AZ118" s="3"/>
      <c r="BA118" s="3"/>
      <c r="BB118" s="3"/>
    </row>
    <row r="119" spans="1:5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3"/>
      <c r="AV119" s="3"/>
      <c r="AW119" s="3"/>
      <c r="AX119" s="3"/>
      <c r="AY119" s="3"/>
      <c r="AZ119" s="3"/>
      <c r="BA119" s="3"/>
      <c r="BB119" s="3"/>
    </row>
    <row r="120" spans="1:5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3"/>
      <c r="AV120" s="3"/>
      <c r="AW120" s="3"/>
      <c r="AX120" s="3"/>
      <c r="AY120" s="3"/>
      <c r="AZ120" s="3"/>
      <c r="BA120" s="3"/>
      <c r="BB120" s="3"/>
    </row>
    <row r="121" spans="1:5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3"/>
      <c r="AV121" s="3"/>
      <c r="AW121" s="3"/>
      <c r="AX121" s="3"/>
      <c r="AY121" s="3"/>
      <c r="AZ121" s="3"/>
      <c r="BA121" s="3"/>
      <c r="BB121" s="3"/>
    </row>
    <row r="122" spans="1:5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3"/>
      <c r="AV122" s="3"/>
      <c r="AW122" s="3"/>
      <c r="AX122" s="3"/>
      <c r="AY122" s="3"/>
      <c r="AZ122" s="3"/>
      <c r="BA122" s="3"/>
      <c r="BB122" s="3"/>
    </row>
    <row r="123" spans="1:5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3"/>
      <c r="AV123" s="3"/>
      <c r="AW123" s="3"/>
      <c r="AX123" s="3"/>
      <c r="AY123" s="3"/>
      <c r="AZ123" s="3"/>
      <c r="BA123" s="3"/>
      <c r="BB123" s="3"/>
    </row>
    <row r="124" spans="1:5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3"/>
      <c r="AV124" s="3"/>
      <c r="AW124" s="3"/>
      <c r="AX124" s="3"/>
      <c r="AY124" s="3"/>
      <c r="AZ124" s="3"/>
      <c r="BA124" s="3"/>
      <c r="BB124" s="3"/>
    </row>
    <row r="125" spans="1:5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3"/>
      <c r="AV125" s="3"/>
      <c r="AW125" s="3"/>
      <c r="AX125" s="3"/>
      <c r="AY125" s="3"/>
      <c r="AZ125" s="3"/>
      <c r="BA125" s="3"/>
      <c r="BB125" s="3"/>
    </row>
    <row r="126" spans="1:5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3"/>
      <c r="AV126" s="3"/>
      <c r="AW126" s="3"/>
      <c r="AX126" s="3"/>
      <c r="AY126" s="3"/>
      <c r="AZ126" s="3"/>
      <c r="BA126" s="3"/>
      <c r="BB126" s="3"/>
    </row>
    <row r="127" spans="1:5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3"/>
      <c r="AV127" s="3"/>
      <c r="AW127" s="3"/>
      <c r="AX127" s="3"/>
      <c r="AY127" s="3"/>
      <c r="AZ127" s="3"/>
      <c r="BA127" s="3"/>
      <c r="BB127" s="3"/>
    </row>
    <row r="128" spans="1:5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3"/>
      <c r="AV128" s="3"/>
      <c r="AW128" s="3"/>
      <c r="AX128" s="3"/>
      <c r="AY128" s="3"/>
      <c r="AZ128" s="3"/>
      <c r="BA128" s="3"/>
      <c r="BB128" s="3"/>
    </row>
    <row r="129" spans="1:5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3"/>
      <c r="AV129" s="3"/>
      <c r="AW129" s="3"/>
      <c r="AX129" s="3"/>
      <c r="AY129" s="3"/>
      <c r="AZ129" s="3"/>
      <c r="BA129" s="3"/>
      <c r="BB129" s="3"/>
    </row>
    <row r="130" spans="1:5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3"/>
      <c r="AV130" s="3"/>
      <c r="AW130" s="3"/>
      <c r="AX130" s="3"/>
      <c r="AY130" s="3"/>
      <c r="AZ130" s="3"/>
      <c r="BA130" s="3"/>
      <c r="BB130" s="3"/>
    </row>
    <row r="131" spans="1:5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3"/>
      <c r="AV131" s="3"/>
      <c r="AW131" s="3"/>
      <c r="AX131" s="3"/>
      <c r="AY131" s="3"/>
      <c r="AZ131" s="3"/>
      <c r="BA131" s="3"/>
      <c r="BB131" s="3"/>
    </row>
    <row r="132" spans="1:5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3"/>
      <c r="AV132" s="3"/>
      <c r="AW132" s="3"/>
      <c r="AX132" s="3"/>
      <c r="AY132" s="3"/>
      <c r="AZ132" s="3"/>
      <c r="BA132" s="3"/>
      <c r="BB132" s="3"/>
    </row>
    <row r="133" spans="1:5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3"/>
      <c r="AV133" s="3"/>
      <c r="AW133" s="3"/>
      <c r="AX133" s="3"/>
      <c r="AY133" s="3"/>
      <c r="AZ133" s="3"/>
      <c r="BA133" s="3"/>
      <c r="BB133" s="3"/>
    </row>
    <row r="134" spans="1:5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3"/>
      <c r="AV134" s="3"/>
      <c r="AW134" s="3"/>
      <c r="AX134" s="3"/>
      <c r="AY134" s="3"/>
      <c r="AZ134" s="3"/>
      <c r="BA134" s="3"/>
      <c r="BB134" s="3"/>
    </row>
    <row r="135" spans="1:5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3"/>
      <c r="AV135" s="3"/>
      <c r="AW135" s="3"/>
      <c r="AX135" s="3"/>
      <c r="AY135" s="3"/>
      <c r="AZ135" s="3"/>
      <c r="BA135" s="3"/>
      <c r="BB135" s="3"/>
    </row>
    <row r="136" spans="1:5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3"/>
      <c r="AV136" s="3"/>
      <c r="AW136" s="3"/>
      <c r="AX136" s="3"/>
      <c r="AY136" s="3"/>
      <c r="AZ136" s="3"/>
      <c r="BA136" s="3"/>
      <c r="BB136" s="3"/>
    </row>
    <row r="137" spans="1:5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3"/>
      <c r="AV137" s="3"/>
      <c r="AW137" s="3"/>
      <c r="AX137" s="3"/>
      <c r="AY137" s="3"/>
      <c r="AZ137" s="3"/>
      <c r="BA137" s="3"/>
      <c r="BB137" s="3"/>
    </row>
    <row r="138" spans="1:5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3"/>
      <c r="AV138" s="3"/>
      <c r="AW138" s="3"/>
      <c r="AX138" s="3"/>
      <c r="AY138" s="3"/>
      <c r="AZ138" s="3"/>
      <c r="BA138" s="3"/>
      <c r="BB138" s="3"/>
    </row>
    <row r="139" spans="1:5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3"/>
      <c r="AV139" s="3"/>
      <c r="AW139" s="3"/>
      <c r="AX139" s="3"/>
      <c r="AY139" s="3"/>
      <c r="AZ139" s="3"/>
      <c r="BA139" s="3"/>
      <c r="BB139" s="3"/>
    </row>
    <row r="140" spans="1:5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3"/>
      <c r="AV140" s="3"/>
      <c r="AW140" s="3"/>
      <c r="AX140" s="3"/>
      <c r="AY140" s="3"/>
      <c r="AZ140" s="3"/>
      <c r="BA140" s="3"/>
      <c r="BB140" s="3"/>
    </row>
    <row r="141" spans="1:5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3"/>
      <c r="AV141" s="3"/>
      <c r="AW141" s="3"/>
      <c r="AX141" s="3"/>
      <c r="AY141" s="3"/>
      <c r="AZ141" s="3"/>
      <c r="BA141" s="3"/>
      <c r="BB141" s="3"/>
    </row>
    <row r="142" spans="1:5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3"/>
      <c r="AV142" s="3"/>
      <c r="AW142" s="3"/>
      <c r="AX142" s="3"/>
      <c r="AY142" s="3"/>
      <c r="AZ142" s="3"/>
      <c r="BA142" s="3"/>
      <c r="BB142" s="3"/>
    </row>
    <row r="143" spans="1:5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3"/>
      <c r="AV143" s="3"/>
      <c r="AW143" s="3"/>
      <c r="AX143" s="3"/>
      <c r="AY143" s="3"/>
      <c r="AZ143" s="3"/>
      <c r="BA143" s="3"/>
      <c r="BB143" s="3"/>
    </row>
    <row r="144" spans="1:5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3"/>
      <c r="AV144" s="3"/>
      <c r="AW144" s="3"/>
      <c r="AX144" s="3"/>
      <c r="AY144" s="3"/>
      <c r="AZ144" s="3"/>
      <c r="BA144" s="3"/>
      <c r="BB144" s="3"/>
    </row>
    <row r="145" spans="1:5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3"/>
      <c r="AV145" s="3"/>
      <c r="AW145" s="3"/>
      <c r="AX145" s="3"/>
      <c r="AY145" s="3"/>
      <c r="AZ145" s="3"/>
      <c r="BA145" s="3"/>
      <c r="BB145" s="3"/>
    </row>
    <row r="146" spans="1:5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3"/>
      <c r="AV146" s="3"/>
      <c r="AW146" s="3"/>
      <c r="AX146" s="3"/>
      <c r="AY146" s="3"/>
      <c r="AZ146" s="3"/>
      <c r="BA146" s="3"/>
      <c r="BB146" s="3"/>
    </row>
    <row r="147" spans="1:5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3"/>
      <c r="AV147" s="3"/>
      <c r="AW147" s="3"/>
      <c r="AX147" s="3"/>
      <c r="AY147" s="3"/>
      <c r="AZ147" s="3"/>
      <c r="BA147" s="3"/>
      <c r="BB147" s="3"/>
    </row>
    <row r="148" spans="1:5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3"/>
      <c r="AV148" s="3"/>
      <c r="AW148" s="3"/>
      <c r="AX148" s="3"/>
      <c r="AY148" s="3"/>
      <c r="AZ148" s="3"/>
      <c r="BA148" s="3"/>
      <c r="BB148" s="3"/>
    </row>
    <row r="149" spans="1:5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3"/>
      <c r="AV149" s="3"/>
      <c r="AW149" s="3"/>
      <c r="AX149" s="3"/>
      <c r="AY149" s="3"/>
      <c r="AZ149" s="3"/>
      <c r="BA149" s="3"/>
      <c r="BB149" s="3"/>
    </row>
    <row r="150" spans="1:5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3"/>
      <c r="AV150" s="3"/>
      <c r="AW150" s="3"/>
      <c r="AX150" s="3"/>
      <c r="AY150" s="3"/>
      <c r="AZ150" s="3"/>
      <c r="BA150" s="3"/>
      <c r="BB150" s="3"/>
    </row>
    <row r="151" spans="1:5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3"/>
      <c r="AV151" s="3"/>
      <c r="AW151" s="3"/>
      <c r="AX151" s="3"/>
      <c r="AY151" s="3"/>
      <c r="AZ151" s="3"/>
      <c r="BA151" s="3"/>
      <c r="BB151" s="3"/>
    </row>
    <row r="152" spans="1:5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3"/>
      <c r="AV152" s="3"/>
      <c r="AW152" s="3"/>
      <c r="AX152" s="3"/>
      <c r="AY152" s="3"/>
      <c r="AZ152" s="3"/>
      <c r="BA152" s="3"/>
      <c r="BB152" s="3"/>
    </row>
    <row r="153" spans="1:5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3"/>
      <c r="AV153" s="3"/>
      <c r="AW153" s="3"/>
      <c r="AX153" s="3"/>
      <c r="AY153" s="3"/>
      <c r="AZ153" s="3"/>
      <c r="BA153" s="3"/>
      <c r="BB153" s="3"/>
    </row>
    <row r="154" spans="1:5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3"/>
      <c r="AV154" s="3"/>
      <c r="AW154" s="3"/>
      <c r="AX154" s="3"/>
      <c r="AY154" s="3"/>
      <c r="AZ154" s="3"/>
      <c r="BA154" s="3"/>
      <c r="BB154" s="3"/>
    </row>
    <row r="155" spans="1:5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3"/>
      <c r="AV155" s="3"/>
      <c r="AW155" s="3"/>
      <c r="AX155" s="3"/>
      <c r="AY155" s="3"/>
      <c r="AZ155" s="3"/>
      <c r="BA155" s="3"/>
      <c r="BB155" s="3"/>
    </row>
    <row r="156" spans="1:5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3"/>
      <c r="AV156" s="3"/>
      <c r="AW156" s="3"/>
      <c r="AX156" s="3"/>
      <c r="AY156" s="3"/>
      <c r="AZ156" s="3"/>
      <c r="BA156" s="3"/>
      <c r="BB156" s="3"/>
    </row>
    <row r="157" spans="1:5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3"/>
      <c r="AV157" s="3"/>
      <c r="AW157" s="3"/>
      <c r="AX157" s="3"/>
      <c r="AY157" s="3"/>
      <c r="AZ157" s="3"/>
      <c r="BA157" s="3"/>
      <c r="BB157" s="3"/>
    </row>
    <row r="158" spans="1:5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3"/>
      <c r="AV158" s="3"/>
      <c r="AW158" s="3"/>
      <c r="AX158" s="3"/>
      <c r="AY158" s="3"/>
      <c r="AZ158" s="3"/>
      <c r="BA158" s="3"/>
      <c r="BB158" s="3"/>
    </row>
    <row r="159" spans="1:5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3"/>
      <c r="AV159" s="3"/>
      <c r="AW159" s="3"/>
      <c r="AX159" s="3"/>
      <c r="AY159" s="3"/>
      <c r="AZ159" s="3"/>
      <c r="BA159" s="3"/>
      <c r="BB159" s="3"/>
    </row>
    <row r="160" spans="1:5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3"/>
      <c r="AV160" s="3"/>
      <c r="AW160" s="3"/>
      <c r="AX160" s="3"/>
      <c r="AY160" s="3"/>
      <c r="AZ160" s="3"/>
      <c r="BA160" s="3"/>
      <c r="BB160" s="3"/>
    </row>
    <row r="161" spans="1:5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3"/>
      <c r="AV161" s="3"/>
      <c r="AW161" s="3"/>
      <c r="AX161" s="3"/>
      <c r="AY161" s="3"/>
      <c r="AZ161" s="3"/>
      <c r="BA161" s="3"/>
      <c r="BB161" s="3"/>
    </row>
    <row r="162" spans="1:5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3"/>
      <c r="AV162" s="3"/>
      <c r="AW162" s="3"/>
      <c r="AX162" s="3"/>
      <c r="AY162" s="3"/>
      <c r="AZ162" s="3"/>
      <c r="BA162" s="3"/>
      <c r="BB162" s="3"/>
    </row>
    <row r="163" spans="1:5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3"/>
      <c r="AV163" s="3"/>
      <c r="AW163" s="3"/>
      <c r="AX163" s="3"/>
      <c r="AY163" s="3"/>
      <c r="AZ163" s="3"/>
      <c r="BA163" s="3"/>
      <c r="BB163" s="3"/>
    </row>
    <row r="164" spans="1:5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3"/>
      <c r="AV164" s="3"/>
      <c r="AW164" s="3"/>
      <c r="AX164" s="3"/>
      <c r="AY164" s="3"/>
      <c r="AZ164" s="3"/>
      <c r="BA164" s="3"/>
      <c r="BB164" s="3"/>
    </row>
    <row r="165" spans="1:5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3"/>
      <c r="AV165" s="3"/>
      <c r="AW165" s="3"/>
      <c r="AX165" s="3"/>
      <c r="AY165" s="3"/>
      <c r="AZ165" s="3"/>
      <c r="BA165" s="3"/>
      <c r="BB165" s="3"/>
    </row>
    <row r="166" spans="1:5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3"/>
      <c r="AV166" s="3"/>
      <c r="AW166" s="3"/>
      <c r="AX166" s="3"/>
      <c r="AY166" s="3"/>
      <c r="AZ166" s="3"/>
      <c r="BA166" s="3"/>
      <c r="BB166" s="3"/>
    </row>
    <row r="167" spans="1:5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3"/>
      <c r="AV167" s="3"/>
      <c r="AW167" s="3"/>
      <c r="AX167" s="3"/>
      <c r="AY167" s="3"/>
      <c r="AZ167" s="3"/>
      <c r="BA167" s="3"/>
      <c r="BB167" s="3"/>
    </row>
    <row r="168" spans="1:5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3"/>
      <c r="AV168" s="3"/>
      <c r="AW168" s="3"/>
      <c r="AX168" s="3"/>
      <c r="AY168" s="3"/>
      <c r="AZ168" s="3"/>
      <c r="BA168" s="3"/>
      <c r="BB168" s="3"/>
    </row>
    <row r="169" spans="1:5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3"/>
      <c r="AV169" s="3"/>
      <c r="AW169" s="3"/>
      <c r="AX169" s="3"/>
      <c r="AY169" s="3"/>
      <c r="AZ169" s="3"/>
      <c r="BA169" s="3"/>
      <c r="BB169" s="3"/>
    </row>
    <row r="170" spans="1:5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3"/>
      <c r="AV170" s="3"/>
      <c r="AW170" s="3"/>
      <c r="AX170" s="3"/>
      <c r="AY170" s="3"/>
      <c r="AZ170" s="3"/>
      <c r="BA170" s="3"/>
      <c r="BB170" s="3"/>
    </row>
    <row r="171" spans="1:5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3"/>
      <c r="AV171" s="3"/>
      <c r="AW171" s="3"/>
      <c r="AX171" s="3"/>
      <c r="AY171" s="3"/>
      <c r="AZ171" s="3"/>
      <c r="BA171" s="3"/>
      <c r="BB171" s="3"/>
    </row>
    <row r="172" spans="1:5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3"/>
      <c r="AV172" s="3"/>
      <c r="AW172" s="3"/>
      <c r="AX172" s="3"/>
      <c r="AY172" s="3"/>
      <c r="AZ172" s="3"/>
      <c r="BA172" s="3"/>
      <c r="BB172" s="3"/>
    </row>
    <row r="173" spans="1:5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3"/>
      <c r="AV173" s="3"/>
      <c r="AW173" s="3"/>
      <c r="AX173" s="3"/>
      <c r="AY173" s="3"/>
      <c r="AZ173" s="3"/>
      <c r="BA173" s="3"/>
      <c r="BB173" s="3"/>
    </row>
    <row r="174" spans="1:5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3"/>
      <c r="AV174" s="3"/>
      <c r="AW174" s="3"/>
      <c r="AX174" s="3"/>
      <c r="AY174" s="3"/>
      <c r="AZ174" s="3"/>
      <c r="BA174" s="3"/>
      <c r="BB174" s="3"/>
    </row>
    <row r="175" spans="1:5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3"/>
      <c r="AV175" s="3"/>
      <c r="AW175" s="3"/>
      <c r="AX175" s="3"/>
      <c r="AY175" s="3"/>
      <c r="AZ175" s="3"/>
      <c r="BA175" s="3"/>
      <c r="BB175" s="3"/>
    </row>
    <row r="176" spans="1:5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3"/>
      <c r="AV176" s="3"/>
      <c r="AW176" s="3"/>
      <c r="AX176" s="3"/>
      <c r="AY176" s="3"/>
      <c r="AZ176" s="3"/>
      <c r="BA176" s="3"/>
      <c r="BB176" s="3"/>
    </row>
    <row r="177" spans="1:5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3"/>
      <c r="AV177" s="3"/>
      <c r="AW177" s="3"/>
      <c r="AX177" s="3"/>
      <c r="AY177" s="3"/>
      <c r="AZ177" s="3"/>
      <c r="BA177" s="3"/>
      <c r="BB177" s="3"/>
    </row>
    <row r="178" spans="1:5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3"/>
      <c r="AV178" s="3"/>
      <c r="AW178" s="3"/>
      <c r="AX178" s="3"/>
      <c r="AY178" s="3"/>
      <c r="AZ178" s="3"/>
      <c r="BA178" s="3"/>
      <c r="BB178" s="3"/>
    </row>
    <row r="179" spans="1:5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3"/>
      <c r="AV179" s="3"/>
      <c r="AW179" s="3"/>
      <c r="AX179" s="3"/>
      <c r="AY179" s="3"/>
      <c r="AZ179" s="3"/>
      <c r="BA179" s="3"/>
      <c r="BB179" s="3"/>
    </row>
    <row r="180" spans="1:5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3"/>
      <c r="AV180" s="3"/>
      <c r="AW180" s="3"/>
      <c r="AX180" s="3"/>
      <c r="AY180" s="3"/>
      <c r="AZ180" s="3"/>
      <c r="BA180" s="3"/>
      <c r="BB180" s="3"/>
    </row>
    <row r="181" spans="1:5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3"/>
      <c r="AV181" s="3"/>
      <c r="AW181" s="3"/>
      <c r="AX181" s="3"/>
      <c r="AY181" s="3"/>
      <c r="AZ181" s="3"/>
      <c r="BA181" s="3"/>
      <c r="BB181" s="3"/>
    </row>
    <row r="182" spans="1:5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3"/>
      <c r="AV182" s="3"/>
      <c r="AW182" s="3"/>
      <c r="AX182" s="3"/>
      <c r="AY182" s="3"/>
      <c r="AZ182" s="3"/>
      <c r="BA182" s="3"/>
      <c r="BB182" s="3"/>
    </row>
    <row r="183" spans="1:5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3"/>
      <c r="AV183" s="3"/>
      <c r="AW183" s="3"/>
      <c r="AX183" s="3"/>
      <c r="AY183" s="3"/>
      <c r="AZ183" s="3"/>
      <c r="BA183" s="3"/>
      <c r="BB183" s="3"/>
    </row>
    <row r="184" spans="1:5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3"/>
      <c r="AV184" s="3"/>
      <c r="AW184" s="3"/>
      <c r="AX184" s="3"/>
      <c r="AY184" s="3"/>
      <c r="AZ184" s="3"/>
      <c r="BA184" s="3"/>
      <c r="BB184" s="3"/>
    </row>
    <row r="185" spans="1:5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3"/>
      <c r="AV185" s="3"/>
      <c r="AW185" s="3"/>
      <c r="AX185" s="3"/>
      <c r="AY185" s="3"/>
      <c r="AZ185" s="3"/>
      <c r="BA185" s="3"/>
      <c r="BB185" s="3"/>
    </row>
    <row r="186" spans="1:5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3"/>
      <c r="AV186" s="3"/>
      <c r="AW186" s="3"/>
      <c r="AX186" s="3"/>
      <c r="AY186" s="3"/>
      <c r="AZ186" s="3"/>
      <c r="BA186" s="3"/>
      <c r="BB186" s="3"/>
    </row>
    <row r="187" spans="1:5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3"/>
      <c r="AV187" s="3"/>
      <c r="AW187" s="3"/>
      <c r="AX187" s="3"/>
      <c r="AY187" s="3"/>
      <c r="AZ187" s="3"/>
      <c r="BA187" s="3"/>
      <c r="BB187" s="3"/>
    </row>
    <row r="188" spans="1:5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3"/>
      <c r="AV188" s="3"/>
      <c r="AW188" s="3"/>
      <c r="AX188" s="3"/>
      <c r="AY188" s="3"/>
      <c r="AZ188" s="3"/>
      <c r="BA188" s="3"/>
      <c r="BB188" s="3"/>
    </row>
    <row r="189" spans="1:5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3"/>
      <c r="AV189" s="3"/>
      <c r="AW189" s="3"/>
      <c r="AX189" s="3"/>
      <c r="AY189" s="3"/>
      <c r="AZ189" s="3"/>
      <c r="BA189" s="3"/>
      <c r="BB189" s="3"/>
    </row>
    <row r="190" spans="1:5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3"/>
      <c r="AV190" s="3"/>
      <c r="AW190" s="3"/>
      <c r="AX190" s="3"/>
      <c r="AY190" s="3"/>
      <c r="AZ190" s="3"/>
      <c r="BA190" s="3"/>
      <c r="BB190" s="3"/>
    </row>
    <row r="191" spans="1:5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3"/>
      <c r="AV191" s="3"/>
      <c r="AW191" s="3"/>
      <c r="AX191" s="3"/>
      <c r="AY191" s="3"/>
      <c r="AZ191" s="3"/>
      <c r="BA191" s="3"/>
      <c r="BB191" s="3"/>
    </row>
    <row r="192" spans="1:5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3"/>
      <c r="AV192" s="3"/>
      <c r="AW192" s="3"/>
      <c r="AX192" s="3"/>
      <c r="AY192" s="3"/>
      <c r="AZ192" s="3"/>
      <c r="BA192" s="3"/>
      <c r="BB192" s="3"/>
    </row>
    <row r="193" spans="1:5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3"/>
      <c r="AV193" s="3"/>
      <c r="AW193" s="3"/>
      <c r="AX193" s="3"/>
      <c r="AY193" s="3"/>
      <c r="AZ193" s="3"/>
      <c r="BA193" s="3"/>
      <c r="BB193" s="3"/>
    </row>
    <row r="194" spans="1:5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3"/>
      <c r="AV194" s="3"/>
      <c r="AW194" s="3"/>
      <c r="AX194" s="3"/>
      <c r="AY194" s="3"/>
      <c r="AZ194" s="3"/>
      <c r="BA194" s="3"/>
      <c r="BB194" s="3"/>
    </row>
    <row r="195" spans="1:5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3"/>
      <c r="AV195" s="3"/>
      <c r="AW195" s="3"/>
      <c r="AX195" s="3"/>
      <c r="AY195" s="3"/>
      <c r="AZ195" s="3"/>
      <c r="BA195" s="3"/>
      <c r="BB195" s="3"/>
    </row>
    <row r="196" spans="1:5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3"/>
      <c r="AV196" s="3"/>
      <c r="AW196" s="3"/>
      <c r="AX196" s="3"/>
      <c r="AY196" s="3"/>
      <c r="AZ196" s="3"/>
      <c r="BA196" s="3"/>
      <c r="BB196" s="3"/>
    </row>
    <row r="197" spans="1:5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3"/>
      <c r="AV197" s="3"/>
      <c r="AW197" s="3"/>
      <c r="AX197" s="3"/>
      <c r="AY197" s="3"/>
      <c r="AZ197" s="3"/>
      <c r="BA197" s="3"/>
      <c r="BB197" s="3"/>
    </row>
    <row r="198" spans="1:5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3"/>
      <c r="AV198" s="3"/>
      <c r="AW198" s="3"/>
      <c r="AX198" s="3"/>
      <c r="AY198" s="3"/>
      <c r="AZ198" s="3"/>
      <c r="BA198" s="3"/>
      <c r="BB198" s="3"/>
    </row>
    <row r="199" spans="1:5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3"/>
      <c r="AV199" s="3"/>
      <c r="AW199" s="3"/>
      <c r="AX199" s="3"/>
      <c r="AY199" s="3"/>
      <c r="AZ199" s="3"/>
      <c r="BA199" s="3"/>
      <c r="BB199" s="3"/>
    </row>
    <row r="200" spans="1:5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3"/>
      <c r="AV200" s="3"/>
      <c r="AW200" s="3"/>
      <c r="AX200" s="3"/>
      <c r="AY200" s="3"/>
      <c r="AZ200" s="3"/>
      <c r="BA200" s="3"/>
      <c r="BB200" s="3"/>
    </row>
    <row r="201" spans="1:5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3"/>
      <c r="AV201" s="3"/>
      <c r="AW201" s="3"/>
      <c r="AX201" s="3"/>
      <c r="AY201" s="3"/>
      <c r="AZ201" s="3"/>
      <c r="BA201" s="3"/>
      <c r="BB201" s="3"/>
    </row>
    <row r="202" spans="1:5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3"/>
      <c r="AV202" s="3"/>
      <c r="AW202" s="3"/>
      <c r="AX202" s="3"/>
      <c r="AY202" s="3"/>
      <c r="AZ202" s="3"/>
      <c r="BA202" s="3"/>
      <c r="BB202" s="3"/>
    </row>
    <row r="203" spans="1:5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3"/>
      <c r="AV203" s="3"/>
      <c r="AW203" s="3"/>
      <c r="AX203" s="3"/>
      <c r="AY203" s="3"/>
      <c r="AZ203" s="3"/>
      <c r="BA203" s="3"/>
      <c r="BB203" s="3"/>
    </row>
    <row r="204" spans="1:5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3"/>
      <c r="AV204" s="3"/>
      <c r="AW204" s="3"/>
      <c r="AX204" s="3"/>
      <c r="AY204" s="3"/>
      <c r="AZ204" s="3"/>
      <c r="BA204" s="3"/>
      <c r="BB204" s="3"/>
    </row>
    <row r="205" spans="1:5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3"/>
      <c r="AV205" s="3"/>
      <c r="AW205" s="3"/>
      <c r="AX205" s="3"/>
      <c r="AY205" s="3"/>
      <c r="AZ205" s="3"/>
      <c r="BA205" s="3"/>
      <c r="BB205" s="3"/>
    </row>
    <row r="206" spans="1:5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3"/>
      <c r="AV206" s="3"/>
      <c r="AW206" s="3"/>
      <c r="AX206" s="3"/>
      <c r="AY206" s="3"/>
      <c r="AZ206" s="3"/>
      <c r="BA206" s="3"/>
      <c r="BB206" s="3"/>
    </row>
    <row r="207" spans="1:5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3"/>
      <c r="AV207" s="3"/>
      <c r="AW207" s="3"/>
      <c r="AX207" s="3"/>
      <c r="AY207" s="3"/>
      <c r="AZ207" s="3"/>
      <c r="BA207" s="3"/>
      <c r="BB207" s="3"/>
    </row>
    <row r="208" spans="1:5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3"/>
      <c r="AV208" s="3"/>
      <c r="AW208" s="3"/>
      <c r="AX208" s="3"/>
      <c r="AY208" s="3"/>
      <c r="AZ208" s="3"/>
      <c r="BA208" s="3"/>
      <c r="BB208" s="3"/>
    </row>
    <row r="209" spans="1:5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3"/>
      <c r="AV209" s="3"/>
      <c r="AW209" s="3"/>
      <c r="AX209" s="3"/>
      <c r="AY209" s="3"/>
      <c r="AZ209" s="3"/>
      <c r="BA209" s="3"/>
      <c r="BB209" s="3"/>
    </row>
    <row r="210" spans="1:5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3"/>
      <c r="AV210" s="3"/>
      <c r="AW210" s="3"/>
      <c r="AX210" s="3"/>
      <c r="AY210" s="3"/>
      <c r="AZ210" s="3"/>
      <c r="BA210" s="3"/>
      <c r="BB210" s="3"/>
    </row>
    <row r="211" spans="1:5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3"/>
      <c r="AV211" s="3"/>
      <c r="AW211" s="3"/>
      <c r="AX211" s="3"/>
      <c r="AY211" s="3"/>
      <c r="AZ211" s="3"/>
      <c r="BA211" s="3"/>
      <c r="BB211" s="3"/>
    </row>
    <row r="212" spans="1:5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3"/>
      <c r="AV212" s="3"/>
      <c r="AW212" s="3"/>
      <c r="AX212" s="3"/>
      <c r="AY212" s="3"/>
      <c r="AZ212" s="3"/>
      <c r="BA212" s="3"/>
      <c r="BB212" s="3"/>
    </row>
    <row r="213" spans="1:5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3"/>
      <c r="AV213" s="3"/>
      <c r="AW213" s="3"/>
      <c r="AX213" s="3"/>
      <c r="AY213" s="3"/>
      <c r="AZ213" s="3"/>
      <c r="BA213" s="3"/>
      <c r="BB213" s="3"/>
    </row>
    <row r="214" spans="1:5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3"/>
      <c r="AV214" s="3"/>
      <c r="AW214" s="3"/>
      <c r="AX214" s="3"/>
      <c r="AY214" s="3"/>
      <c r="AZ214" s="3"/>
      <c r="BA214" s="3"/>
      <c r="BB214" s="3"/>
    </row>
    <row r="215" spans="1:5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3"/>
      <c r="AV215" s="3"/>
      <c r="AW215" s="3"/>
      <c r="AX215" s="3"/>
      <c r="AY215" s="3"/>
      <c r="AZ215" s="3"/>
      <c r="BA215" s="3"/>
      <c r="BB215" s="3"/>
    </row>
    <row r="216" spans="1:5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3"/>
      <c r="AV216" s="3"/>
      <c r="AW216" s="3"/>
      <c r="AX216" s="3"/>
      <c r="AY216" s="3"/>
      <c r="AZ216" s="3"/>
      <c r="BA216" s="3"/>
      <c r="BB216" s="3"/>
    </row>
    <row r="217" spans="1:5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3"/>
      <c r="AV217" s="3"/>
      <c r="AW217" s="3"/>
      <c r="AX217" s="3"/>
      <c r="AY217" s="3"/>
      <c r="AZ217" s="3"/>
      <c r="BA217" s="3"/>
      <c r="BB217" s="3"/>
    </row>
    <row r="218" spans="1:5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3"/>
      <c r="AV218" s="3"/>
      <c r="AW218" s="3"/>
      <c r="AX218" s="3"/>
      <c r="AY218" s="3"/>
      <c r="AZ218" s="3"/>
      <c r="BA218" s="3"/>
      <c r="BB218" s="3"/>
    </row>
    <row r="219" spans="1:5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3"/>
      <c r="AV219" s="3"/>
      <c r="AW219" s="3"/>
      <c r="AX219" s="3"/>
      <c r="AY219" s="3"/>
      <c r="AZ219" s="3"/>
      <c r="BA219" s="3"/>
      <c r="BB219" s="3"/>
    </row>
    <row r="220" spans="1:5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3"/>
      <c r="AV220" s="3"/>
      <c r="AW220" s="3"/>
      <c r="AX220" s="3"/>
      <c r="AY220" s="3"/>
      <c r="AZ220" s="3"/>
      <c r="BA220" s="3"/>
      <c r="BB220" s="3"/>
    </row>
    <row r="221" spans="1:5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3"/>
      <c r="AV221" s="3"/>
      <c r="AW221" s="3"/>
      <c r="AX221" s="3"/>
      <c r="AY221" s="3"/>
      <c r="AZ221" s="3"/>
      <c r="BA221" s="3"/>
      <c r="BB221" s="3"/>
    </row>
    <row r="222" spans="1:5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3"/>
      <c r="AV222" s="3"/>
      <c r="AW222" s="3"/>
      <c r="AX222" s="3"/>
      <c r="AY222" s="3"/>
      <c r="AZ222" s="3"/>
      <c r="BA222" s="3"/>
      <c r="BB222" s="3"/>
    </row>
    <row r="223" spans="1:5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3"/>
      <c r="AV223" s="3"/>
      <c r="AW223" s="3"/>
      <c r="AX223" s="3"/>
      <c r="AY223" s="3"/>
      <c r="AZ223" s="3"/>
      <c r="BA223" s="3"/>
      <c r="BB223" s="3"/>
    </row>
    <row r="224" spans="1:5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3"/>
      <c r="AV224" s="3"/>
      <c r="AW224" s="3"/>
      <c r="AX224" s="3"/>
      <c r="AY224" s="3"/>
      <c r="AZ224" s="3"/>
      <c r="BA224" s="3"/>
      <c r="BB224" s="3"/>
    </row>
    <row r="225" spans="1:5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3"/>
      <c r="AV225" s="3"/>
      <c r="AW225" s="3"/>
      <c r="AX225" s="3"/>
      <c r="AY225" s="3"/>
      <c r="AZ225" s="3"/>
      <c r="BA225" s="3"/>
      <c r="BB225" s="3"/>
    </row>
    <row r="226" spans="1:5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3"/>
      <c r="AV226" s="3"/>
      <c r="AW226" s="3"/>
      <c r="AX226" s="3"/>
      <c r="AY226" s="3"/>
      <c r="AZ226" s="3"/>
      <c r="BA226" s="3"/>
      <c r="BB226" s="3"/>
    </row>
    <row r="227" spans="1:5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3"/>
      <c r="AV227" s="3"/>
      <c r="AW227" s="3"/>
      <c r="AX227" s="3"/>
      <c r="AY227" s="3"/>
      <c r="AZ227" s="3"/>
      <c r="BA227" s="3"/>
      <c r="BB227" s="3"/>
    </row>
    <row r="228" spans="1:5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3"/>
      <c r="AV228" s="3"/>
      <c r="AW228" s="3"/>
      <c r="AX228" s="3"/>
      <c r="AY228" s="3"/>
      <c r="AZ228" s="3"/>
      <c r="BA228" s="3"/>
      <c r="BB228" s="3"/>
    </row>
    <row r="229" spans="1:5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3"/>
      <c r="AV229" s="3"/>
      <c r="AW229" s="3"/>
      <c r="AX229" s="3"/>
      <c r="AY229" s="3"/>
      <c r="AZ229" s="3"/>
      <c r="BA229" s="3"/>
      <c r="BB229" s="3"/>
    </row>
    <row r="230" spans="1:5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3"/>
      <c r="AV230" s="3"/>
      <c r="AW230" s="3"/>
      <c r="AX230" s="3"/>
      <c r="AY230" s="3"/>
      <c r="AZ230" s="3"/>
      <c r="BA230" s="3"/>
      <c r="BB230" s="3"/>
    </row>
    <row r="231" spans="1:5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3"/>
      <c r="AV231" s="3"/>
      <c r="AW231" s="3"/>
      <c r="AX231" s="3"/>
      <c r="AY231" s="3"/>
      <c r="AZ231" s="3"/>
      <c r="BA231" s="3"/>
      <c r="BB231" s="3"/>
    </row>
    <row r="232" spans="1:5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3"/>
      <c r="AV232" s="3"/>
      <c r="AW232" s="3"/>
      <c r="AX232" s="3"/>
      <c r="AY232" s="3"/>
      <c r="AZ232" s="3"/>
      <c r="BA232" s="3"/>
      <c r="BB232" s="3"/>
    </row>
    <row r="233" spans="1:5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3"/>
      <c r="AV233" s="3"/>
      <c r="AW233" s="3"/>
      <c r="AX233" s="3"/>
      <c r="AY233" s="3"/>
      <c r="AZ233" s="3"/>
      <c r="BA233" s="3"/>
      <c r="BB233" s="3"/>
    </row>
    <row r="234" spans="1:5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3"/>
      <c r="AV234" s="3"/>
      <c r="AW234" s="3"/>
      <c r="AX234" s="3"/>
      <c r="AY234" s="3"/>
      <c r="AZ234" s="3"/>
      <c r="BA234" s="3"/>
      <c r="BB234" s="3"/>
    </row>
    <row r="235" spans="1:5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3"/>
      <c r="AV235" s="3"/>
      <c r="AW235" s="3"/>
      <c r="AX235" s="3"/>
      <c r="AY235" s="3"/>
      <c r="AZ235" s="3"/>
      <c r="BA235" s="3"/>
      <c r="BB235" s="3"/>
    </row>
    <row r="236" spans="1:5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3"/>
      <c r="AV236" s="3"/>
      <c r="AW236" s="3"/>
      <c r="AX236" s="3"/>
      <c r="AY236" s="3"/>
      <c r="AZ236" s="3"/>
      <c r="BA236" s="3"/>
      <c r="BB236" s="3"/>
    </row>
    <row r="237" spans="1:5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3"/>
      <c r="AV237" s="3"/>
      <c r="AW237" s="3"/>
      <c r="AX237" s="3"/>
      <c r="AY237" s="3"/>
      <c r="AZ237" s="3"/>
      <c r="BA237" s="3"/>
      <c r="BB237" s="3"/>
    </row>
    <row r="238" spans="1:5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3"/>
      <c r="AV238" s="3"/>
      <c r="AW238" s="3"/>
      <c r="AX238" s="3"/>
      <c r="AY238" s="3"/>
      <c r="AZ238" s="3"/>
      <c r="BA238" s="3"/>
      <c r="BB238" s="3"/>
    </row>
    <row r="239" spans="1:5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3"/>
      <c r="AV239" s="3"/>
      <c r="AW239" s="3"/>
      <c r="AX239" s="3"/>
      <c r="AY239" s="3"/>
      <c r="AZ239" s="3"/>
      <c r="BA239" s="3"/>
      <c r="BB239" s="3"/>
    </row>
    <row r="240" spans="1:5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3"/>
      <c r="AV240" s="3"/>
      <c r="AW240" s="3"/>
      <c r="AX240" s="3"/>
      <c r="AY240" s="3"/>
      <c r="AZ240" s="3"/>
      <c r="BA240" s="3"/>
      <c r="BB240" s="3"/>
    </row>
    <row r="241" spans="1:5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3"/>
      <c r="AV241" s="3"/>
      <c r="AW241" s="3"/>
      <c r="AX241" s="3"/>
      <c r="AY241" s="3"/>
      <c r="AZ241" s="3"/>
      <c r="BA241" s="3"/>
      <c r="BB241" s="3"/>
    </row>
    <row r="242" spans="1:5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3"/>
      <c r="AV242" s="3"/>
      <c r="AW242" s="3"/>
      <c r="AX242" s="3"/>
      <c r="AY242" s="3"/>
      <c r="AZ242" s="3"/>
      <c r="BA242" s="3"/>
      <c r="BB242" s="3"/>
    </row>
    <row r="243" spans="1:5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3"/>
      <c r="AV243" s="3"/>
      <c r="AW243" s="3"/>
      <c r="AX243" s="3"/>
      <c r="AY243" s="3"/>
      <c r="AZ243" s="3"/>
      <c r="BA243" s="3"/>
      <c r="BB243" s="3"/>
    </row>
    <row r="244" spans="1:5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3"/>
      <c r="AV244" s="3"/>
      <c r="AW244" s="3"/>
      <c r="AX244" s="3"/>
      <c r="AY244" s="3"/>
      <c r="AZ244" s="3"/>
      <c r="BA244" s="3"/>
      <c r="BB244" s="3"/>
    </row>
    <row r="245" spans="1:5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3"/>
      <c r="AV245" s="3"/>
      <c r="AW245" s="3"/>
      <c r="AX245" s="3"/>
      <c r="AY245" s="3"/>
      <c r="AZ245" s="3"/>
      <c r="BA245" s="3"/>
      <c r="BB245" s="3"/>
    </row>
    <row r="246" spans="1:5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3"/>
      <c r="AV246" s="3"/>
      <c r="AW246" s="3"/>
      <c r="AX246" s="3"/>
      <c r="AY246" s="3"/>
      <c r="AZ246" s="3"/>
      <c r="BA246" s="3"/>
      <c r="BB246" s="3"/>
    </row>
    <row r="247" spans="1:5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3"/>
      <c r="AV247" s="3"/>
      <c r="AW247" s="3"/>
      <c r="AX247" s="3"/>
      <c r="AY247" s="3"/>
      <c r="AZ247" s="3"/>
      <c r="BA247" s="3"/>
      <c r="BB247" s="3"/>
    </row>
    <row r="248" spans="1:5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3"/>
      <c r="AV248" s="3"/>
      <c r="AW248" s="3"/>
      <c r="AX248" s="3"/>
      <c r="AY248" s="3"/>
      <c r="AZ248" s="3"/>
      <c r="BA248" s="3"/>
      <c r="BB248" s="3"/>
    </row>
    <row r="249" spans="1:5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3"/>
      <c r="AV249" s="3"/>
      <c r="AW249" s="3"/>
      <c r="AX249" s="3"/>
      <c r="AY249" s="3"/>
      <c r="AZ249" s="3"/>
      <c r="BA249" s="3"/>
      <c r="BB249" s="3"/>
    </row>
    <row r="250" spans="1:5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3"/>
      <c r="AV250" s="3"/>
      <c r="AW250" s="3"/>
      <c r="AX250" s="3"/>
      <c r="AY250" s="3"/>
      <c r="AZ250" s="3"/>
      <c r="BA250" s="3"/>
      <c r="BB250" s="3"/>
    </row>
    <row r="251" spans="1:5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3"/>
      <c r="AV251" s="3"/>
      <c r="AW251" s="3"/>
      <c r="AX251" s="3"/>
      <c r="AY251" s="3"/>
      <c r="AZ251" s="3"/>
      <c r="BA251" s="3"/>
      <c r="BB251" s="3"/>
    </row>
    <row r="252" spans="1:5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3"/>
      <c r="AV252" s="3"/>
      <c r="AW252" s="3"/>
      <c r="AX252" s="3"/>
      <c r="AY252" s="3"/>
      <c r="AZ252" s="3"/>
      <c r="BA252" s="3"/>
      <c r="BB252" s="3"/>
    </row>
    <row r="253" spans="1:5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3"/>
      <c r="AV253" s="3"/>
      <c r="AW253" s="3"/>
      <c r="AX253" s="3"/>
      <c r="AY253" s="3"/>
      <c r="AZ253" s="3"/>
      <c r="BA253" s="3"/>
      <c r="BB253" s="3"/>
    </row>
    <row r="254" spans="1:5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3"/>
      <c r="AV254" s="3"/>
      <c r="AW254" s="3"/>
      <c r="AX254" s="3"/>
      <c r="AY254" s="3"/>
      <c r="AZ254" s="3"/>
      <c r="BA254" s="3"/>
      <c r="BB254" s="3"/>
    </row>
    <row r="255" spans="1:5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3"/>
      <c r="AV255" s="3"/>
      <c r="AW255" s="3"/>
      <c r="AX255" s="3"/>
      <c r="AY255" s="3"/>
      <c r="AZ255" s="3"/>
      <c r="BA255" s="3"/>
      <c r="BB255" s="3"/>
    </row>
    <row r="256" spans="1:5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3"/>
      <c r="AV256" s="3"/>
      <c r="AW256" s="3"/>
      <c r="AX256" s="3"/>
      <c r="AY256" s="3"/>
      <c r="AZ256" s="3"/>
      <c r="BA256" s="3"/>
      <c r="BB256" s="3"/>
    </row>
    <row r="257" spans="1:5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3"/>
      <c r="AV257" s="3"/>
      <c r="AW257" s="3"/>
      <c r="AX257" s="3"/>
      <c r="AY257" s="3"/>
      <c r="AZ257" s="3"/>
      <c r="BA257" s="3"/>
      <c r="BB257" s="3"/>
    </row>
    <row r="258" spans="1:5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3"/>
      <c r="AV258" s="3"/>
      <c r="AW258" s="3"/>
      <c r="AX258" s="3"/>
      <c r="AY258" s="3"/>
      <c r="AZ258" s="3"/>
      <c r="BA258" s="3"/>
      <c r="BB258" s="3"/>
    </row>
    <row r="259" spans="1:5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3"/>
      <c r="AV259" s="3"/>
      <c r="AW259" s="3"/>
      <c r="AX259" s="3"/>
      <c r="AY259" s="3"/>
      <c r="AZ259" s="3"/>
      <c r="BA259" s="3"/>
      <c r="BB259" s="3"/>
    </row>
    <row r="260" spans="1:5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3"/>
      <c r="AV260" s="3"/>
      <c r="AW260" s="3"/>
      <c r="AX260" s="3"/>
      <c r="AY260" s="3"/>
      <c r="AZ260" s="3"/>
      <c r="BA260" s="3"/>
      <c r="BB260" s="3"/>
    </row>
    <row r="261" spans="1:5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3"/>
      <c r="AV261" s="3"/>
      <c r="AW261" s="3"/>
      <c r="AX261" s="3"/>
      <c r="AY261" s="3"/>
      <c r="AZ261" s="3"/>
      <c r="BA261" s="3"/>
      <c r="BB261" s="3"/>
    </row>
    <row r="262" spans="1:5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3"/>
      <c r="AV262" s="3"/>
      <c r="AW262" s="3"/>
      <c r="AX262" s="3"/>
      <c r="AY262" s="3"/>
      <c r="AZ262" s="3"/>
      <c r="BA262" s="3"/>
      <c r="BB262" s="3"/>
    </row>
    <row r="263" spans="1:5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3"/>
      <c r="AV263" s="3"/>
      <c r="AW263" s="3"/>
      <c r="AX263" s="3"/>
      <c r="AY263" s="3"/>
      <c r="AZ263" s="3"/>
      <c r="BA263" s="3"/>
      <c r="BB263" s="3"/>
    </row>
    <row r="264" spans="1:5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3"/>
      <c r="AV264" s="3"/>
      <c r="AW264" s="3"/>
      <c r="AX264" s="3"/>
      <c r="AY264" s="3"/>
      <c r="AZ264" s="3"/>
      <c r="BA264" s="3"/>
      <c r="BB264" s="3"/>
    </row>
    <row r="265" spans="1:5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3"/>
      <c r="AV265" s="3"/>
      <c r="AW265" s="3"/>
      <c r="AX265" s="3"/>
      <c r="AY265" s="3"/>
      <c r="AZ265" s="3"/>
      <c r="BA265" s="3"/>
      <c r="BB265" s="3"/>
    </row>
    <row r="266" spans="1:5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3"/>
      <c r="AV266" s="3"/>
      <c r="AW266" s="3"/>
      <c r="AX266" s="3"/>
      <c r="AY266" s="3"/>
      <c r="AZ266" s="3"/>
      <c r="BA266" s="3"/>
      <c r="BB266" s="3"/>
    </row>
    <row r="267" spans="1:5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3"/>
      <c r="AV267" s="3"/>
      <c r="AW267" s="3"/>
      <c r="AX267" s="3"/>
      <c r="AY267" s="3"/>
      <c r="AZ267" s="3"/>
      <c r="BA267" s="3"/>
      <c r="BB267" s="3"/>
    </row>
    <row r="268" spans="1:5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3"/>
      <c r="AV268" s="3"/>
      <c r="AW268" s="3"/>
      <c r="AX268" s="3"/>
      <c r="AY268" s="3"/>
      <c r="AZ268" s="3"/>
      <c r="BA268" s="3"/>
      <c r="BB268" s="3"/>
    </row>
    <row r="269" spans="1:5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3"/>
      <c r="AV269" s="3"/>
      <c r="AW269" s="3"/>
      <c r="AX269" s="3"/>
      <c r="AY269" s="3"/>
      <c r="AZ269" s="3"/>
      <c r="BA269" s="3"/>
      <c r="BB269" s="3"/>
    </row>
    <row r="270" spans="1:5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3"/>
      <c r="AV270" s="3"/>
      <c r="AW270" s="3"/>
      <c r="AX270" s="3"/>
      <c r="AY270" s="3"/>
      <c r="AZ270" s="3"/>
      <c r="BA270" s="3"/>
      <c r="BB270" s="3"/>
    </row>
    <row r="271" spans="1:5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3"/>
      <c r="AV271" s="3"/>
      <c r="AW271" s="3"/>
      <c r="AX271" s="3"/>
      <c r="AY271" s="3"/>
      <c r="AZ271" s="3"/>
      <c r="BA271" s="3"/>
      <c r="BB271" s="3"/>
    </row>
    <row r="272" spans="1:5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3"/>
      <c r="AV272" s="3"/>
      <c r="AW272" s="3"/>
      <c r="AX272" s="3"/>
      <c r="AY272" s="3"/>
      <c r="AZ272" s="3"/>
      <c r="BA272" s="3"/>
      <c r="BB272" s="3"/>
    </row>
    <row r="273" spans="1:5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3"/>
      <c r="AV273" s="3"/>
      <c r="AW273" s="3"/>
      <c r="AX273" s="3"/>
      <c r="AY273" s="3"/>
      <c r="AZ273" s="3"/>
      <c r="BA273" s="3"/>
      <c r="BB273" s="3"/>
    </row>
    <row r="274" spans="1:5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3"/>
      <c r="AV274" s="3"/>
      <c r="AW274" s="3"/>
      <c r="AX274" s="3"/>
      <c r="AY274" s="3"/>
      <c r="AZ274" s="3"/>
      <c r="BA274" s="3"/>
      <c r="BB274" s="3"/>
    </row>
    <row r="275" spans="1:5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3"/>
      <c r="AV275" s="3"/>
      <c r="AW275" s="3"/>
      <c r="AX275" s="3"/>
      <c r="AY275" s="3"/>
      <c r="AZ275" s="3"/>
      <c r="BA275" s="3"/>
      <c r="BB275" s="3"/>
    </row>
    <row r="276" spans="1:5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3"/>
      <c r="AV276" s="3"/>
      <c r="AW276" s="3"/>
      <c r="AX276" s="3"/>
      <c r="AY276" s="3"/>
      <c r="AZ276" s="3"/>
      <c r="BA276" s="3"/>
      <c r="BB276" s="3"/>
    </row>
    <row r="277" spans="1:5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3"/>
      <c r="AV277" s="3"/>
      <c r="AW277" s="3"/>
      <c r="AX277" s="3"/>
      <c r="AY277" s="3"/>
      <c r="AZ277" s="3"/>
      <c r="BA277" s="3"/>
      <c r="BB277" s="3"/>
    </row>
    <row r="278" spans="1:5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3"/>
      <c r="AV278" s="3"/>
      <c r="AW278" s="3"/>
      <c r="AX278" s="3"/>
      <c r="AY278" s="3"/>
      <c r="AZ278" s="3"/>
      <c r="BA278" s="3"/>
      <c r="BB278" s="3"/>
    </row>
    <row r="279" spans="1:5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3"/>
      <c r="AV279" s="3"/>
      <c r="AW279" s="3"/>
      <c r="AX279" s="3"/>
      <c r="AY279" s="3"/>
      <c r="AZ279" s="3"/>
      <c r="BA279" s="3"/>
      <c r="BB279" s="3"/>
    </row>
    <row r="280" spans="1:5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3"/>
      <c r="AV280" s="3"/>
      <c r="AW280" s="3"/>
      <c r="AX280" s="3"/>
      <c r="AY280" s="3"/>
      <c r="AZ280" s="3"/>
      <c r="BA280" s="3"/>
      <c r="BB280" s="3"/>
    </row>
    <row r="281" spans="1:5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3"/>
      <c r="AV281" s="3"/>
      <c r="AW281" s="3"/>
      <c r="AX281" s="3"/>
      <c r="AY281" s="3"/>
      <c r="AZ281" s="3"/>
      <c r="BA281" s="3"/>
      <c r="BB281" s="3"/>
    </row>
    <row r="282" spans="1:5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row>
    <row r="502" spans="1:5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row>
    <row r="503" spans="1:5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row>
    <row r="504" spans="1:5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row>
    <row r="505" spans="1:5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row>
    <row r="506" spans="1:5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row>
    <row r="507" spans="1:5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row>
    <row r="508" spans="1:5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row>
    <row r="509" spans="1:5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row>
    <row r="510" spans="1:5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row>
    <row r="511" spans="1:5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row>
    <row r="512" spans="1:5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row>
    <row r="513" spans="1:5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row>
    <row r="514" spans="1:5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row>
    <row r="515" spans="1:5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row>
    <row r="516" spans="1:5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row>
    <row r="517" spans="1:5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row>
    <row r="518" spans="1:5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row>
    <row r="519" spans="1:5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row>
    <row r="520" spans="1:5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row>
    <row r="521" spans="1:5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row>
    <row r="522" spans="1:5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row>
    <row r="523" spans="1:5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row>
    <row r="524" spans="1:5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row>
    <row r="525" spans="1:5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row>
    <row r="526" spans="1:5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row>
    <row r="527" spans="1:5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row>
    <row r="528" spans="1:5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row>
    <row r="529" spans="1:5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row>
    <row r="530" spans="1:5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row>
    <row r="531" spans="1:5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row>
    <row r="532" spans="1:5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row>
    <row r="533" spans="1:5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row>
    <row r="534" spans="1:5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row>
    <row r="535" spans="1:5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36" spans="1:5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row>
    <row r="537" spans="1:5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row>
    <row r="538" spans="1:5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row>
    <row r="539" spans="1:5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row>
    <row r="540" spans="1:5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row>
    <row r="541" spans="1:5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row>
    <row r="542" spans="1:5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543" spans="1:5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row>
    <row r="544" spans="1:5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row>
    <row r="545" spans="1:5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row>
    <row r="546" spans="1:5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row>
    <row r="547" spans="1:5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row>
    <row r="548" spans="1:5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row>
    <row r="549" spans="1:5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row>
    <row r="550" spans="1:5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row>
    <row r="551" spans="1:5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row>
    <row r="552" spans="1:5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row>
    <row r="553" spans="1:5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row>
    <row r="554" spans="1: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row>
    <row r="555" spans="1:5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row>
    <row r="556" spans="1:5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row>
    <row r="557" spans="1:5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row>
    <row r="558" spans="1:5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row>
    <row r="559" spans="1:5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row>
    <row r="560" spans="1:5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row>
    <row r="561" spans="1:5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row>
    <row r="562" spans="1:5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row>
    <row r="563" spans="1:5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row>
    <row r="564" spans="1:5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row>
    <row r="565" spans="1:5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row>
    <row r="566" spans="1:5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row>
    <row r="567" spans="1:5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row>
    <row r="568" spans="1:5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row>
    <row r="569" spans="1:5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row>
    <row r="570" spans="1:5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row>
    <row r="571" spans="1:5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row>
    <row r="572" spans="1:5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row>
    <row r="573" spans="1:5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row>
    <row r="574" spans="1:5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row>
    <row r="575" spans="1:5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row>
    <row r="576" spans="1:5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row>
    <row r="577" spans="1:5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row>
    <row r="578" spans="1:5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row>
    <row r="579" spans="1:5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row>
    <row r="580" spans="1:5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row>
    <row r="581" spans="1:5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row>
    <row r="582" spans="1:5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row>
    <row r="583" spans="1:5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row>
    <row r="584" spans="1:5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row>
    <row r="585" spans="1:5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row>
    <row r="586" spans="1:5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row>
    <row r="587" spans="1:5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row>
    <row r="588" spans="1:5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row>
    <row r="589" spans="1:5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row>
    <row r="590" spans="1:5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row>
    <row r="591" spans="1:5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row>
    <row r="592" spans="1:5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row>
    <row r="593" spans="1:5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row>
    <row r="594" spans="1:5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row>
    <row r="595" spans="1:5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row>
    <row r="596" spans="1:5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row>
    <row r="597" spans="1:5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row>
    <row r="598" spans="1:5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row>
    <row r="599" spans="1:5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row>
    <row r="600" spans="1:5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row>
    <row r="601" spans="1:5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row>
    <row r="602" spans="1:5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row>
    <row r="603" spans="1:5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row>
    <row r="604" spans="1:5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row>
    <row r="605" spans="1:5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row>
    <row r="606" spans="1:5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row>
    <row r="607" spans="1:5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row>
    <row r="608" spans="1:5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row>
    <row r="609" spans="1:5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row>
    <row r="610" spans="1:5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row>
    <row r="611" spans="1:5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row>
    <row r="612" spans="1:5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row>
    <row r="613" spans="1:5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row>
    <row r="614" spans="1:5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row>
    <row r="615" spans="1:5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row>
    <row r="616" spans="1:5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row>
    <row r="617" spans="1:5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row>
    <row r="618" spans="1:5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row>
    <row r="619" spans="1:5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row>
    <row r="620" spans="1:5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row>
    <row r="621" spans="1:5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row>
    <row r="622" spans="1:5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row>
    <row r="623" spans="1:5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pans="1:5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pans="1:5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pans="1:5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pans="1:5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pans="1:5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pans="1:5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pans="1:5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pans="1:5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pans="1:5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pans="1:5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pans="1:5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pans="1:5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pans="1:5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pans="1:5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pans="1:5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pans="1:5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pans="1:5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pans="1:5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pans="1:5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pans="1:5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pans="1:5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pans="1:5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pans="1:5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pans="1:5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pans="1:5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pans="1:5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pans="1:5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pans="1:5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pans="1:5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pans="1:5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654" spans="1: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row>
    <row r="655" spans="1:5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row>
    <row r="656" spans="1:5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row>
    <row r="657" spans="1:5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row>
    <row r="658" spans="1:5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row>
    <row r="659" spans="1:5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row>
    <row r="660" spans="1:5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row>
    <row r="661" spans="1:5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row>
    <row r="662" spans="1:5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row>
    <row r="663" spans="1:5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row>
    <row r="664" spans="1:5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row>
    <row r="665" spans="1:5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row>
    <row r="666" spans="1:5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row>
    <row r="667" spans="1:5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row>
    <row r="668" spans="1:5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row>
    <row r="669" spans="1:5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row>
    <row r="670" spans="1:5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row>
    <row r="671" spans="1:5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row>
    <row r="672" spans="1:5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row>
    <row r="673" spans="1:5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row>
    <row r="674" spans="1:5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row>
    <row r="675" spans="1:5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row>
    <row r="676" spans="1:5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row>
    <row r="677" spans="1:5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row>
    <row r="678" spans="1:5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row>
    <row r="679" spans="1:5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row>
    <row r="680" spans="1:5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row>
    <row r="681" spans="1:5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row>
    <row r="682" spans="1:5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row>
    <row r="683" spans="1:5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row>
    <row r="684" spans="1:5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row>
    <row r="685" spans="1:5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row>
    <row r="686" spans="1:5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row>
    <row r="687" spans="1:5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row>
    <row r="688" spans="1:5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row>
    <row r="689" spans="1:5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row>
    <row r="690" spans="1:5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row>
    <row r="691" spans="1:5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row>
    <row r="692" spans="1:5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row>
    <row r="693" spans="1:5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row>
    <row r="694" spans="1:5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row>
    <row r="695" spans="1:5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row>
    <row r="696" spans="1:5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row>
    <row r="697" spans="1:5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row>
    <row r="698" spans="1:5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row>
    <row r="699" spans="1:5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row>
    <row r="700" spans="1:5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row>
    <row r="701" spans="1:5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row>
    <row r="702" spans="1:5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row>
    <row r="703" spans="1:5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row>
    <row r="704" spans="1:5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row>
    <row r="705" spans="1:5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row>
    <row r="706" spans="1:5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row>
    <row r="707" spans="1:5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row>
    <row r="708" spans="1:5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row>
    <row r="709" spans="1:5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row>
    <row r="710" spans="1:5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row>
    <row r="711" spans="1:5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row>
    <row r="712" spans="1:5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row>
    <row r="713" spans="1:5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row>
    <row r="714" spans="1:5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row>
    <row r="715" spans="1:5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row>
    <row r="716" spans="1:5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row>
    <row r="717" spans="1:5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row>
    <row r="718" spans="1:5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row>
    <row r="719" spans="1:5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row>
    <row r="720" spans="1:5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row>
    <row r="721" spans="1:5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row>
    <row r="722" spans="1:5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row>
    <row r="723" spans="1:5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row>
    <row r="724" spans="1:5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row>
    <row r="725" spans="1:5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row>
    <row r="726" spans="1:5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row>
    <row r="727" spans="1:5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row>
    <row r="728" spans="1:5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row>
    <row r="729" spans="1:5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row>
    <row r="730" spans="1:5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row>
    <row r="731" spans="1:5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row>
    <row r="732" spans="1:5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row>
    <row r="733" spans="1:5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row>
    <row r="734" spans="1:5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row>
    <row r="735" spans="1:5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row>
    <row r="736" spans="1:5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row>
    <row r="737" spans="1:5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row>
    <row r="738" spans="1:5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row>
    <row r="739" spans="1:5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row>
    <row r="740" spans="1:5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row>
    <row r="741" spans="1:5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row>
    <row r="742" spans="1:5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row>
    <row r="743" spans="1:5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row>
    <row r="744" spans="1:5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row>
    <row r="745" spans="1:5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row>
    <row r="746" spans="1:5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row>
    <row r="747" spans="1:5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row>
    <row r="748" spans="1:5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row>
    <row r="749" spans="1:5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row>
    <row r="750" spans="1:5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row>
    <row r="751" spans="1:5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row>
    <row r="752" spans="1:5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row>
    <row r="753" spans="1:5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row>
    <row r="754" spans="1: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row>
    <row r="755" spans="1:5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row>
    <row r="756" spans="1:5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row>
    <row r="757" spans="1:5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row>
    <row r="758" spans="1:5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row>
    <row r="759" spans="1:5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row>
    <row r="760" spans="1:5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row>
    <row r="761" spans="1:5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row>
    <row r="762" spans="1:5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row>
    <row r="763" spans="1:5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row>
    <row r="764" spans="1:5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row>
    <row r="765" spans="1:5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row>
    <row r="766" spans="1:5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row>
    <row r="767" spans="1:5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pans="1:5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769" spans="1:5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row>
    <row r="770" spans="1:5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row>
    <row r="771" spans="1:5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row>
    <row r="772" spans="1:5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row>
    <row r="773" spans="1:5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row>
    <row r="774" spans="1:5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row>
    <row r="775" spans="1:5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row>
    <row r="776" spans="1:5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row>
    <row r="777" spans="1:5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row>
    <row r="778" spans="1:5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row>
    <row r="779" spans="1:5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row>
    <row r="780" spans="1:5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row>
    <row r="781" spans="1:5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row>
    <row r="782" spans="1:5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row>
    <row r="783" spans="1:5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row>
    <row r="784" spans="1:5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row>
    <row r="785" spans="1:5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row>
    <row r="786" spans="1:5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row>
    <row r="787" spans="1:5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row>
    <row r="788" spans="1:5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row>
    <row r="789" spans="1:5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row>
    <row r="790" spans="1:5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row>
    <row r="791" spans="1:5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row>
    <row r="792" spans="1:5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row>
    <row r="793" spans="1:5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row>
    <row r="794" spans="1:5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row>
    <row r="795" spans="1:5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row>
    <row r="796" spans="1:5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row>
    <row r="797" spans="1:5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row>
    <row r="798" spans="1:5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row>
    <row r="799" spans="1:5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row>
    <row r="800" spans="1:5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row>
    <row r="801" spans="1:5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row>
    <row r="802" spans="1:5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row>
    <row r="803" spans="1:5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row>
    <row r="804" spans="1:5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row>
    <row r="805" spans="1:5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row>
    <row r="806" spans="1:5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row>
    <row r="807" spans="1:5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row>
    <row r="808" spans="1:5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row>
    <row r="809" spans="1:5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row>
    <row r="810" spans="1:5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row>
    <row r="811" spans="1:5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row>
    <row r="812" spans="1:5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row>
    <row r="813" spans="1:5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row>
    <row r="814" spans="1:5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row>
    <row r="815" spans="1:5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row>
    <row r="816" spans="1:5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row>
    <row r="817" spans="1:5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row>
    <row r="818" spans="1:5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row>
    <row r="819" spans="1:5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row>
    <row r="820" spans="1:5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row>
    <row r="821" spans="1:5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row>
    <row r="822" spans="1:5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row>
    <row r="823" spans="1:5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row>
    <row r="824" spans="1:5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row>
    <row r="825" spans="1:5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row>
    <row r="826" spans="1:5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row>
    <row r="827" spans="1:5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row>
    <row r="828" spans="1:5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row>
    <row r="829" spans="1:5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row>
    <row r="830" spans="1:5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row>
    <row r="831" spans="1:5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row>
    <row r="832" spans="1:5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row>
    <row r="833" spans="1:5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row>
    <row r="834" spans="1:5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row>
    <row r="835" spans="1:5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row>
    <row r="836" spans="1:5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row>
    <row r="837" spans="1:5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row>
    <row r="838" spans="1:5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row>
    <row r="839" spans="1:5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row>
    <row r="840" spans="1:5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row>
    <row r="841" spans="1:5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row>
    <row r="842" spans="1:5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row>
    <row r="843" spans="1:5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row>
    <row r="844" spans="1:5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row>
    <row r="845" spans="1:5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row>
    <row r="846" spans="1:5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row>
    <row r="847" spans="1:5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row>
    <row r="848" spans="1:5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row>
    <row r="849" spans="1:5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row>
    <row r="850" spans="1:5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row>
    <row r="851" spans="1:5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row>
    <row r="852" spans="1:5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row>
    <row r="853" spans="1:5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row>
    <row r="854" spans="1: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row>
    <row r="855" spans="1:5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row>
    <row r="856" spans="1:5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row>
    <row r="857" spans="1:5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row>
    <row r="858" spans="1:5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row>
    <row r="859" spans="1:5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row>
    <row r="860" spans="1:5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row>
    <row r="861" spans="1:5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row>
    <row r="862" spans="1:5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row>
    <row r="863" spans="1:5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row>
    <row r="864" spans="1:5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row>
    <row r="865" spans="1:5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row>
    <row r="866" spans="1:5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row>
    <row r="867" spans="1:5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row>
    <row r="868" spans="1:5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row>
    <row r="869" spans="1:5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row>
    <row r="870" spans="1:5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row>
    <row r="871" spans="1:5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row>
    <row r="872" spans="1:5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row>
    <row r="873" spans="1:5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row>
    <row r="874" spans="1:5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row>
    <row r="875" spans="1:5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row>
    <row r="876" spans="1:5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row>
    <row r="877" spans="1:5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row>
    <row r="878" spans="1:5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row>
    <row r="879" spans="1:5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row>
    <row r="880" spans="1:5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row>
    <row r="881" spans="1:5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row>
    <row r="882" spans="1:5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row>
    <row r="883" spans="1:5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row>
    <row r="884" spans="1:5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row>
    <row r="885" spans="1:5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row>
    <row r="886" spans="1:5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row>
    <row r="887" spans="1:5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row>
    <row r="888" spans="1:5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row>
    <row r="889" spans="1:5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row>
    <row r="890" spans="1:5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row>
    <row r="891" spans="1:5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row>
    <row r="892" spans="1:5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row>
    <row r="893" spans="1:5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row>
    <row r="894" spans="1:5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row>
    <row r="895" spans="1:5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row>
    <row r="896" spans="1:5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row>
    <row r="897" spans="1:5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row>
    <row r="898" spans="1:5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row>
    <row r="899" spans="1:5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row>
    <row r="900" spans="1:5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row>
    <row r="901" spans="1:5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row>
    <row r="902" spans="1:5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row>
    <row r="903" spans="1:5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row>
    <row r="904" spans="1:5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row>
    <row r="905" spans="1:5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row>
    <row r="906" spans="1:5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row>
    <row r="907" spans="1:5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row>
    <row r="908" spans="1:5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row>
    <row r="909" spans="1:5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row>
    <row r="910" spans="1:5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row>
    <row r="911" spans="1:5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row>
    <row r="912" spans="1:5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row>
    <row r="913" spans="1:5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row>
    <row r="914" spans="1:5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row>
    <row r="915" spans="1:5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row>
    <row r="916" spans="1:5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row>
    <row r="917" spans="1:5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row>
    <row r="918" spans="1:5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row>
    <row r="919" spans="1:5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row>
    <row r="920" spans="1:5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row>
    <row r="921" spans="1:5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row>
    <row r="922" spans="1:5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row>
    <row r="923" spans="1:5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row>
    <row r="924" spans="1:5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row>
    <row r="925" spans="1:5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row>
    <row r="926" spans="1:5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row>
    <row r="927" spans="1:5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row>
    <row r="928" spans="1:5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row>
    <row r="929" spans="1:5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row>
    <row r="930" spans="1:5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row>
    <row r="931" spans="1:5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row>
    <row r="932" spans="1:5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row>
    <row r="933" spans="1:5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row>
    <row r="934" spans="1:5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row>
    <row r="935" spans="1:5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row>
    <row r="936" spans="1:5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row>
    <row r="937" spans="1:5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row>
    <row r="938" spans="1:5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row>
    <row r="939" spans="1:5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row>
    <row r="940" spans="1:5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row>
    <row r="941" spans="1:5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row>
    <row r="942" spans="1:5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row>
    <row r="943" spans="1:5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row>
    <row r="944" spans="1:5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row>
    <row r="945" spans="1:5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row>
    <row r="946" spans="1:5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row>
    <row r="947" spans="1:5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row>
    <row r="948" spans="1:5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row>
    <row r="949" spans="1:5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row>
    <row r="950" spans="1:5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row>
    <row r="951" spans="1:5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row>
    <row r="952" spans="1:5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row>
    <row r="953" spans="1:5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row>
    <row r="954" spans="1: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row>
    <row r="955" spans="1:5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row>
    <row r="956" spans="1:5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row>
    <row r="957" spans="1:5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row>
    <row r="958" spans="1:5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row>
    <row r="959" spans="1:5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row>
    <row r="960" spans="1:5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row>
    <row r="961" spans="1:5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row>
    <row r="962" spans="1:5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row>
    <row r="963" spans="1:5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row>
    <row r="964" spans="1:5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row>
    <row r="965" spans="1:5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row>
    <row r="966" spans="1:5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row>
    <row r="967" spans="1:5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row>
    <row r="968" spans="1:5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row>
    <row r="969" spans="1:5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row>
    <row r="970" spans="1:5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row>
    <row r="971" spans="1:5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row>
    <row r="972" spans="1:5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row>
    <row r="973" spans="1:5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row>
    <row r="974" spans="1:5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row>
    <row r="975" spans="1:5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row>
    <row r="976" spans="1:5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row>
    <row r="977" spans="1:5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row>
    <row r="978" spans="1:5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row>
    <row r="979" spans="1:5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row>
    <row r="980" spans="1:5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row>
    <row r="981" spans="1:5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row>
    <row r="982" spans="1:5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row>
    <row r="983" spans="1:5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row>
    <row r="984" spans="1:5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row>
    <row r="985" spans="1:5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row>
    <row r="986" spans="1:5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row>
    <row r="987" spans="1:5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row>
    <row r="988" spans="1:5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row>
    <row r="989" spans="1:5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row>
    <row r="990" spans="1:5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row>
    <row r="991" spans="1:5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row>
    <row r="992" spans="1:5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row>
    <row r="993" spans="1:5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row>
    <row r="994" spans="1:5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row>
    <row r="995" spans="1:5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row>
    <row r="996" spans="1:5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row>
    <row r="997" spans="1:5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row>
    <row r="998" spans="1:5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row>
    <row r="999" spans="1:5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row>
    <row r="1000" spans="1:5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row>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C00-000000000000}">
      <formula1>"TOU,non-TOU"</formula1>
    </dataValidation>
    <dataValidation type="list" allowBlank="1" showErrorMessage="1" sqref="E15:E28 E30:E36 E38:E39 E41:E49 E55 E61" xr:uid="{00000000-0002-0000-0C00-000001000000}">
      <formula1>#REF!</formula1>
    </dataValidation>
    <dataValidation type="list" allowBlank="1" showInputMessage="1" showErrorMessage="1" prompt="Select Charge Unit - monthly, per kWh, per kW" sqref="D15:D28 D30:D36 D38:D39 D41:D49 D55 D61" xr:uid="{00000000-0002-0000-0C00-000002000000}">
      <formula1>"Monthly,per kWh,per kW"</formula1>
    </dataValidation>
  </dataValidations>
  <pageMargins left="0.74803149606299213" right="0.74803149606299213" top="0.98425196850393704" bottom="0.98425196850393704"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1000"/>
  <sheetViews>
    <sheetView showGridLines="0" workbookViewId="0">
      <pane ySplit="14" topLeftCell="A48" activePane="bottomLeft" state="frozen"/>
      <selection pane="bottomLeft" activeCell="K38" sqref="K38"/>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7.5703125" customWidth="1"/>
    <col min="8" max="8" width="9.28515625" customWidth="1"/>
    <col min="9" max="9" width="1.42578125" customWidth="1"/>
    <col min="10" max="10" width="10.42578125" customWidth="1"/>
    <col min="11" max="11" width="7.5703125" customWidth="1"/>
    <col min="12" max="12" width="9.28515625" customWidth="1"/>
    <col min="13" max="13" width="1" customWidth="1"/>
    <col min="14" max="14" width="9.140625" customWidth="1"/>
    <col min="15" max="15" width="9.42578125" customWidth="1"/>
    <col min="16" max="16" width="1.28515625" customWidth="1"/>
    <col min="17" max="17" width="10.42578125" customWidth="1"/>
    <col min="18" max="18" width="7.5703125" customWidth="1"/>
    <col min="19" max="19" width="9.28515625" customWidth="1"/>
    <col min="20" max="20" width="1.28515625" customWidth="1"/>
    <col min="21" max="21" width="9.140625" customWidth="1"/>
    <col min="22" max="22" width="9.42578125" customWidth="1"/>
    <col min="23" max="23" width="0.7109375" customWidth="1"/>
    <col min="24" max="24" width="10.42578125" customWidth="1"/>
    <col min="25" max="25" width="7.5703125" customWidth="1"/>
    <col min="26" max="26" width="9.28515625" customWidth="1"/>
    <col min="27" max="27" width="1.42578125" customWidth="1"/>
    <col min="28" max="28" width="9.140625" customWidth="1"/>
    <col min="29" max="29" width="9.42578125" customWidth="1"/>
    <col min="30" max="30" width="0.85546875" customWidth="1"/>
    <col min="31" max="31" width="10.42578125" customWidth="1"/>
    <col min="32" max="32" width="7.5703125" customWidth="1"/>
    <col min="33" max="33" width="9.28515625" customWidth="1"/>
    <col min="34" max="34" width="2.85546875" customWidth="1"/>
    <col min="35" max="35" width="9.140625" customWidth="1"/>
    <col min="36" max="36" width="9.42578125" customWidth="1"/>
    <col min="37" max="37" width="0.42578125" customWidth="1"/>
    <col min="38" max="38" width="10.42578125" customWidth="1"/>
    <col min="39" max="39" width="7.5703125" customWidth="1"/>
    <col min="40" max="40" width="9.28515625" customWidth="1"/>
    <col min="41" max="41" width="2.85546875" customWidth="1"/>
    <col min="42" max="42" width="9.140625" customWidth="1"/>
    <col min="43" max="43" width="9.42578125" customWidth="1"/>
    <col min="44" max="44" width="1.140625" customWidth="1"/>
    <col min="45" max="46" width="10.85546875" customWidth="1"/>
    <col min="47" max="54" width="12.42578125" customWidth="1"/>
  </cols>
  <sheetData>
    <row r="1" spans="1:54" ht="6"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18.75"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c r="AS2" s="52"/>
      <c r="AT2" s="52"/>
      <c r="AU2" s="3"/>
      <c r="AV2" s="3"/>
      <c r="AW2" s="3"/>
      <c r="AX2" s="3"/>
      <c r="AY2" s="3"/>
      <c r="AZ2" s="3"/>
      <c r="BA2" s="3"/>
      <c r="BB2" s="3"/>
    </row>
    <row r="3" spans="1:54"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3"/>
      <c r="AV3" s="3"/>
      <c r="AW3" s="3"/>
      <c r="AX3" s="3"/>
      <c r="AY3" s="3"/>
      <c r="AZ3" s="3"/>
      <c r="BA3" s="3"/>
      <c r="BB3" s="3"/>
    </row>
    <row r="4" spans="1:54"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3"/>
      <c r="AV4" s="3"/>
      <c r="AW4" s="3"/>
      <c r="AX4" s="3"/>
      <c r="AY4" s="3"/>
      <c r="AZ4" s="3"/>
      <c r="BA4" s="3"/>
      <c r="BB4" s="3"/>
    </row>
    <row r="5" spans="1:54"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3"/>
      <c r="AV5" s="3"/>
      <c r="AW5" s="3"/>
      <c r="AX5" s="3"/>
      <c r="AY5" s="3"/>
      <c r="AZ5" s="3"/>
      <c r="BA5" s="3"/>
      <c r="BB5" s="3"/>
    </row>
    <row r="6" spans="1:54" ht="12.75" customHeight="1">
      <c r="A6" s="52"/>
      <c r="B6" s="319" t="s">
        <v>294</v>
      </c>
      <c r="C6" s="52"/>
      <c r="D6" s="499"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3"/>
      <c r="AV6" s="3"/>
      <c r="AW6" s="3"/>
      <c r="AX6" s="3"/>
      <c r="AY6" s="3"/>
      <c r="AZ6" s="3"/>
      <c r="BA6" s="3"/>
      <c r="BB6" s="3"/>
    </row>
    <row r="7" spans="1:54"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3"/>
      <c r="AV7" s="3"/>
      <c r="AW7" s="3"/>
      <c r="AX7" s="3"/>
      <c r="AY7" s="3"/>
      <c r="AZ7" s="3"/>
      <c r="BA7" s="3"/>
      <c r="BB7" s="3"/>
    </row>
    <row r="8" spans="1:54"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3"/>
      <c r="AV8" s="3"/>
      <c r="AW8" s="3"/>
      <c r="AX8" s="3"/>
      <c r="AY8" s="3"/>
      <c r="AZ8" s="3"/>
      <c r="BA8" s="3"/>
      <c r="BB8" s="3"/>
    </row>
    <row r="9" spans="1:54"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3"/>
      <c r="AV9" s="3"/>
      <c r="AW9" s="3"/>
      <c r="AX9" s="3"/>
      <c r="AY9" s="3"/>
      <c r="AZ9" s="3"/>
      <c r="BA9" s="3"/>
      <c r="BB9" s="3"/>
    </row>
    <row r="10" spans="1:54" ht="12.75" customHeight="1">
      <c r="A10" s="52"/>
      <c r="B10" s="52"/>
      <c r="C10" s="52"/>
      <c r="D10" s="306" t="s">
        <v>297</v>
      </c>
      <c r="E10" s="306"/>
      <c r="F10" s="386">
        <v>640</v>
      </c>
      <c r="G10" s="306" t="s">
        <v>344</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3"/>
      <c r="AV10" s="3"/>
      <c r="AW10" s="3"/>
      <c r="AX10" s="3"/>
      <c r="AY10" s="3"/>
      <c r="AZ10" s="3"/>
      <c r="BA10" s="3"/>
      <c r="BB10" s="3"/>
    </row>
    <row r="11" spans="1:54"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52"/>
      <c r="AT11" s="52"/>
      <c r="AU11" s="3"/>
      <c r="AV11" s="3"/>
      <c r="AW11" s="3"/>
      <c r="AX11" s="3"/>
      <c r="AY11" s="3"/>
      <c r="AZ11" s="3"/>
      <c r="BA11" s="3"/>
      <c r="BB11" s="3"/>
    </row>
    <row r="12" spans="1:54"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09"/>
      <c r="AT12" s="309"/>
      <c r="AU12" s="3"/>
      <c r="AV12" s="3"/>
      <c r="AW12" s="3"/>
      <c r="AX12" s="3"/>
      <c r="AY12" s="3"/>
      <c r="AZ12" s="3"/>
      <c r="BA12" s="3"/>
      <c r="BB12" s="3"/>
    </row>
    <row r="13" spans="1:54"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88"/>
      <c r="AT13" s="388"/>
      <c r="AU13" s="3"/>
      <c r="AV13" s="3"/>
      <c r="AW13" s="3"/>
      <c r="AX13" s="3"/>
      <c r="AY13" s="3"/>
      <c r="AZ13" s="3"/>
      <c r="BA13" s="3"/>
      <c r="BB13" s="3"/>
    </row>
    <row r="14" spans="1:54"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88"/>
      <c r="AT14" s="388"/>
      <c r="AU14" s="3"/>
      <c r="AV14" s="3"/>
      <c r="AW14" s="3"/>
      <c r="AX14" s="3"/>
      <c r="AY14" s="3"/>
      <c r="AZ14" s="3"/>
      <c r="BA14" s="3"/>
      <c r="BB14" s="3"/>
    </row>
    <row r="15" spans="1:54"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30" si="5">L15-H15</f>
        <v>6.7700000000000031</v>
      </c>
      <c r="O15" s="402">
        <f t="shared" ref="O15:O30"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c r="AS15" s="403"/>
      <c r="AT15" s="403"/>
      <c r="AU15" s="3"/>
      <c r="AV15" s="3"/>
      <c r="AW15" s="3"/>
      <c r="AX15" s="3"/>
      <c r="AY15" s="3"/>
      <c r="AZ15" s="3"/>
      <c r="BA15" s="3"/>
      <c r="BB15" s="3"/>
    </row>
    <row r="16" spans="1:54"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c r="AS16" s="403"/>
      <c r="AT16" s="403"/>
      <c r="AU16" s="3"/>
      <c r="AV16" s="3"/>
      <c r="AW16" s="3"/>
      <c r="AX16" s="3"/>
      <c r="AY16" s="3"/>
      <c r="AZ16" s="3"/>
      <c r="BA16" s="3"/>
      <c r="BB16" s="3"/>
    </row>
    <row r="17" spans="1:5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640</v>
      </c>
      <c r="H17" s="400">
        <f t="shared" si="2"/>
        <v>0</v>
      </c>
      <c r="I17" s="128"/>
      <c r="J17" s="397">
        <f>IFERROR(VLOOKUP($C17,'Proposed Rates'!$B:$J,J$11,FALSE),0)</f>
        <v>0</v>
      </c>
      <c r="K17" s="398">
        <f t="shared" si="3"/>
        <v>640</v>
      </c>
      <c r="L17" s="400">
        <f t="shared" si="4"/>
        <v>0</v>
      </c>
      <c r="M17" s="128"/>
      <c r="N17" s="401">
        <f t="shared" si="5"/>
        <v>0</v>
      </c>
      <c r="O17" s="402" t="str">
        <f t="shared" si="6"/>
        <v/>
      </c>
      <c r="P17" s="52"/>
      <c r="Q17" s="397">
        <f>IFERROR(VLOOKUP($C17,'Proposed Rates'!$B:$J,Q$11,FALSE),0)</f>
        <v>0</v>
      </c>
      <c r="R17" s="398">
        <f t="shared" si="7"/>
        <v>640</v>
      </c>
      <c r="S17" s="400">
        <f t="shared" si="8"/>
        <v>0</v>
      </c>
      <c r="T17" s="128"/>
      <c r="U17" s="401">
        <f t="shared" si="9"/>
        <v>0</v>
      </c>
      <c r="V17" s="402" t="str">
        <f t="shared" si="10"/>
        <v/>
      </c>
      <c r="W17" s="52"/>
      <c r="X17" s="397">
        <f>IFERROR(VLOOKUP($C17,'Proposed Rates'!$B:$J,X$11,FALSE),0)</f>
        <v>0</v>
      </c>
      <c r="Y17" s="398">
        <f t="shared" si="11"/>
        <v>640</v>
      </c>
      <c r="Z17" s="400">
        <f t="shared" si="12"/>
        <v>0</v>
      </c>
      <c r="AA17" s="128"/>
      <c r="AB17" s="401">
        <f t="shared" si="13"/>
        <v>0</v>
      </c>
      <c r="AC17" s="402" t="str">
        <f t="shared" si="14"/>
        <v/>
      </c>
      <c r="AD17" s="52"/>
      <c r="AE17" s="397">
        <f>IFERROR(VLOOKUP($C17,'Proposed Rates'!$B:$J,AE$11,FALSE),0)</f>
        <v>0</v>
      </c>
      <c r="AF17" s="398">
        <f t="shared" si="15"/>
        <v>640</v>
      </c>
      <c r="AG17" s="400">
        <f t="shared" si="16"/>
        <v>0</v>
      </c>
      <c r="AH17" s="128"/>
      <c r="AI17" s="401">
        <f t="shared" si="17"/>
        <v>0</v>
      </c>
      <c r="AJ17" s="402" t="str">
        <f t="shared" si="18"/>
        <v/>
      </c>
      <c r="AK17" s="52"/>
      <c r="AL17" s="397">
        <f>IFERROR(VLOOKUP($C17,'Proposed Rates'!$B:$J,AL$11,FALSE),0)</f>
        <v>0</v>
      </c>
      <c r="AM17" s="398">
        <f t="shared" si="19"/>
        <v>640</v>
      </c>
      <c r="AN17" s="400">
        <f t="shared" si="20"/>
        <v>0</v>
      </c>
      <c r="AO17" s="128"/>
      <c r="AP17" s="401">
        <f t="shared" si="21"/>
        <v>0</v>
      </c>
      <c r="AQ17" s="402" t="str">
        <f t="shared" si="22"/>
        <v/>
      </c>
      <c r="AR17" s="403"/>
      <c r="AS17" s="403"/>
      <c r="AT17" s="403"/>
      <c r="AU17" s="3"/>
      <c r="AV17" s="3"/>
      <c r="AW17" s="3"/>
      <c r="AX17" s="3"/>
      <c r="AY17" s="3"/>
      <c r="AZ17" s="3"/>
      <c r="BA17" s="3"/>
      <c r="BB17" s="3"/>
    </row>
    <row r="18" spans="1:5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c r="AS18" s="403"/>
      <c r="AT18" s="403"/>
      <c r="AU18" s="3"/>
      <c r="AV18" s="3"/>
      <c r="AW18" s="3"/>
      <c r="AX18" s="3"/>
      <c r="AY18" s="3"/>
      <c r="AZ18" s="3"/>
      <c r="BA18" s="3"/>
      <c r="BB18" s="3"/>
    </row>
    <row r="19" spans="1:54" ht="12.75" customHeight="1">
      <c r="A19" s="52"/>
      <c r="B19" s="320" t="s">
        <v>59</v>
      </c>
      <c r="C19" s="395" t="str">
        <f t="shared" si="0"/>
        <v>Residential.Distribution Volumetric Rate</v>
      </c>
      <c r="D19" s="396" t="s">
        <v>308</v>
      </c>
      <c r="E19" s="320"/>
      <c r="F19" s="397">
        <f>IFERROR(VLOOKUP($C19,'Proposed Rates'!$B:$J,F$11,FALSE),0)</f>
        <v>0</v>
      </c>
      <c r="G19" s="398">
        <f t="shared" si="1"/>
        <v>640</v>
      </c>
      <c r="H19" s="400">
        <f t="shared" si="2"/>
        <v>0</v>
      </c>
      <c r="I19" s="128"/>
      <c r="J19" s="397">
        <f>IFERROR(VLOOKUP($C19,'Proposed Rates'!$B:$J,J$11,FALSE),0)</f>
        <v>0</v>
      </c>
      <c r="K19" s="398">
        <f t="shared" si="3"/>
        <v>640</v>
      </c>
      <c r="L19" s="400">
        <f t="shared" si="4"/>
        <v>0</v>
      </c>
      <c r="M19" s="128"/>
      <c r="N19" s="401">
        <f t="shared" si="5"/>
        <v>0</v>
      </c>
      <c r="O19" s="402" t="str">
        <f t="shared" si="6"/>
        <v/>
      </c>
      <c r="P19" s="52"/>
      <c r="Q19" s="397">
        <f>IFERROR(VLOOKUP($C19,'Proposed Rates'!$B:$J,Q$11,FALSE),0)</f>
        <v>0</v>
      </c>
      <c r="R19" s="398">
        <f t="shared" si="7"/>
        <v>640</v>
      </c>
      <c r="S19" s="400">
        <f t="shared" si="8"/>
        <v>0</v>
      </c>
      <c r="T19" s="128"/>
      <c r="U19" s="401">
        <f t="shared" si="9"/>
        <v>0</v>
      </c>
      <c r="V19" s="402" t="str">
        <f t="shared" si="10"/>
        <v/>
      </c>
      <c r="W19" s="52"/>
      <c r="X19" s="397">
        <f>IFERROR(VLOOKUP($C19,'Proposed Rates'!$B:$J,X$11,FALSE),0)</f>
        <v>0</v>
      </c>
      <c r="Y19" s="398">
        <f t="shared" si="11"/>
        <v>640</v>
      </c>
      <c r="Z19" s="400">
        <f t="shared" si="12"/>
        <v>0</v>
      </c>
      <c r="AA19" s="128"/>
      <c r="AB19" s="401">
        <f t="shared" si="13"/>
        <v>0</v>
      </c>
      <c r="AC19" s="402" t="str">
        <f t="shared" si="14"/>
        <v/>
      </c>
      <c r="AD19" s="52"/>
      <c r="AE19" s="397">
        <f>IFERROR(VLOOKUP($C19,'Proposed Rates'!$B:$J,AE$11,FALSE),0)</f>
        <v>0</v>
      </c>
      <c r="AF19" s="398">
        <f t="shared" si="15"/>
        <v>640</v>
      </c>
      <c r="AG19" s="400">
        <f t="shared" si="16"/>
        <v>0</v>
      </c>
      <c r="AH19" s="128"/>
      <c r="AI19" s="401">
        <f t="shared" si="17"/>
        <v>0</v>
      </c>
      <c r="AJ19" s="402" t="str">
        <f t="shared" si="18"/>
        <v/>
      </c>
      <c r="AK19" s="52"/>
      <c r="AL19" s="397">
        <f>IFERROR(VLOOKUP($C19,'Proposed Rates'!$B:$J,AL$11,FALSE),0)</f>
        <v>0</v>
      </c>
      <c r="AM19" s="398">
        <f t="shared" si="19"/>
        <v>640</v>
      </c>
      <c r="AN19" s="400">
        <f t="shared" si="20"/>
        <v>0</v>
      </c>
      <c r="AO19" s="128"/>
      <c r="AP19" s="401">
        <f t="shared" si="21"/>
        <v>0</v>
      </c>
      <c r="AQ19" s="402" t="str">
        <f t="shared" si="22"/>
        <v/>
      </c>
      <c r="AR19" s="403"/>
      <c r="AS19" s="403"/>
      <c r="AT19" s="403"/>
      <c r="AU19" s="3"/>
      <c r="AV19" s="3"/>
      <c r="AW19" s="3"/>
      <c r="AX19" s="3"/>
      <c r="AY19" s="3"/>
      <c r="AZ19" s="3"/>
      <c r="BA19" s="3"/>
      <c r="BB19" s="3"/>
    </row>
    <row r="20" spans="1:54" ht="12.75" customHeight="1">
      <c r="A20" s="52"/>
      <c r="B20" s="320" t="s">
        <v>309</v>
      </c>
      <c r="C20" s="395" t="str">
        <f t="shared" si="0"/>
        <v>Residential.Smart Meter Disposition Rider</v>
      </c>
      <c r="D20" s="396" t="s">
        <v>308</v>
      </c>
      <c r="E20" s="320"/>
      <c r="F20" s="397">
        <f>IFERROR(VLOOKUP($C20,'Proposed Rates'!$B:$J,F$11,FALSE),0)</f>
        <v>0</v>
      </c>
      <c r="G20" s="398">
        <f t="shared" si="1"/>
        <v>640</v>
      </c>
      <c r="H20" s="400">
        <f t="shared" si="2"/>
        <v>0</v>
      </c>
      <c r="I20" s="128"/>
      <c r="J20" s="397">
        <f>IFERROR(VLOOKUP($C20,'Proposed Rates'!$B:$J,J$11,FALSE),0)</f>
        <v>0</v>
      </c>
      <c r="K20" s="398">
        <f t="shared" si="3"/>
        <v>640</v>
      </c>
      <c r="L20" s="400">
        <f t="shared" si="4"/>
        <v>0</v>
      </c>
      <c r="M20" s="128"/>
      <c r="N20" s="401">
        <f t="shared" si="5"/>
        <v>0</v>
      </c>
      <c r="O20" s="402" t="str">
        <f t="shared" si="6"/>
        <v/>
      </c>
      <c r="P20" s="52"/>
      <c r="Q20" s="397">
        <f>IFERROR(VLOOKUP($C20,'Proposed Rates'!$B:$J,Q$11,FALSE),0)</f>
        <v>0</v>
      </c>
      <c r="R20" s="398">
        <f t="shared" si="7"/>
        <v>640</v>
      </c>
      <c r="S20" s="400">
        <f t="shared" si="8"/>
        <v>0</v>
      </c>
      <c r="T20" s="128"/>
      <c r="U20" s="401">
        <f t="shared" si="9"/>
        <v>0</v>
      </c>
      <c r="V20" s="402" t="str">
        <f t="shared" si="10"/>
        <v/>
      </c>
      <c r="W20" s="52"/>
      <c r="X20" s="397">
        <f>IFERROR(VLOOKUP($C20,'Proposed Rates'!$B:$J,X$11,FALSE),0)</f>
        <v>0</v>
      </c>
      <c r="Y20" s="398">
        <f t="shared" si="11"/>
        <v>640</v>
      </c>
      <c r="Z20" s="400">
        <f t="shared" si="12"/>
        <v>0</v>
      </c>
      <c r="AA20" s="128"/>
      <c r="AB20" s="401">
        <f t="shared" si="13"/>
        <v>0</v>
      </c>
      <c r="AC20" s="402" t="str">
        <f t="shared" si="14"/>
        <v/>
      </c>
      <c r="AD20" s="52"/>
      <c r="AE20" s="397">
        <f>IFERROR(VLOOKUP($C20,'Proposed Rates'!$B:$J,AE$11,FALSE),0)</f>
        <v>0</v>
      </c>
      <c r="AF20" s="398">
        <f t="shared" si="15"/>
        <v>640</v>
      </c>
      <c r="AG20" s="400">
        <f t="shared" si="16"/>
        <v>0</v>
      </c>
      <c r="AH20" s="128"/>
      <c r="AI20" s="401">
        <f t="shared" si="17"/>
        <v>0</v>
      </c>
      <c r="AJ20" s="402" t="str">
        <f t="shared" si="18"/>
        <v/>
      </c>
      <c r="AK20" s="52"/>
      <c r="AL20" s="397">
        <f>IFERROR(VLOOKUP($C20,'Proposed Rates'!$B:$J,AL$11,FALSE),0)</f>
        <v>0</v>
      </c>
      <c r="AM20" s="398">
        <f t="shared" si="19"/>
        <v>640</v>
      </c>
      <c r="AN20" s="400">
        <f t="shared" si="20"/>
        <v>0</v>
      </c>
      <c r="AO20" s="128"/>
      <c r="AP20" s="401">
        <f t="shared" si="21"/>
        <v>0</v>
      </c>
      <c r="AQ20" s="402" t="str">
        <f t="shared" si="22"/>
        <v/>
      </c>
      <c r="AR20" s="403"/>
      <c r="AS20" s="403"/>
      <c r="AT20" s="403"/>
      <c r="AU20" s="3"/>
      <c r="AV20" s="3"/>
      <c r="AW20" s="3"/>
      <c r="AX20" s="3"/>
      <c r="AY20" s="3"/>
      <c r="AZ20" s="3"/>
      <c r="BA20" s="3"/>
      <c r="BB20" s="3"/>
    </row>
    <row r="21" spans="1:5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c r="AS21" s="403"/>
      <c r="AT21" s="403"/>
      <c r="AU21" s="3"/>
      <c r="AV21" s="3"/>
      <c r="AW21" s="3"/>
      <c r="AX21" s="3"/>
      <c r="AY21" s="3"/>
      <c r="AZ21" s="3"/>
      <c r="BA21" s="3"/>
      <c r="BB21" s="3"/>
    </row>
    <row r="22" spans="1:54" ht="12.75" customHeight="1">
      <c r="A22" s="52"/>
      <c r="B22" s="48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c r="AS22" s="403"/>
      <c r="AT22" s="403"/>
      <c r="AU22" s="3"/>
      <c r="AV22" s="3"/>
      <c r="AW22" s="3"/>
      <c r="AX22" s="3"/>
      <c r="AY22" s="3"/>
      <c r="AZ22" s="3"/>
      <c r="BA22" s="3"/>
      <c r="BB22" s="3"/>
    </row>
    <row r="23" spans="1:5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c r="AS23" s="403"/>
      <c r="AT23" s="403"/>
      <c r="AU23" s="3"/>
      <c r="AV23" s="3"/>
      <c r="AW23" s="3"/>
      <c r="AX23" s="3"/>
      <c r="AY23" s="3"/>
      <c r="AZ23" s="3"/>
      <c r="BA23" s="3"/>
      <c r="BB23" s="3"/>
    </row>
    <row r="24" spans="1:5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c r="AS24" s="403"/>
      <c r="AT24" s="403"/>
      <c r="AU24" s="3"/>
      <c r="AV24" s="3"/>
      <c r="AW24" s="3"/>
      <c r="AX24" s="3"/>
      <c r="AY24" s="3"/>
      <c r="AZ24" s="3"/>
      <c r="BA24" s="3"/>
      <c r="BB24" s="3"/>
    </row>
    <row r="25" spans="1:5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c r="AS25" s="403"/>
      <c r="AT25" s="403"/>
      <c r="AU25" s="3"/>
      <c r="AV25" s="3"/>
      <c r="AW25" s="3"/>
      <c r="AX25" s="3"/>
      <c r="AY25" s="3"/>
      <c r="AZ25" s="3"/>
      <c r="BA25" s="3"/>
      <c r="BB25" s="3"/>
    </row>
    <row r="26" spans="1:54" ht="12.75" customHeight="1">
      <c r="A26" s="52"/>
      <c r="B26" s="48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c r="AS26" s="403"/>
      <c r="AT26" s="403"/>
      <c r="AU26" s="3"/>
      <c r="AV26" s="3"/>
      <c r="AW26" s="3"/>
      <c r="AX26" s="3"/>
      <c r="AY26" s="3"/>
      <c r="AZ26" s="3"/>
      <c r="BA26" s="3"/>
      <c r="BB26" s="3"/>
    </row>
    <row r="27" spans="1:5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c r="AS27" s="403"/>
      <c r="AT27" s="403"/>
      <c r="AU27" s="3"/>
      <c r="AV27" s="3"/>
      <c r="AW27" s="3"/>
      <c r="AX27" s="3"/>
      <c r="AY27" s="3"/>
      <c r="AZ27" s="3"/>
      <c r="BA27" s="3"/>
      <c r="BB27" s="3"/>
    </row>
    <row r="28" spans="1:5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c r="AS28" s="403"/>
      <c r="AT28" s="403"/>
      <c r="AU28" s="3"/>
      <c r="AV28" s="3"/>
      <c r="AW28" s="3"/>
      <c r="AX28" s="3"/>
      <c r="AY28" s="3"/>
      <c r="AZ28" s="3"/>
      <c r="BA28" s="3"/>
      <c r="BB28" s="3"/>
    </row>
    <row r="29" spans="1:54" ht="12.75" customHeight="1">
      <c r="A29" s="306"/>
      <c r="B29" s="405" t="s">
        <v>310</v>
      </c>
      <c r="C29" s="406"/>
      <c r="D29" s="406"/>
      <c r="E29" s="406"/>
      <c r="F29" s="407"/>
      <c r="G29" s="500"/>
      <c r="H29" s="409">
        <f>SUM(H15:H28)</f>
        <v>34.51</v>
      </c>
      <c r="I29" s="410"/>
      <c r="J29" s="407"/>
      <c r="K29" s="500"/>
      <c r="L29" s="409">
        <f>SUM(L15:L28)</f>
        <v>40.49</v>
      </c>
      <c r="M29" s="410"/>
      <c r="N29" s="411">
        <f t="shared" si="5"/>
        <v>5.980000000000004</v>
      </c>
      <c r="O29" s="412">
        <f t="shared" si="6"/>
        <v>0.17328310634598679</v>
      </c>
      <c r="P29" s="306"/>
      <c r="Q29" s="407"/>
      <c r="R29" s="500"/>
      <c r="S29" s="409">
        <f>SUM(S15:S28)</f>
        <v>44.13</v>
      </c>
      <c r="T29" s="410"/>
      <c r="U29" s="411">
        <f t="shared" si="9"/>
        <v>3.6400000000000006</v>
      </c>
      <c r="V29" s="412">
        <f t="shared" si="10"/>
        <v>8.9898740429735752E-2</v>
      </c>
      <c r="W29" s="306"/>
      <c r="X29" s="407"/>
      <c r="Y29" s="500"/>
      <c r="Z29" s="409">
        <f>SUM(Z15:Z28)</f>
        <v>48.07</v>
      </c>
      <c r="AA29" s="410"/>
      <c r="AB29" s="411">
        <f t="shared" si="13"/>
        <v>3.9399999999999977</v>
      </c>
      <c r="AC29" s="412">
        <f t="shared" si="14"/>
        <v>8.9281667799682704E-2</v>
      </c>
      <c r="AD29" s="306"/>
      <c r="AE29" s="407"/>
      <c r="AF29" s="500"/>
      <c r="AG29" s="409">
        <f>SUM(AG15:AG28)</f>
        <v>51.15</v>
      </c>
      <c r="AH29" s="410"/>
      <c r="AI29" s="411">
        <f t="shared" si="17"/>
        <v>3.0799999999999983</v>
      </c>
      <c r="AJ29" s="412">
        <f t="shared" si="18"/>
        <v>6.4073226544622386E-2</v>
      </c>
      <c r="AK29" s="306"/>
      <c r="AL29" s="407"/>
      <c r="AM29" s="500"/>
      <c r="AN29" s="409">
        <f>SUM(AN15:AN28)</f>
        <v>54.07</v>
      </c>
      <c r="AO29" s="410"/>
      <c r="AP29" s="411">
        <f t="shared" si="21"/>
        <v>2.9200000000000017</v>
      </c>
      <c r="AQ29" s="412">
        <f t="shared" si="22"/>
        <v>5.7086999022482932E-2</v>
      </c>
      <c r="AR29" s="451"/>
      <c r="AS29" s="451"/>
      <c r="AT29" s="451"/>
      <c r="AU29" s="3"/>
      <c r="AV29" s="3"/>
      <c r="AW29" s="3"/>
      <c r="AX29" s="3"/>
      <c r="AY29" s="3"/>
      <c r="AZ29" s="3"/>
      <c r="BA29" s="3"/>
      <c r="BB29" s="3"/>
    </row>
    <row r="30" spans="1:5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640</v>
      </c>
      <c r="H30" s="400">
        <f t="shared" ref="H30:H36" si="25">G30*F30</f>
        <v>-0.128</v>
      </c>
      <c r="I30" s="128"/>
      <c r="J30" s="414">
        <f>IFERROR(VLOOKUP($C30,'Proposed Rates'!$B:$J,J$11,FALSE),0)</f>
        <v>-5.9999999999999995E-4</v>
      </c>
      <c r="K30" s="415">
        <f t="shared" ref="K30:K33" si="26">IF($D30="Monthly",1,IF($D30="per KWH",$F$10,0))</f>
        <v>640</v>
      </c>
      <c r="L30" s="400">
        <f t="shared" ref="L30:L36" si="27">K30*J30</f>
        <v>-0.38399999999999995</v>
      </c>
      <c r="M30" s="128"/>
      <c r="N30" s="401">
        <f t="shared" si="5"/>
        <v>-0.25599999999999995</v>
      </c>
      <c r="O30" s="402">
        <f t="shared" si="6"/>
        <v>1.9999999999999996</v>
      </c>
      <c r="P30" s="52"/>
      <c r="Q30" s="414">
        <f>IFERROR(VLOOKUP($C30,'Proposed Rates'!$B:$J,Q$11,FALSE),0)</f>
        <v>0</v>
      </c>
      <c r="R30" s="415">
        <f t="shared" ref="R30:R33" si="28">IF($D30="Monthly",1,IF($D30="per KWH",$F$10,0))</f>
        <v>640</v>
      </c>
      <c r="S30" s="400">
        <f t="shared" ref="S30:S36" si="29">R30*Q30</f>
        <v>0</v>
      </c>
      <c r="T30" s="128"/>
      <c r="U30" s="401">
        <f t="shared" si="9"/>
        <v>0.38399999999999995</v>
      </c>
      <c r="V30" s="402">
        <f t="shared" si="10"/>
        <v>-1</v>
      </c>
      <c r="W30" s="52"/>
      <c r="X30" s="414">
        <f>IFERROR(VLOOKUP($C30,'Proposed Rates'!$B:$J,X$11,FALSE),0)</f>
        <v>0</v>
      </c>
      <c r="Y30" s="415">
        <f t="shared" ref="Y30:Y33" si="30">IF($D30="Monthly",1,IF($D30="per KWH",$F$10,0))</f>
        <v>640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640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640</v>
      </c>
      <c r="AN30" s="400">
        <f t="shared" ref="AN30:AN36" si="35">AM30*AL30</f>
        <v>0</v>
      </c>
      <c r="AO30" s="128"/>
      <c r="AP30" s="401">
        <f t="shared" si="21"/>
        <v>0</v>
      </c>
      <c r="AQ30" s="402" t="str">
        <f t="shared" si="22"/>
        <v/>
      </c>
      <c r="AR30" s="403"/>
      <c r="AS30" s="403"/>
      <c r="AT30" s="403"/>
      <c r="AU30" s="3"/>
      <c r="AV30" s="3"/>
      <c r="AW30" s="3"/>
      <c r="AX30" s="3"/>
      <c r="AY30" s="3"/>
      <c r="AZ30" s="3"/>
      <c r="BA30" s="3"/>
      <c r="BB30" s="3"/>
    </row>
    <row r="31" spans="1:54" ht="12.75" customHeight="1">
      <c r="A31" s="52"/>
      <c r="B31" s="484" t="s">
        <v>236</v>
      </c>
      <c r="C31" s="395" t="str">
        <f t="shared" si="23"/>
        <v>Residential.DVA Disposition Rate Rider Group 1 - 2024</v>
      </c>
      <c r="D31" s="396" t="s">
        <v>308</v>
      </c>
      <c r="E31" s="320"/>
      <c r="F31" s="414">
        <f>IFERROR(VLOOKUP($C31,'Proposed Rates'!$B:$J,F$11,FALSE),0)</f>
        <v>0</v>
      </c>
      <c r="G31" s="415">
        <f t="shared" si="24"/>
        <v>640</v>
      </c>
      <c r="H31" s="498">
        <f t="shared" si="25"/>
        <v>0</v>
      </c>
      <c r="I31" s="485"/>
      <c r="J31" s="414">
        <f>IFERROR(VLOOKUP($C31,'Proposed Rates'!$B:$J,J$11,FALSE),0)</f>
        <v>0</v>
      </c>
      <c r="K31" s="415">
        <f t="shared" si="26"/>
        <v>640</v>
      </c>
      <c r="L31" s="498">
        <f t="shared" si="27"/>
        <v>0</v>
      </c>
      <c r="M31" s="417"/>
      <c r="N31" s="401"/>
      <c r="O31" s="402"/>
      <c r="P31" s="52"/>
      <c r="Q31" s="414">
        <f>IFERROR(VLOOKUP($C31,'Proposed Rates'!$B:$J,Q$11,FALSE),0)</f>
        <v>0</v>
      </c>
      <c r="R31" s="415">
        <f t="shared" si="28"/>
        <v>640</v>
      </c>
      <c r="S31" s="498">
        <f t="shared" si="29"/>
        <v>0</v>
      </c>
      <c r="T31" s="417"/>
      <c r="U31" s="401">
        <f t="shared" si="9"/>
        <v>0</v>
      </c>
      <c r="V31" s="402" t="str">
        <f t="shared" si="10"/>
        <v/>
      </c>
      <c r="W31" s="52"/>
      <c r="X31" s="414">
        <f>IFERROR(VLOOKUP($C31,'Proposed Rates'!$B:$J,X$11,FALSE),0)</f>
        <v>0</v>
      </c>
      <c r="Y31" s="415">
        <f t="shared" si="30"/>
        <v>640</v>
      </c>
      <c r="Z31" s="498">
        <f t="shared" si="31"/>
        <v>0</v>
      </c>
      <c r="AA31" s="417"/>
      <c r="AB31" s="401">
        <f t="shared" si="13"/>
        <v>0</v>
      </c>
      <c r="AC31" s="402" t="str">
        <f t="shared" si="14"/>
        <v/>
      </c>
      <c r="AD31" s="52"/>
      <c r="AE31" s="414">
        <f>IFERROR(VLOOKUP($C31,'Proposed Rates'!$B:$J,AE$11,FALSE),0)</f>
        <v>0</v>
      </c>
      <c r="AF31" s="415">
        <f t="shared" si="32"/>
        <v>640</v>
      </c>
      <c r="AG31" s="498">
        <f t="shared" si="33"/>
        <v>0</v>
      </c>
      <c r="AH31" s="417"/>
      <c r="AI31" s="401">
        <f t="shared" si="17"/>
        <v>0</v>
      </c>
      <c r="AJ31" s="402" t="str">
        <f t="shared" si="18"/>
        <v/>
      </c>
      <c r="AK31" s="52"/>
      <c r="AL31" s="414">
        <f>IFERROR(VLOOKUP($C31,'Proposed Rates'!$B:$J,AL$11,FALSE),0)</f>
        <v>0</v>
      </c>
      <c r="AM31" s="415">
        <f t="shared" si="34"/>
        <v>640</v>
      </c>
      <c r="AN31" s="498">
        <f t="shared" si="35"/>
        <v>0</v>
      </c>
      <c r="AO31" s="417"/>
      <c r="AP31" s="401">
        <f t="shared" si="21"/>
        <v>0</v>
      </c>
      <c r="AQ31" s="402" t="str">
        <f t="shared" si="22"/>
        <v/>
      </c>
      <c r="AR31" s="403"/>
      <c r="AS31" s="403"/>
      <c r="AT31" s="403"/>
      <c r="AU31" s="3"/>
      <c r="AV31" s="3"/>
      <c r="AW31" s="3"/>
      <c r="AX31" s="3"/>
      <c r="AY31" s="3"/>
      <c r="AZ31" s="3"/>
      <c r="BA31" s="3"/>
      <c r="BB31" s="3"/>
    </row>
    <row r="32" spans="1:54" ht="12.75" customHeight="1">
      <c r="A32" s="52"/>
      <c r="B32" s="484" t="s">
        <v>244</v>
      </c>
      <c r="C32" s="395" t="str">
        <f t="shared" si="23"/>
        <v>Residential.CBR Class B Rate Riders</v>
      </c>
      <c r="D32" s="396" t="s">
        <v>308</v>
      </c>
      <c r="E32" s="320"/>
      <c r="F32" s="414">
        <f>IFERROR(VLOOKUP($C32,'Proposed Rates'!$B:$J,F$11,FALSE),0)</f>
        <v>2.0000000000000001E-4</v>
      </c>
      <c r="G32" s="415">
        <f t="shared" si="24"/>
        <v>640</v>
      </c>
      <c r="H32" s="400">
        <f t="shared" si="25"/>
        <v>0.128</v>
      </c>
      <c r="I32" s="485"/>
      <c r="J32" s="414">
        <f>IFERROR(VLOOKUP($C32,'Proposed Rates'!$B:$J,J$11,FALSE),0)</f>
        <v>4.0000000000000002E-4</v>
      </c>
      <c r="K32" s="415">
        <f t="shared" si="26"/>
        <v>640</v>
      </c>
      <c r="L32" s="400">
        <f t="shared" si="27"/>
        <v>0.25600000000000001</v>
      </c>
      <c r="M32" s="417"/>
      <c r="N32" s="401">
        <f t="shared" ref="N32:N48" si="36">L32-H32</f>
        <v>0.128</v>
      </c>
      <c r="O32" s="402">
        <f t="shared" ref="O32:O48" si="37">IF((H32)=0,"",(N32/H32))</f>
        <v>1</v>
      </c>
      <c r="P32" s="52"/>
      <c r="Q32" s="414">
        <f>IFERROR(VLOOKUP($C32,'Proposed Rates'!$B:$J,Q$11,FALSE),0)</f>
        <v>0</v>
      </c>
      <c r="R32" s="415">
        <f t="shared" si="28"/>
        <v>640</v>
      </c>
      <c r="S32" s="400">
        <f t="shared" si="29"/>
        <v>0</v>
      </c>
      <c r="T32" s="417"/>
      <c r="U32" s="401">
        <f t="shared" si="9"/>
        <v>-0.25600000000000001</v>
      </c>
      <c r="V32" s="402">
        <f t="shared" si="10"/>
        <v>-1</v>
      </c>
      <c r="W32" s="52"/>
      <c r="X32" s="414">
        <f>IFERROR(VLOOKUP($C32,'Proposed Rates'!$B:$J,X$11,FALSE),0)</f>
        <v>0</v>
      </c>
      <c r="Y32" s="415">
        <f t="shared" si="30"/>
        <v>640</v>
      </c>
      <c r="Z32" s="400">
        <f t="shared" si="31"/>
        <v>0</v>
      </c>
      <c r="AA32" s="417"/>
      <c r="AB32" s="401">
        <f t="shared" si="13"/>
        <v>0</v>
      </c>
      <c r="AC32" s="402" t="str">
        <f t="shared" si="14"/>
        <v/>
      </c>
      <c r="AD32" s="52"/>
      <c r="AE32" s="414">
        <f>IFERROR(VLOOKUP($C32,'Proposed Rates'!$B:$J,AE$11,FALSE),0)</f>
        <v>0</v>
      </c>
      <c r="AF32" s="415">
        <f t="shared" si="32"/>
        <v>640</v>
      </c>
      <c r="AG32" s="400">
        <f t="shared" si="33"/>
        <v>0</v>
      </c>
      <c r="AH32" s="417"/>
      <c r="AI32" s="401">
        <f t="shared" si="17"/>
        <v>0</v>
      </c>
      <c r="AJ32" s="402" t="str">
        <f t="shared" si="18"/>
        <v/>
      </c>
      <c r="AK32" s="52"/>
      <c r="AL32" s="414">
        <f>IFERROR(VLOOKUP($C32,'Proposed Rates'!$B:$J,AL$11,FALSE),0)</f>
        <v>0</v>
      </c>
      <c r="AM32" s="415">
        <f t="shared" si="34"/>
        <v>640</v>
      </c>
      <c r="AN32" s="400">
        <f t="shared" si="35"/>
        <v>0</v>
      </c>
      <c r="AO32" s="417"/>
      <c r="AP32" s="401">
        <f t="shared" si="21"/>
        <v>0</v>
      </c>
      <c r="AQ32" s="402" t="str">
        <f t="shared" si="22"/>
        <v/>
      </c>
      <c r="AR32" s="403"/>
      <c r="AS32" s="403"/>
      <c r="AT32" s="403"/>
      <c r="AU32" s="3"/>
      <c r="AV32" s="3"/>
      <c r="AW32" s="3"/>
      <c r="AX32" s="3"/>
      <c r="AY32" s="3"/>
      <c r="AZ32" s="3"/>
      <c r="BA32" s="3"/>
      <c r="BB32" s="3"/>
    </row>
    <row r="33" spans="1:54" ht="12.75" customHeight="1">
      <c r="A33" s="52"/>
      <c r="B33" s="484" t="s">
        <v>311</v>
      </c>
      <c r="C33" s="395" t="str">
        <f t="shared" si="23"/>
        <v>Residential.GA Disposition Rate Rider-NonRPP</v>
      </c>
      <c r="D33" s="396" t="s">
        <v>308</v>
      </c>
      <c r="E33" s="320"/>
      <c r="F33" s="414">
        <f>IFERROR(VLOOKUP($C33,'Proposed Rates'!$B:$J,F$11,FALSE),0)</f>
        <v>0</v>
      </c>
      <c r="G33" s="415">
        <f t="shared" si="24"/>
        <v>640</v>
      </c>
      <c r="H33" s="400">
        <f t="shared" si="25"/>
        <v>0</v>
      </c>
      <c r="I33" s="485"/>
      <c r="J33" s="414">
        <f>IFERROR(VLOOKUP($C33,'Proposed Rates'!$B:$J,J$11,FALSE),0)</f>
        <v>0</v>
      </c>
      <c r="K33" s="415">
        <f t="shared" si="26"/>
        <v>640</v>
      </c>
      <c r="L33" s="400">
        <f t="shared" si="27"/>
        <v>0</v>
      </c>
      <c r="M33" s="417"/>
      <c r="N33" s="401">
        <f t="shared" si="36"/>
        <v>0</v>
      </c>
      <c r="O33" s="402" t="str">
        <f t="shared" si="37"/>
        <v/>
      </c>
      <c r="P33" s="52"/>
      <c r="Q33" s="414">
        <f>IFERROR(VLOOKUP($C33,'Proposed Rates'!$B:$J,Q$11,FALSE),0)</f>
        <v>0</v>
      </c>
      <c r="R33" s="415">
        <f t="shared" si="28"/>
        <v>640</v>
      </c>
      <c r="S33" s="400">
        <f t="shared" si="29"/>
        <v>0</v>
      </c>
      <c r="T33" s="417"/>
      <c r="U33" s="401">
        <f t="shared" si="9"/>
        <v>0</v>
      </c>
      <c r="V33" s="402" t="str">
        <f t="shared" si="10"/>
        <v/>
      </c>
      <c r="W33" s="52"/>
      <c r="X33" s="414">
        <f>IFERROR(VLOOKUP($C33,'Proposed Rates'!$B:$J,X$11,FALSE),0)</f>
        <v>0</v>
      </c>
      <c r="Y33" s="415">
        <f t="shared" si="30"/>
        <v>640</v>
      </c>
      <c r="Z33" s="400">
        <f t="shared" si="31"/>
        <v>0</v>
      </c>
      <c r="AA33" s="417"/>
      <c r="AB33" s="401">
        <f t="shared" si="13"/>
        <v>0</v>
      </c>
      <c r="AC33" s="402" t="str">
        <f t="shared" si="14"/>
        <v/>
      </c>
      <c r="AD33" s="52"/>
      <c r="AE33" s="414">
        <f>IFERROR(VLOOKUP($C33,'Proposed Rates'!$B:$J,AE$11,FALSE),0)</f>
        <v>0</v>
      </c>
      <c r="AF33" s="415">
        <f t="shared" si="32"/>
        <v>640</v>
      </c>
      <c r="AG33" s="400">
        <f t="shared" si="33"/>
        <v>0</v>
      </c>
      <c r="AH33" s="417"/>
      <c r="AI33" s="401">
        <f t="shared" si="17"/>
        <v>0</v>
      </c>
      <c r="AJ33" s="402" t="str">
        <f t="shared" si="18"/>
        <v/>
      </c>
      <c r="AK33" s="52"/>
      <c r="AL33" s="414">
        <f>IFERROR(VLOOKUP($C33,'Proposed Rates'!$B:$J,AL$11,FALSE),0)</f>
        <v>0</v>
      </c>
      <c r="AM33" s="415">
        <f t="shared" si="34"/>
        <v>640</v>
      </c>
      <c r="AN33" s="400">
        <f t="shared" si="35"/>
        <v>0</v>
      </c>
      <c r="AO33" s="417"/>
      <c r="AP33" s="401">
        <f t="shared" si="21"/>
        <v>0</v>
      </c>
      <c r="AQ33" s="402" t="str">
        <f t="shared" si="22"/>
        <v/>
      </c>
      <c r="AR33" s="403"/>
      <c r="AS33" s="403"/>
      <c r="AT33" s="403"/>
      <c r="AU33" s="3"/>
      <c r="AV33" s="3"/>
      <c r="AW33" s="3"/>
      <c r="AX33" s="3"/>
      <c r="AY33" s="3"/>
      <c r="AZ33" s="3"/>
      <c r="BA33" s="3"/>
      <c r="BB33" s="3"/>
    </row>
    <row r="34" spans="1:54" ht="12.75" customHeight="1">
      <c r="A34" s="52"/>
      <c r="B34" s="320" t="s">
        <v>269</v>
      </c>
      <c r="C34" s="395" t="str">
        <f t="shared" si="23"/>
        <v>Residential.Low Voltage Service Charge</v>
      </c>
      <c r="D34" s="396" t="s">
        <v>308</v>
      </c>
      <c r="E34" s="320"/>
      <c r="F34" s="418">
        <f>IFERROR(VLOOKUP($C34,'Proposed Rates'!$B:$J,F$11,FALSE),0)</f>
        <v>5.0000000000000002E-5</v>
      </c>
      <c r="G34" s="419">
        <f>$F$10*(1+F$63)</f>
        <v>661.63200000000006</v>
      </c>
      <c r="H34" s="400">
        <f t="shared" si="25"/>
        <v>3.3081600000000003E-2</v>
      </c>
      <c r="I34" s="128"/>
      <c r="J34" s="418">
        <f>IFERROR(VLOOKUP($C34,'Proposed Rates'!$B:$J,J$11,FALSE),0)</f>
        <v>6.9999999999999994E-5</v>
      </c>
      <c r="K34" s="419">
        <f>$F$10*(1+J$63)</f>
        <v>661.24799999999993</v>
      </c>
      <c r="L34" s="400">
        <f t="shared" si="27"/>
        <v>4.6287359999999993E-2</v>
      </c>
      <c r="M34" s="128"/>
      <c r="N34" s="401">
        <f t="shared" si="36"/>
        <v>1.320575999999999E-2</v>
      </c>
      <c r="O34" s="402">
        <f t="shared" si="37"/>
        <v>0.39918746372605884</v>
      </c>
      <c r="P34" s="52"/>
      <c r="Q34" s="418">
        <f>IFERROR(VLOOKUP($C34,'Proposed Rates'!$B:$J,Q$11,FALSE),0)</f>
        <v>6.9999999999999994E-5</v>
      </c>
      <c r="R34" s="419">
        <f>$F$10*(1+Q$63)</f>
        <v>661.24799999999993</v>
      </c>
      <c r="S34" s="400">
        <f t="shared" si="29"/>
        <v>4.6287359999999993E-2</v>
      </c>
      <c r="T34" s="128"/>
      <c r="U34" s="401">
        <f t="shared" si="9"/>
        <v>0</v>
      </c>
      <c r="V34" s="402">
        <f t="shared" si="10"/>
        <v>0</v>
      </c>
      <c r="W34" s="52"/>
      <c r="X34" s="418">
        <f>IFERROR(VLOOKUP($C34,'Proposed Rates'!$B:$J,X$11,FALSE),0)</f>
        <v>8.0000000000000007E-5</v>
      </c>
      <c r="Y34" s="419">
        <f>$F$10*(1+X$63)</f>
        <v>661.24799999999993</v>
      </c>
      <c r="Z34" s="400">
        <f t="shared" si="31"/>
        <v>5.2899839999999997E-2</v>
      </c>
      <c r="AA34" s="128"/>
      <c r="AB34" s="401">
        <f t="shared" si="13"/>
        <v>6.6124800000000039E-3</v>
      </c>
      <c r="AC34" s="402">
        <f t="shared" si="14"/>
        <v>0.14285714285714296</v>
      </c>
      <c r="AD34" s="52"/>
      <c r="AE34" s="418">
        <f>IFERROR(VLOOKUP($C34,'Proposed Rates'!$B:$J,AE$11,FALSE),0)</f>
        <v>8.0000000000000007E-5</v>
      </c>
      <c r="AF34" s="419">
        <f>$F$10*(1+AE$63)</f>
        <v>661.24799999999993</v>
      </c>
      <c r="AG34" s="400">
        <f t="shared" si="33"/>
        <v>5.2899839999999997E-2</v>
      </c>
      <c r="AH34" s="128"/>
      <c r="AI34" s="401">
        <f t="shared" si="17"/>
        <v>0</v>
      </c>
      <c r="AJ34" s="402">
        <f t="shared" si="18"/>
        <v>0</v>
      </c>
      <c r="AK34" s="52"/>
      <c r="AL34" s="418">
        <f>IFERROR(VLOOKUP($C34,'Proposed Rates'!$B:$J,AL$11,FALSE),0)</f>
        <v>8.0000000000000007E-5</v>
      </c>
      <c r="AM34" s="419">
        <f>$F$10*(1+AL$63)</f>
        <v>661.24799999999993</v>
      </c>
      <c r="AN34" s="400">
        <f t="shared" si="35"/>
        <v>5.2899839999999997E-2</v>
      </c>
      <c r="AO34" s="128"/>
      <c r="AP34" s="401">
        <f t="shared" si="21"/>
        <v>0</v>
      </c>
      <c r="AQ34" s="402">
        <f t="shared" si="22"/>
        <v>0</v>
      </c>
      <c r="AR34" s="403"/>
      <c r="AS34" s="403"/>
      <c r="AT34" s="403"/>
      <c r="AU34" s="3"/>
      <c r="AV34" s="3"/>
      <c r="AW34" s="3"/>
      <c r="AX34" s="3"/>
      <c r="AY34" s="3"/>
      <c r="AZ34" s="3"/>
      <c r="BA34" s="3"/>
      <c r="BB34" s="3"/>
    </row>
    <row r="35" spans="1:54" ht="12.75" customHeight="1">
      <c r="A35" s="52"/>
      <c r="B35" s="320" t="s">
        <v>312</v>
      </c>
      <c r="C35" s="395" t="str">
        <f t="shared" si="23"/>
        <v>Residential.Line Losses on Cost of Power</v>
      </c>
      <c r="D35" s="396" t="s">
        <v>308</v>
      </c>
      <c r="E35" s="320"/>
      <c r="F35" s="420">
        <f>'Proposed Rates'!$K$249*F$44+'Proposed Rates'!$K$250*F$46+'Proposed Rates'!$K$251*F$45</f>
        <v>0.12751999999999999</v>
      </c>
      <c r="G35" s="421">
        <f>$F$10*(1+F$63)-$F$10</f>
        <v>21.632000000000062</v>
      </c>
      <c r="H35" s="400">
        <f t="shared" si="25"/>
        <v>2.7585126400000077</v>
      </c>
      <c r="I35" s="128"/>
      <c r="J35" s="420">
        <f>'Proposed Rates'!$K$249*J$44+'Proposed Rates'!$K$250*J$46+'Proposed Rates'!$K$251*J$45</f>
        <v>0.12751999999999999</v>
      </c>
      <c r="K35" s="421">
        <f>$F$10*(1+J$63)-$F$10</f>
        <v>21.247999999999934</v>
      </c>
      <c r="L35" s="400">
        <f t="shared" si="27"/>
        <v>2.7095449599999912</v>
      </c>
      <c r="M35" s="128"/>
      <c r="N35" s="401">
        <f t="shared" si="36"/>
        <v>-4.89676800000165E-2</v>
      </c>
      <c r="O35" s="402">
        <f t="shared" si="37"/>
        <v>-1.7751479289946762E-2</v>
      </c>
      <c r="P35" s="52"/>
      <c r="Q35" s="420">
        <f>'Proposed Rates'!$K$249*Q$44+'Proposed Rates'!$K$250*Q$46+'Proposed Rates'!$K$251*Q$45</f>
        <v>0.12751999999999999</v>
      </c>
      <c r="R35" s="421">
        <f>$F$10*(1+Q$63)-$F$10</f>
        <v>21.247999999999934</v>
      </c>
      <c r="S35" s="400">
        <f t="shared" si="29"/>
        <v>2.7095449599999912</v>
      </c>
      <c r="T35" s="128"/>
      <c r="U35" s="401">
        <f t="shared" si="9"/>
        <v>0</v>
      </c>
      <c r="V35" s="402">
        <f t="shared" si="10"/>
        <v>0</v>
      </c>
      <c r="W35" s="52"/>
      <c r="X35" s="420">
        <f>'Proposed Rates'!$K$249*X$44+'Proposed Rates'!$K$250*X$46+'Proposed Rates'!$K$251*X$45</f>
        <v>0.12751999999999999</v>
      </c>
      <c r="Y35" s="421">
        <f>$F$10*(1+X$63)-$F$10</f>
        <v>21.247999999999934</v>
      </c>
      <c r="Z35" s="400">
        <f t="shared" si="31"/>
        <v>2.7095449599999912</v>
      </c>
      <c r="AA35" s="128"/>
      <c r="AB35" s="401">
        <f t="shared" si="13"/>
        <v>0</v>
      </c>
      <c r="AC35" s="402">
        <f t="shared" si="14"/>
        <v>0</v>
      </c>
      <c r="AD35" s="52"/>
      <c r="AE35" s="420">
        <f>'Proposed Rates'!$K$249*AE$44+'Proposed Rates'!$K$250*AE$46+'Proposed Rates'!$K$251*AE$45</f>
        <v>0.12751999999999999</v>
      </c>
      <c r="AF35" s="421">
        <f>$F$10*(1+AE$63)-$F$10</f>
        <v>21.247999999999934</v>
      </c>
      <c r="AG35" s="400">
        <f t="shared" si="33"/>
        <v>2.7095449599999912</v>
      </c>
      <c r="AH35" s="128"/>
      <c r="AI35" s="401">
        <f t="shared" si="17"/>
        <v>0</v>
      </c>
      <c r="AJ35" s="402">
        <f t="shared" si="18"/>
        <v>0</v>
      </c>
      <c r="AK35" s="52"/>
      <c r="AL35" s="420">
        <f>'Proposed Rates'!$K$249*AL$44+'Proposed Rates'!$K$250*AL$46+'Proposed Rates'!$K$251*AL$45</f>
        <v>0.12751999999999999</v>
      </c>
      <c r="AM35" s="421">
        <f>$F$10*(1+AL$63)-$F$10</f>
        <v>21.247999999999934</v>
      </c>
      <c r="AN35" s="400">
        <f t="shared" si="35"/>
        <v>2.7095449599999912</v>
      </c>
      <c r="AO35" s="128"/>
      <c r="AP35" s="401">
        <f t="shared" si="21"/>
        <v>0</v>
      </c>
      <c r="AQ35" s="402">
        <f t="shared" si="22"/>
        <v>0</v>
      </c>
      <c r="AR35" s="403"/>
      <c r="AS35" s="403"/>
      <c r="AT35" s="403"/>
      <c r="AU35" s="3"/>
      <c r="AV35" s="3"/>
      <c r="AW35" s="3"/>
      <c r="AX35" s="3"/>
      <c r="AY35" s="3"/>
      <c r="AZ35" s="3"/>
      <c r="BA35" s="3"/>
      <c r="BB35" s="3"/>
    </row>
    <row r="36" spans="1:5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36"/>
        <v>0</v>
      </c>
      <c r="O36" s="402">
        <f t="shared" si="37"/>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c r="AS36" s="403"/>
      <c r="AT36" s="403"/>
      <c r="AU36" s="3"/>
      <c r="AV36" s="3"/>
      <c r="AW36" s="3"/>
      <c r="AX36" s="3"/>
      <c r="AY36" s="3"/>
      <c r="AZ36" s="3"/>
      <c r="BA36" s="3"/>
      <c r="BB36" s="3"/>
    </row>
    <row r="37" spans="1:54" ht="12.75" customHeight="1">
      <c r="A37" s="52"/>
      <c r="B37" s="486" t="s">
        <v>313</v>
      </c>
      <c r="C37" s="422"/>
      <c r="D37" s="422"/>
      <c r="E37" s="422"/>
      <c r="F37" s="423"/>
      <c r="G37" s="501"/>
      <c r="H37" s="409">
        <f>SUM(H30:H36)+H29</f>
        <v>37.721594240000009</v>
      </c>
      <c r="I37" s="425"/>
      <c r="J37" s="423"/>
      <c r="K37" s="501"/>
      <c r="L37" s="409">
        <f>SUM(L30:L36)+L29</f>
        <v>43.537832319999993</v>
      </c>
      <c r="M37" s="425"/>
      <c r="N37" s="411">
        <f t="shared" si="36"/>
        <v>5.8162380799999838</v>
      </c>
      <c r="O37" s="412">
        <f t="shared" si="37"/>
        <v>0.15418855425342654</v>
      </c>
      <c r="P37" s="52"/>
      <c r="Q37" s="423"/>
      <c r="R37" s="501"/>
      <c r="S37" s="409">
        <f>SUM(S30:S36)+S29</f>
        <v>47.305832319999993</v>
      </c>
      <c r="T37" s="425"/>
      <c r="U37" s="411">
        <f t="shared" si="9"/>
        <v>3.7680000000000007</v>
      </c>
      <c r="V37" s="412">
        <f t="shared" si="10"/>
        <v>8.6545420366945847E-2</v>
      </c>
      <c r="W37" s="52"/>
      <c r="X37" s="423"/>
      <c r="Y37" s="501"/>
      <c r="Z37" s="409">
        <f>SUM(Z30:Z36)+Z29</f>
        <v>51.26244479999999</v>
      </c>
      <c r="AA37" s="425"/>
      <c r="AB37" s="411">
        <f t="shared" si="13"/>
        <v>3.9566124799999969</v>
      </c>
      <c r="AC37" s="412">
        <f t="shared" si="14"/>
        <v>8.3638999378248285E-2</v>
      </c>
      <c r="AD37" s="52"/>
      <c r="AE37" s="423"/>
      <c r="AF37" s="501"/>
      <c r="AG37" s="409">
        <f>SUM(AG30:AG36)+AG29</f>
        <v>54.352444799999986</v>
      </c>
      <c r="AH37" s="425"/>
      <c r="AI37" s="411">
        <f t="shared" si="17"/>
        <v>3.0899999999999963</v>
      </c>
      <c r="AJ37" s="412">
        <f t="shared" si="18"/>
        <v>6.0278045888283442E-2</v>
      </c>
      <c r="AK37" s="52"/>
      <c r="AL37" s="423"/>
      <c r="AM37" s="501"/>
      <c r="AN37" s="409">
        <f>SUM(AN30:AN36)+AN29</f>
        <v>57.282444799999993</v>
      </c>
      <c r="AO37" s="425"/>
      <c r="AP37" s="411">
        <f t="shared" si="21"/>
        <v>2.9300000000000068</v>
      </c>
      <c r="AQ37" s="412">
        <f t="shared" si="22"/>
        <v>5.3907418714677718E-2</v>
      </c>
      <c r="AR37" s="451"/>
      <c r="AS37" s="451"/>
      <c r="AT37" s="451"/>
      <c r="AU37" s="3"/>
      <c r="AV37" s="3"/>
      <c r="AW37" s="3"/>
      <c r="AX37" s="3"/>
      <c r="AY37" s="3"/>
      <c r="AZ37" s="3"/>
      <c r="BA37" s="3"/>
      <c r="BB37" s="3"/>
    </row>
    <row r="38" spans="1:54" ht="12.75" customHeight="1">
      <c r="A38" s="52"/>
      <c r="B38" s="128" t="s">
        <v>255</v>
      </c>
      <c r="C38" s="395" t="str">
        <f t="shared" ref="C38:C39" si="38">D$6&amp;"."&amp;B38</f>
        <v>Residential.RTSR - Network</v>
      </c>
      <c r="D38" s="426" t="s">
        <v>308</v>
      </c>
      <c r="E38" s="128"/>
      <c r="F38" s="414">
        <f>IFERROR(VLOOKUP($C38,'Proposed Rates'!$B:$J,F$11,FALSE),0)</f>
        <v>1.26E-2</v>
      </c>
      <c r="G38" s="419">
        <f t="shared" ref="G38:G39" si="39">$F$10*(1+F$63)</f>
        <v>661.63200000000006</v>
      </c>
      <c r="H38" s="400">
        <f t="shared" ref="H38:H39" si="40">G38*F38</f>
        <v>8.3365632000000005</v>
      </c>
      <c r="I38" s="128"/>
      <c r="J38" s="414">
        <f>IFERROR(VLOOKUP($C38,'Proposed Rates'!$B:$J,J$11,FALSE),0)</f>
        <v>1.38E-2</v>
      </c>
      <c r="K38" s="419">
        <f t="shared" ref="K38:K39" si="41">$F$10*(1+J$63)</f>
        <v>661.24799999999993</v>
      </c>
      <c r="L38" s="400">
        <f t="shared" ref="L38:L39" si="42">K38*J38</f>
        <v>9.1252223999999984</v>
      </c>
      <c r="M38" s="128"/>
      <c r="N38" s="401">
        <f t="shared" si="36"/>
        <v>0.7886591999999979</v>
      </c>
      <c r="O38" s="402">
        <f t="shared" si="37"/>
        <v>9.460243760882156E-2</v>
      </c>
      <c r="P38" s="52"/>
      <c r="Q38" s="414">
        <f>IFERROR(VLOOKUP($C38,'Proposed Rates'!$B:$J,Q$11,FALSE),0)</f>
        <v>1.38E-2</v>
      </c>
      <c r="R38" s="419">
        <f t="shared" ref="R38:R39" si="43">$F$10*(1+Q$63)</f>
        <v>661.24799999999993</v>
      </c>
      <c r="S38" s="400">
        <f t="shared" ref="S38:S39" si="44">R38*Q38</f>
        <v>9.1252223999999984</v>
      </c>
      <c r="T38" s="128"/>
      <c r="U38" s="401">
        <f t="shared" si="9"/>
        <v>0</v>
      </c>
      <c r="V38" s="402">
        <f t="shared" si="10"/>
        <v>0</v>
      </c>
      <c r="W38" s="52"/>
      <c r="X38" s="414">
        <f>IFERROR(VLOOKUP($C38,'Proposed Rates'!$B:$J,X$11,FALSE),0)</f>
        <v>1.38E-2</v>
      </c>
      <c r="Y38" s="419">
        <f t="shared" ref="Y38:Y39" si="45">$F$10*(1+X$63)</f>
        <v>661.24799999999993</v>
      </c>
      <c r="Z38" s="400">
        <f t="shared" ref="Z38:Z39" si="46">Y38*X38</f>
        <v>9.1252223999999984</v>
      </c>
      <c r="AA38" s="128"/>
      <c r="AB38" s="401">
        <f t="shared" si="13"/>
        <v>0</v>
      </c>
      <c r="AC38" s="402">
        <f t="shared" si="14"/>
        <v>0</v>
      </c>
      <c r="AD38" s="52"/>
      <c r="AE38" s="414">
        <f>IFERROR(VLOOKUP($C38,'Proposed Rates'!$B:$J,AE$11,FALSE),0)</f>
        <v>1.38E-2</v>
      </c>
      <c r="AF38" s="419">
        <f t="shared" ref="AF38:AF39" si="47">$F$10*(1+AE$63)</f>
        <v>661.24799999999993</v>
      </c>
      <c r="AG38" s="400">
        <f t="shared" ref="AG38:AG39" si="48">AF38*AE38</f>
        <v>9.1252223999999984</v>
      </c>
      <c r="AH38" s="128"/>
      <c r="AI38" s="401">
        <f t="shared" si="17"/>
        <v>0</v>
      </c>
      <c r="AJ38" s="402">
        <f t="shared" si="18"/>
        <v>0</v>
      </c>
      <c r="AK38" s="52"/>
      <c r="AL38" s="414">
        <f>IFERROR(VLOOKUP($C38,'Proposed Rates'!$B:$J,AL$11,FALSE),0)</f>
        <v>1.38E-2</v>
      </c>
      <c r="AM38" s="419">
        <f t="shared" ref="AM38:AM39" si="49">$F$10*(1+AL$63)</f>
        <v>661.24799999999993</v>
      </c>
      <c r="AN38" s="400">
        <f t="shared" ref="AN38:AN39" si="50">AM38*AL38</f>
        <v>9.1252223999999984</v>
      </c>
      <c r="AO38" s="128"/>
      <c r="AP38" s="401">
        <f t="shared" si="21"/>
        <v>0</v>
      </c>
      <c r="AQ38" s="402">
        <f t="shared" si="22"/>
        <v>0</v>
      </c>
      <c r="AR38" s="403"/>
      <c r="AS38" s="403"/>
      <c r="AT38" s="403"/>
      <c r="AU38" s="3"/>
      <c r="AV38" s="3"/>
      <c r="AW38" s="3"/>
      <c r="AX38" s="3"/>
      <c r="AY38" s="3"/>
      <c r="AZ38" s="3"/>
      <c r="BA38" s="3"/>
      <c r="BB38" s="3"/>
    </row>
    <row r="39" spans="1:54" ht="12.75" customHeight="1">
      <c r="A39" s="52"/>
      <c r="B39" s="487" t="s">
        <v>256</v>
      </c>
      <c r="C39" s="395" t="str">
        <f t="shared" si="38"/>
        <v>Residential.RTSR - Line and Transformation Connection</v>
      </c>
      <c r="D39" s="426" t="s">
        <v>308</v>
      </c>
      <c r="E39" s="128"/>
      <c r="F39" s="414">
        <f>IFERROR(VLOOKUP($C39,'Proposed Rates'!$B:$J,F$11,FALSE),0)</f>
        <v>7.1999999999999998E-3</v>
      </c>
      <c r="G39" s="419">
        <f t="shared" si="39"/>
        <v>661.63200000000006</v>
      </c>
      <c r="H39" s="400">
        <f t="shared" si="40"/>
        <v>4.7637504000000002</v>
      </c>
      <c r="I39" s="128"/>
      <c r="J39" s="414">
        <f>IFERROR(VLOOKUP($C39,'Proposed Rates'!$B:$J,J$11,FALSE),0)</f>
        <v>7.7999999999999996E-3</v>
      </c>
      <c r="K39" s="419">
        <f t="shared" si="41"/>
        <v>661.24799999999993</v>
      </c>
      <c r="L39" s="400">
        <f t="shared" si="42"/>
        <v>5.1577343999999989</v>
      </c>
      <c r="M39" s="128"/>
      <c r="N39" s="401">
        <f t="shared" si="36"/>
        <v>0.39398399999999878</v>
      </c>
      <c r="O39" s="402">
        <f t="shared" si="37"/>
        <v>8.2704585026116981E-2</v>
      </c>
      <c r="P39" s="52"/>
      <c r="Q39" s="414">
        <f>IFERROR(VLOOKUP($C39,'Proposed Rates'!$B:$J,Q$11,FALSE),0)</f>
        <v>7.7999999999999996E-3</v>
      </c>
      <c r="R39" s="419">
        <f t="shared" si="43"/>
        <v>661.24799999999993</v>
      </c>
      <c r="S39" s="400">
        <f t="shared" si="44"/>
        <v>5.1577343999999989</v>
      </c>
      <c r="T39" s="128"/>
      <c r="U39" s="401">
        <f t="shared" si="9"/>
        <v>0</v>
      </c>
      <c r="V39" s="402">
        <f t="shared" si="10"/>
        <v>0</v>
      </c>
      <c r="W39" s="52"/>
      <c r="X39" s="414">
        <f>IFERROR(VLOOKUP($C39,'Proposed Rates'!$B:$J,X$11,FALSE),0)</f>
        <v>7.7999999999999996E-3</v>
      </c>
      <c r="Y39" s="419">
        <f t="shared" si="45"/>
        <v>661.24799999999993</v>
      </c>
      <c r="Z39" s="400">
        <f t="shared" si="46"/>
        <v>5.1577343999999989</v>
      </c>
      <c r="AA39" s="128"/>
      <c r="AB39" s="401">
        <f t="shared" si="13"/>
        <v>0</v>
      </c>
      <c r="AC39" s="402">
        <f t="shared" si="14"/>
        <v>0</v>
      </c>
      <c r="AD39" s="52"/>
      <c r="AE39" s="414">
        <f>IFERROR(VLOOKUP($C39,'Proposed Rates'!$B:$J,AE$11,FALSE),0)</f>
        <v>7.7999999999999996E-3</v>
      </c>
      <c r="AF39" s="419">
        <f t="shared" si="47"/>
        <v>661.24799999999993</v>
      </c>
      <c r="AG39" s="400">
        <f t="shared" si="48"/>
        <v>5.1577343999999989</v>
      </c>
      <c r="AH39" s="128"/>
      <c r="AI39" s="401">
        <f t="shared" si="17"/>
        <v>0</v>
      </c>
      <c r="AJ39" s="402">
        <f t="shared" si="18"/>
        <v>0</v>
      </c>
      <c r="AK39" s="52"/>
      <c r="AL39" s="414">
        <f>IFERROR(VLOOKUP($C39,'Proposed Rates'!$B:$J,AL$11,FALSE),0)</f>
        <v>7.7999999999999996E-3</v>
      </c>
      <c r="AM39" s="419">
        <f t="shared" si="49"/>
        <v>661.24799999999993</v>
      </c>
      <c r="AN39" s="400">
        <f t="shared" si="50"/>
        <v>5.1577343999999989</v>
      </c>
      <c r="AO39" s="128"/>
      <c r="AP39" s="401">
        <f t="shared" si="21"/>
        <v>0</v>
      </c>
      <c r="AQ39" s="402">
        <f t="shared" si="22"/>
        <v>0</v>
      </c>
      <c r="AR39" s="403"/>
      <c r="AS39" s="403"/>
      <c r="AT39" s="403"/>
      <c r="AU39" s="3"/>
      <c r="AV39" s="3"/>
      <c r="AW39" s="3"/>
      <c r="AX39" s="3"/>
      <c r="AY39" s="3"/>
      <c r="AZ39" s="3"/>
      <c r="BA39" s="3"/>
      <c r="BB39" s="3"/>
    </row>
    <row r="40" spans="1:54" ht="12.75" customHeight="1">
      <c r="A40" s="52"/>
      <c r="B40" s="486" t="s">
        <v>314</v>
      </c>
      <c r="C40" s="427"/>
      <c r="D40" s="427"/>
      <c r="E40" s="427"/>
      <c r="F40" s="428"/>
      <c r="G40" s="429"/>
      <c r="H40" s="409">
        <f>SUM(H37:H39)</f>
        <v>50.821907840000009</v>
      </c>
      <c r="I40" s="410"/>
      <c r="J40" s="428"/>
      <c r="K40" s="429"/>
      <c r="L40" s="409">
        <f>SUM(L37:L39)</f>
        <v>57.820789119999986</v>
      </c>
      <c r="M40" s="410"/>
      <c r="N40" s="411">
        <f t="shared" si="36"/>
        <v>6.9988812799999778</v>
      </c>
      <c r="O40" s="412">
        <f t="shared" si="37"/>
        <v>0.13771386351795756</v>
      </c>
      <c r="P40" s="52"/>
      <c r="Q40" s="428"/>
      <c r="R40" s="429"/>
      <c r="S40" s="409">
        <f>SUM(S37:S39)</f>
        <v>61.588789119999987</v>
      </c>
      <c r="T40" s="410"/>
      <c r="U40" s="411">
        <f t="shared" si="9"/>
        <v>3.7680000000000007</v>
      </c>
      <c r="V40" s="412">
        <f t="shared" si="10"/>
        <v>6.5166872630879821E-2</v>
      </c>
      <c r="W40" s="52"/>
      <c r="X40" s="428"/>
      <c r="Y40" s="429"/>
      <c r="Z40" s="409">
        <f>SUM(Z37:Z39)</f>
        <v>65.545401599999991</v>
      </c>
      <c r="AA40" s="410"/>
      <c r="AB40" s="411">
        <f t="shared" si="13"/>
        <v>3.956612480000004</v>
      </c>
      <c r="AC40" s="412">
        <f t="shared" si="14"/>
        <v>6.4242413863518491E-2</v>
      </c>
      <c r="AD40" s="52"/>
      <c r="AE40" s="428"/>
      <c r="AF40" s="429"/>
      <c r="AG40" s="409">
        <f>SUM(AG37:AG39)</f>
        <v>68.63540159999998</v>
      </c>
      <c r="AH40" s="410"/>
      <c r="AI40" s="411">
        <f t="shared" si="17"/>
        <v>3.0899999999999892</v>
      </c>
      <c r="AJ40" s="412">
        <f t="shared" si="18"/>
        <v>4.7142895223331573E-2</v>
      </c>
      <c r="AK40" s="52"/>
      <c r="AL40" s="428"/>
      <c r="AM40" s="429"/>
      <c r="AN40" s="409">
        <f>SUM(AN37:AN39)</f>
        <v>71.565401599999987</v>
      </c>
      <c r="AO40" s="410"/>
      <c r="AP40" s="411">
        <f t="shared" si="21"/>
        <v>2.9300000000000068</v>
      </c>
      <c r="AQ40" s="412">
        <f t="shared" si="22"/>
        <v>4.2689340073738383E-2</v>
      </c>
      <c r="AR40" s="451"/>
      <c r="AS40" s="451"/>
      <c r="AT40" s="451"/>
      <c r="AU40" s="3"/>
      <c r="AV40" s="3"/>
      <c r="AW40" s="3"/>
      <c r="AX40" s="3"/>
      <c r="AY40" s="3"/>
      <c r="AZ40" s="3"/>
      <c r="BA40" s="3"/>
      <c r="BB40" s="3"/>
    </row>
    <row r="41" spans="1:54" ht="12.75" customHeight="1">
      <c r="A41" s="52"/>
      <c r="B41" s="488" t="s">
        <v>257</v>
      </c>
      <c r="C41" s="395" t="str">
        <f t="shared" ref="C41:C48" si="51">D$6&amp;"."&amp;B41</f>
        <v>Residential.Wholesale Market Service Charge (WMSC)</v>
      </c>
      <c r="D41" s="396" t="s">
        <v>308</v>
      </c>
      <c r="E41" s="320"/>
      <c r="F41" s="414">
        <f>IFERROR(VLOOKUP($C41,'Proposed Rates'!$B:$J,F$11,FALSE),0)</f>
        <v>4.4999999999999997E-3</v>
      </c>
      <c r="G41" s="419">
        <f t="shared" ref="G41:G42" si="52">$F$10*(1+F$63)</f>
        <v>661.63200000000006</v>
      </c>
      <c r="H41" s="400">
        <f t="shared" ref="H41:H48" si="53">G41*F41</f>
        <v>2.977344</v>
      </c>
      <c r="I41" s="128"/>
      <c r="J41" s="414">
        <f>IFERROR(VLOOKUP($C41,'Proposed Rates'!$B:$J,J$11,FALSE),0)</f>
        <v>4.4999999999999997E-3</v>
      </c>
      <c r="K41" s="419">
        <f t="shared" ref="K41:K42" si="54">$F$10*(1+J$63)</f>
        <v>661.24799999999993</v>
      </c>
      <c r="L41" s="400">
        <f t="shared" ref="L41:L48" si="55">K41*J41</f>
        <v>2.9756159999999996</v>
      </c>
      <c r="M41" s="128"/>
      <c r="N41" s="401">
        <f t="shared" si="36"/>
        <v>-1.7280000000003959E-3</v>
      </c>
      <c r="O41" s="402">
        <f t="shared" si="37"/>
        <v>-5.8038305281499073E-4</v>
      </c>
      <c r="P41" s="52"/>
      <c r="Q41" s="414">
        <f>IFERROR(VLOOKUP($C41,'Proposed Rates'!$B:$J,Q$11,FALSE),0)</f>
        <v>4.4999999999999997E-3</v>
      </c>
      <c r="R41" s="419">
        <f t="shared" ref="R41:R42" si="56">$F$10*(1+Q$63)</f>
        <v>661.24799999999993</v>
      </c>
      <c r="S41" s="400">
        <f t="shared" ref="S41:S48" si="57">R41*Q41</f>
        <v>2.9756159999999996</v>
      </c>
      <c r="T41" s="128"/>
      <c r="U41" s="401">
        <f t="shared" si="9"/>
        <v>0</v>
      </c>
      <c r="V41" s="402">
        <f t="shared" si="10"/>
        <v>0</v>
      </c>
      <c r="W41" s="52"/>
      <c r="X41" s="414">
        <f>IFERROR(VLOOKUP($C41,'Proposed Rates'!$B:$J,X$11,FALSE),0)</f>
        <v>4.4999999999999997E-3</v>
      </c>
      <c r="Y41" s="419">
        <f t="shared" ref="Y41:Y42" si="58">$F$10*(1+X$63)</f>
        <v>661.24799999999993</v>
      </c>
      <c r="Z41" s="400">
        <f t="shared" ref="Z41:Z48" si="59">Y41*X41</f>
        <v>2.9756159999999996</v>
      </c>
      <c r="AA41" s="128"/>
      <c r="AB41" s="401">
        <f t="shared" si="13"/>
        <v>0</v>
      </c>
      <c r="AC41" s="402">
        <f t="shared" si="14"/>
        <v>0</v>
      </c>
      <c r="AD41" s="52"/>
      <c r="AE41" s="414">
        <f>IFERROR(VLOOKUP($C41,'Proposed Rates'!$B:$J,AE$11,FALSE),0)</f>
        <v>4.4999999999999997E-3</v>
      </c>
      <c r="AF41" s="419">
        <f t="shared" ref="AF41:AF42" si="60">$F$10*(1+AE$63)</f>
        <v>661.24799999999993</v>
      </c>
      <c r="AG41" s="400">
        <f t="shared" ref="AG41:AG48" si="61">AF41*AE41</f>
        <v>2.9756159999999996</v>
      </c>
      <c r="AH41" s="128"/>
      <c r="AI41" s="401">
        <f t="shared" si="17"/>
        <v>0</v>
      </c>
      <c r="AJ41" s="402">
        <f t="shared" si="18"/>
        <v>0</v>
      </c>
      <c r="AK41" s="52"/>
      <c r="AL41" s="414">
        <f>IFERROR(VLOOKUP($C41,'Proposed Rates'!$B:$J,AL$11,FALSE),0)</f>
        <v>4.4999999999999997E-3</v>
      </c>
      <c r="AM41" s="419">
        <f t="shared" ref="AM41:AM42" si="62">$F$10*(1+AL$63)</f>
        <v>661.24799999999993</v>
      </c>
      <c r="AN41" s="400">
        <f t="shared" ref="AN41:AN48" si="63">AM41*AL41</f>
        <v>2.9756159999999996</v>
      </c>
      <c r="AO41" s="128"/>
      <c r="AP41" s="401">
        <f t="shared" si="21"/>
        <v>0</v>
      </c>
      <c r="AQ41" s="402">
        <f t="shared" si="22"/>
        <v>0</v>
      </c>
      <c r="AR41" s="403"/>
      <c r="AS41" s="403"/>
      <c r="AT41" s="403"/>
      <c r="AU41" s="3"/>
      <c r="AV41" s="3"/>
      <c r="AW41" s="3"/>
      <c r="AX41" s="3"/>
      <c r="AY41" s="3"/>
      <c r="AZ41" s="3"/>
      <c r="BA41" s="3"/>
      <c r="BB41" s="3"/>
    </row>
    <row r="42" spans="1:54" ht="12.75" customHeight="1">
      <c r="A42" s="52"/>
      <c r="B42" s="488" t="s">
        <v>258</v>
      </c>
      <c r="C42" s="395" t="str">
        <f t="shared" si="51"/>
        <v>Residential.Rural and Remote Rate Protection (RRRP)</v>
      </c>
      <c r="D42" s="396" t="s">
        <v>308</v>
      </c>
      <c r="E42" s="320"/>
      <c r="F42" s="414">
        <f>IFERROR(VLOOKUP($C42,'Proposed Rates'!$B:$J,F$11,FALSE),0)</f>
        <v>1.5E-3</v>
      </c>
      <c r="G42" s="419">
        <f t="shared" si="52"/>
        <v>661.63200000000006</v>
      </c>
      <c r="H42" s="400">
        <f t="shared" si="53"/>
        <v>0.99244800000000011</v>
      </c>
      <c r="I42" s="128"/>
      <c r="J42" s="414">
        <f>IFERROR(VLOOKUP($C42,'Proposed Rates'!$B:$J,J$11,FALSE),0)</f>
        <v>1.5E-3</v>
      </c>
      <c r="K42" s="419">
        <f t="shared" si="54"/>
        <v>661.24799999999993</v>
      </c>
      <c r="L42" s="400">
        <f t="shared" si="55"/>
        <v>0.99187199999999998</v>
      </c>
      <c r="M42" s="128"/>
      <c r="N42" s="401">
        <f t="shared" si="36"/>
        <v>-5.7600000000013196E-4</v>
      </c>
      <c r="O42" s="402">
        <f t="shared" si="37"/>
        <v>-5.8038305281499073E-4</v>
      </c>
      <c r="P42" s="52"/>
      <c r="Q42" s="414">
        <f>IFERROR(VLOOKUP($C42,'Proposed Rates'!$B:$J,Q$11,FALSE),0)</f>
        <v>1.5E-3</v>
      </c>
      <c r="R42" s="419">
        <f t="shared" si="56"/>
        <v>661.24799999999993</v>
      </c>
      <c r="S42" s="400">
        <f t="shared" si="57"/>
        <v>0.99187199999999998</v>
      </c>
      <c r="T42" s="128"/>
      <c r="U42" s="401">
        <f t="shared" si="9"/>
        <v>0</v>
      </c>
      <c r="V42" s="402">
        <f t="shared" si="10"/>
        <v>0</v>
      </c>
      <c r="W42" s="52"/>
      <c r="X42" s="414">
        <f>IFERROR(VLOOKUP($C42,'Proposed Rates'!$B:$J,X$11,FALSE),0)</f>
        <v>1.5E-3</v>
      </c>
      <c r="Y42" s="419">
        <f t="shared" si="58"/>
        <v>661.24799999999993</v>
      </c>
      <c r="Z42" s="400">
        <f t="shared" si="59"/>
        <v>0.99187199999999998</v>
      </c>
      <c r="AA42" s="128"/>
      <c r="AB42" s="401">
        <f t="shared" si="13"/>
        <v>0</v>
      </c>
      <c r="AC42" s="402">
        <f t="shared" si="14"/>
        <v>0</v>
      </c>
      <c r="AD42" s="52"/>
      <c r="AE42" s="414">
        <f>IFERROR(VLOOKUP($C42,'Proposed Rates'!$B:$J,AE$11,FALSE),0)</f>
        <v>1.5E-3</v>
      </c>
      <c r="AF42" s="419">
        <f t="shared" si="60"/>
        <v>661.24799999999993</v>
      </c>
      <c r="AG42" s="400">
        <f t="shared" si="61"/>
        <v>0.99187199999999998</v>
      </c>
      <c r="AH42" s="128"/>
      <c r="AI42" s="401">
        <f t="shared" si="17"/>
        <v>0</v>
      </c>
      <c r="AJ42" s="402">
        <f t="shared" si="18"/>
        <v>0</v>
      </c>
      <c r="AK42" s="52"/>
      <c r="AL42" s="414">
        <f>IFERROR(VLOOKUP($C42,'Proposed Rates'!$B:$J,AL$11,FALSE),0)</f>
        <v>1.5E-3</v>
      </c>
      <c r="AM42" s="419">
        <f t="shared" si="62"/>
        <v>661.24799999999993</v>
      </c>
      <c r="AN42" s="400">
        <f t="shared" si="63"/>
        <v>0.99187199999999998</v>
      </c>
      <c r="AO42" s="128"/>
      <c r="AP42" s="401">
        <f t="shared" si="21"/>
        <v>0</v>
      </c>
      <c r="AQ42" s="402">
        <f t="shared" si="22"/>
        <v>0</v>
      </c>
      <c r="AR42" s="403"/>
      <c r="AS42" s="403"/>
      <c r="AT42" s="403"/>
      <c r="AU42" s="3"/>
      <c r="AV42" s="3"/>
      <c r="AW42" s="3"/>
      <c r="AX42" s="3"/>
      <c r="AY42" s="3"/>
      <c r="AZ42" s="3"/>
      <c r="BA42" s="3"/>
      <c r="BB42" s="3"/>
    </row>
    <row r="43" spans="1:54" ht="12.75" customHeight="1">
      <c r="A43" s="52"/>
      <c r="B43" s="320" t="s">
        <v>260</v>
      </c>
      <c r="C43" s="395" t="str">
        <f t="shared" si="51"/>
        <v>Residential.Standard Supply Service Charge</v>
      </c>
      <c r="D43" s="396" t="s">
        <v>306</v>
      </c>
      <c r="E43" s="320"/>
      <c r="F43" s="414">
        <f>IFERROR(VLOOKUP($C43,'Proposed Rates'!$B:$J,F$11,FALSE),0)</f>
        <v>0.25</v>
      </c>
      <c r="G43" s="415">
        <f>IF($D43="Monthly",1,IF($D43="per KWH",$F$10,0))</f>
        <v>1</v>
      </c>
      <c r="H43" s="400">
        <f t="shared" si="53"/>
        <v>0.25</v>
      </c>
      <c r="I43" s="128"/>
      <c r="J43" s="414">
        <f>IFERROR(VLOOKUP($C43,'Proposed Rates'!$B:$J,J$11,FALSE),0)</f>
        <v>1.51</v>
      </c>
      <c r="K43" s="415">
        <f>IF($D43="Monthly",1,IF($D43="per KWH",$F$10,0))</f>
        <v>1</v>
      </c>
      <c r="L43" s="400">
        <f t="shared" si="55"/>
        <v>1.51</v>
      </c>
      <c r="M43" s="128"/>
      <c r="N43" s="401">
        <f t="shared" si="36"/>
        <v>1.26</v>
      </c>
      <c r="O43" s="402">
        <f t="shared" si="37"/>
        <v>5.04</v>
      </c>
      <c r="P43" s="52"/>
      <c r="Q43" s="414">
        <f>IFERROR(VLOOKUP($C43,'Proposed Rates'!$B:$J,Q$11,FALSE),0)</f>
        <v>1.54</v>
      </c>
      <c r="R43" s="415">
        <f>IF($D43="Monthly",1,IF($D43="per KWH",$F$10,0))</f>
        <v>1</v>
      </c>
      <c r="S43" s="400">
        <f t="shared" si="57"/>
        <v>1.54</v>
      </c>
      <c r="T43" s="128"/>
      <c r="U43" s="401">
        <f t="shared" si="9"/>
        <v>3.0000000000000027E-2</v>
      </c>
      <c r="V43" s="402">
        <f t="shared" si="10"/>
        <v>1.986754966887419E-2</v>
      </c>
      <c r="W43" s="52"/>
      <c r="X43" s="414">
        <f>IFERROR(VLOOKUP($C43,'Proposed Rates'!$B:$J,X$11,FALSE),0)</f>
        <v>1.57</v>
      </c>
      <c r="Y43" s="415">
        <f>IF($D43="Monthly",1,IF($D43="per KWH",$F$10,0))</f>
        <v>1</v>
      </c>
      <c r="Z43" s="400">
        <f t="shared" si="59"/>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61"/>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3"/>
        <v>1.63</v>
      </c>
      <c r="AO43" s="128"/>
      <c r="AP43" s="401">
        <f t="shared" si="21"/>
        <v>2.9999999999999805E-2</v>
      </c>
      <c r="AQ43" s="402">
        <f t="shared" si="22"/>
        <v>1.8749999999999878E-2</v>
      </c>
      <c r="AR43" s="403"/>
      <c r="AS43" s="403"/>
      <c r="AT43" s="403"/>
      <c r="AU43" s="3"/>
      <c r="AV43" s="3"/>
      <c r="AW43" s="3"/>
      <c r="AX43" s="3"/>
      <c r="AY43" s="3"/>
      <c r="AZ43" s="3"/>
      <c r="BA43" s="3"/>
      <c r="BB43" s="3"/>
    </row>
    <row r="44" spans="1:54" ht="12.75" customHeight="1">
      <c r="A44" s="52"/>
      <c r="B44" s="320" t="s">
        <v>262</v>
      </c>
      <c r="C44" s="395" t="str">
        <f t="shared" si="51"/>
        <v>Residential.TOU - Off Peak</v>
      </c>
      <c r="D44" s="396" t="s">
        <v>308</v>
      </c>
      <c r="E44" s="320"/>
      <c r="F44" s="430">
        <f>VLOOKUP($B44,'Proposed Rates'!$D$248:$J$254,+F$11-2,FALSE)</f>
        <v>9.8000000000000004E-2</v>
      </c>
      <c r="G44" s="421">
        <f>$F$10*'Proposed Rates'!$K$249</f>
        <v>409.6</v>
      </c>
      <c r="H44" s="400">
        <f t="shared" si="53"/>
        <v>40.140800000000006</v>
      </c>
      <c r="I44" s="128"/>
      <c r="J44" s="430">
        <f>VLOOKUP($B44,'Proposed Rates'!$D$248:$J$254,+J$11-2,FALSE)</f>
        <v>9.8000000000000004E-2</v>
      </c>
      <c r="K44" s="421">
        <f>$F$10*'Proposed Rates'!$K$249</f>
        <v>409.6</v>
      </c>
      <c r="L44" s="400">
        <f t="shared" si="55"/>
        <v>40.140800000000006</v>
      </c>
      <c r="M44" s="128"/>
      <c r="N44" s="401">
        <f t="shared" si="36"/>
        <v>0</v>
      </c>
      <c r="O44" s="402">
        <f t="shared" si="37"/>
        <v>0</v>
      </c>
      <c r="P44" s="52"/>
      <c r="Q44" s="430">
        <f>VLOOKUP($B44,'Proposed Rates'!$D$248:$J$254,+Q$11-2,FALSE)</f>
        <v>9.8000000000000004E-2</v>
      </c>
      <c r="R44" s="421">
        <f>$F$10*'Proposed Rates'!$K$249</f>
        <v>409.6</v>
      </c>
      <c r="S44" s="400">
        <f t="shared" si="57"/>
        <v>40.140800000000006</v>
      </c>
      <c r="T44" s="128"/>
      <c r="U44" s="401">
        <f t="shared" si="9"/>
        <v>0</v>
      </c>
      <c r="V44" s="402">
        <f t="shared" si="10"/>
        <v>0</v>
      </c>
      <c r="W44" s="52"/>
      <c r="X44" s="430">
        <f>VLOOKUP($B44,'Proposed Rates'!$D$248:$J$254,+X$11-2,FALSE)</f>
        <v>9.8000000000000004E-2</v>
      </c>
      <c r="Y44" s="421">
        <f>$F$10*'Proposed Rates'!$K$249</f>
        <v>409.6</v>
      </c>
      <c r="Z44" s="400">
        <f t="shared" si="59"/>
        <v>40.140800000000006</v>
      </c>
      <c r="AA44" s="128"/>
      <c r="AB44" s="401">
        <f t="shared" si="13"/>
        <v>0</v>
      </c>
      <c r="AC44" s="402">
        <f t="shared" si="14"/>
        <v>0</v>
      </c>
      <c r="AD44" s="52"/>
      <c r="AE44" s="430">
        <f>VLOOKUP($B44,'Proposed Rates'!$D$248:$J$254,+AE$11-2,FALSE)</f>
        <v>9.8000000000000004E-2</v>
      </c>
      <c r="AF44" s="421">
        <f>$F$10*'Proposed Rates'!$K$249</f>
        <v>409.6</v>
      </c>
      <c r="AG44" s="400">
        <f t="shared" si="61"/>
        <v>40.140800000000006</v>
      </c>
      <c r="AH44" s="128"/>
      <c r="AI44" s="401">
        <f t="shared" si="17"/>
        <v>0</v>
      </c>
      <c r="AJ44" s="402">
        <f t="shared" si="18"/>
        <v>0</v>
      </c>
      <c r="AK44" s="52"/>
      <c r="AL44" s="430">
        <f>VLOOKUP($B44,'Proposed Rates'!$D$248:$J$254,+AL$11-2,FALSE)</f>
        <v>9.8000000000000004E-2</v>
      </c>
      <c r="AM44" s="421">
        <f>$F$10*'Proposed Rates'!$K$249</f>
        <v>409.6</v>
      </c>
      <c r="AN44" s="400">
        <f t="shared" si="63"/>
        <v>40.140800000000006</v>
      </c>
      <c r="AO44" s="128"/>
      <c r="AP44" s="401">
        <f t="shared" si="21"/>
        <v>0</v>
      </c>
      <c r="AQ44" s="402">
        <f t="shared" si="22"/>
        <v>0</v>
      </c>
      <c r="AR44" s="403"/>
      <c r="AS44" s="403"/>
      <c r="AT44" s="403"/>
      <c r="AU44" s="3"/>
      <c r="AV44" s="3"/>
      <c r="AW44" s="3"/>
      <c r="AX44" s="3"/>
      <c r="AY44" s="3"/>
      <c r="AZ44" s="3"/>
      <c r="BA44" s="3"/>
      <c r="BB44" s="3"/>
    </row>
    <row r="45" spans="1:54" ht="12.75" customHeight="1">
      <c r="A45" s="52"/>
      <c r="B45" s="320" t="s">
        <v>263</v>
      </c>
      <c r="C45" s="395" t="str">
        <f t="shared" si="51"/>
        <v>Residential.TOU - Mid Peak</v>
      </c>
      <c r="D45" s="396" t="s">
        <v>308</v>
      </c>
      <c r="E45" s="320"/>
      <c r="F45" s="430">
        <f>VLOOKUP($B45,'Proposed Rates'!$D$248:$J$254,+F$11-2,FALSE)</f>
        <v>0.157</v>
      </c>
      <c r="G45" s="421">
        <f>$F$10*'Proposed Rates'!$K$250</f>
        <v>115.19999999999999</v>
      </c>
      <c r="H45" s="400">
        <f t="shared" si="53"/>
        <v>18.086399999999998</v>
      </c>
      <c r="I45" s="128"/>
      <c r="J45" s="430">
        <f>VLOOKUP($B45,'Proposed Rates'!$D$248:$J$254,+J$11-2,FALSE)</f>
        <v>0.157</v>
      </c>
      <c r="K45" s="421">
        <f>$F$10*'Proposed Rates'!$K$250</f>
        <v>115.19999999999999</v>
      </c>
      <c r="L45" s="400">
        <f t="shared" si="55"/>
        <v>18.086399999999998</v>
      </c>
      <c r="M45" s="128"/>
      <c r="N45" s="401">
        <f t="shared" si="36"/>
        <v>0</v>
      </c>
      <c r="O45" s="402">
        <f t="shared" si="37"/>
        <v>0</v>
      </c>
      <c r="P45" s="52"/>
      <c r="Q45" s="430">
        <f>VLOOKUP($B45,'Proposed Rates'!$D$248:$J$254,+Q$11-2,FALSE)</f>
        <v>0.157</v>
      </c>
      <c r="R45" s="421">
        <f>$F$10*'Proposed Rates'!$K$250</f>
        <v>115.19999999999999</v>
      </c>
      <c r="S45" s="400">
        <f t="shared" si="57"/>
        <v>18.086399999999998</v>
      </c>
      <c r="T45" s="128"/>
      <c r="U45" s="401">
        <f t="shared" si="9"/>
        <v>0</v>
      </c>
      <c r="V45" s="402">
        <f t="shared" si="10"/>
        <v>0</v>
      </c>
      <c r="W45" s="52"/>
      <c r="X45" s="430">
        <f>VLOOKUP($B45,'Proposed Rates'!$D$248:$J$254,+X$11-2,FALSE)</f>
        <v>0.157</v>
      </c>
      <c r="Y45" s="421">
        <f>$F$10*'Proposed Rates'!$K$250</f>
        <v>115.19999999999999</v>
      </c>
      <c r="Z45" s="400">
        <f t="shared" si="59"/>
        <v>18.086399999999998</v>
      </c>
      <c r="AA45" s="128"/>
      <c r="AB45" s="401">
        <f t="shared" si="13"/>
        <v>0</v>
      </c>
      <c r="AC45" s="402">
        <f t="shared" si="14"/>
        <v>0</v>
      </c>
      <c r="AD45" s="52"/>
      <c r="AE45" s="430">
        <f>VLOOKUP($B45,'Proposed Rates'!$D$248:$J$254,+AE$11-2,FALSE)</f>
        <v>0.157</v>
      </c>
      <c r="AF45" s="421">
        <f>$F$10*'Proposed Rates'!$K$250</f>
        <v>115.19999999999999</v>
      </c>
      <c r="AG45" s="400">
        <f t="shared" si="61"/>
        <v>18.086399999999998</v>
      </c>
      <c r="AH45" s="128"/>
      <c r="AI45" s="401">
        <f t="shared" si="17"/>
        <v>0</v>
      </c>
      <c r="AJ45" s="402">
        <f t="shared" si="18"/>
        <v>0</v>
      </c>
      <c r="AK45" s="52"/>
      <c r="AL45" s="430">
        <f>VLOOKUP($B45,'Proposed Rates'!$D$248:$J$254,+AL$11-2,FALSE)</f>
        <v>0.157</v>
      </c>
      <c r="AM45" s="421">
        <f>$F$10*'Proposed Rates'!$K$250</f>
        <v>115.19999999999999</v>
      </c>
      <c r="AN45" s="400">
        <f t="shared" si="63"/>
        <v>18.086399999999998</v>
      </c>
      <c r="AO45" s="128"/>
      <c r="AP45" s="401">
        <f t="shared" si="21"/>
        <v>0</v>
      </c>
      <c r="AQ45" s="402">
        <f t="shared" si="22"/>
        <v>0</v>
      </c>
      <c r="AR45" s="403"/>
      <c r="AS45" s="403"/>
      <c r="AT45" s="403"/>
      <c r="AU45" s="3"/>
      <c r="AV45" s="3"/>
      <c r="AW45" s="3"/>
      <c r="AX45" s="3"/>
      <c r="AY45" s="3"/>
      <c r="AZ45" s="3"/>
      <c r="BA45" s="3"/>
      <c r="BB45" s="3"/>
    </row>
    <row r="46" spans="1:54" ht="12.75" customHeight="1">
      <c r="A46" s="52"/>
      <c r="B46" s="52" t="s">
        <v>264</v>
      </c>
      <c r="C46" s="395" t="str">
        <f t="shared" si="51"/>
        <v>Residential.TOU - On Peak</v>
      </c>
      <c r="D46" s="396" t="s">
        <v>308</v>
      </c>
      <c r="E46" s="320"/>
      <c r="F46" s="430">
        <f>VLOOKUP($B46,'Proposed Rates'!$D$248:$J$254,+F$11-2,FALSE)</f>
        <v>0.20300000000000001</v>
      </c>
      <c r="G46" s="421">
        <f>$F$10*'Proposed Rates'!$K$251</f>
        <v>115.19999999999999</v>
      </c>
      <c r="H46" s="400">
        <f t="shared" si="53"/>
        <v>23.3856</v>
      </c>
      <c r="I46" s="128"/>
      <c r="J46" s="430">
        <f>VLOOKUP($B46,'Proposed Rates'!$D$248:$J$254,+J$11-2,FALSE)</f>
        <v>0.20300000000000001</v>
      </c>
      <c r="K46" s="421">
        <f>$F$10*'Proposed Rates'!$K$251</f>
        <v>115.19999999999999</v>
      </c>
      <c r="L46" s="400">
        <f t="shared" si="55"/>
        <v>23.3856</v>
      </c>
      <c r="M46" s="128"/>
      <c r="N46" s="401">
        <f t="shared" si="36"/>
        <v>0</v>
      </c>
      <c r="O46" s="402">
        <f t="shared" si="37"/>
        <v>0</v>
      </c>
      <c r="P46" s="52"/>
      <c r="Q46" s="430">
        <f>VLOOKUP($B46,'Proposed Rates'!$D$248:$J$254,+Q$11-2,FALSE)</f>
        <v>0.20300000000000001</v>
      </c>
      <c r="R46" s="421">
        <f>$F$10*'Proposed Rates'!$K$251</f>
        <v>115.19999999999999</v>
      </c>
      <c r="S46" s="400">
        <f t="shared" si="57"/>
        <v>23.3856</v>
      </c>
      <c r="T46" s="128"/>
      <c r="U46" s="401">
        <f t="shared" si="9"/>
        <v>0</v>
      </c>
      <c r="V46" s="402">
        <f t="shared" si="10"/>
        <v>0</v>
      </c>
      <c r="W46" s="52"/>
      <c r="X46" s="430">
        <f>VLOOKUP($B46,'Proposed Rates'!$D$248:$J$254,+X$11-2,FALSE)</f>
        <v>0.20300000000000001</v>
      </c>
      <c r="Y46" s="421">
        <f>$F$10*'Proposed Rates'!$K$251</f>
        <v>115.19999999999999</v>
      </c>
      <c r="Z46" s="400">
        <f t="shared" si="59"/>
        <v>23.3856</v>
      </c>
      <c r="AA46" s="128"/>
      <c r="AB46" s="401">
        <f t="shared" si="13"/>
        <v>0</v>
      </c>
      <c r="AC46" s="402">
        <f t="shared" si="14"/>
        <v>0</v>
      </c>
      <c r="AD46" s="52"/>
      <c r="AE46" s="430">
        <f>VLOOKUP($B46,'Proposed Rates'!$D$248:$J$254,+AE$11-2,FALSE)</f>
        <v>0.20300000000000001</v>
      </c>
      <c r="AF46" s="421">
        <f>$F$10*'Proposed Rates'!$K$251</f>
        <v>115.19999999999999</v>
      </c>
      <c r="AG46" s="400">
        <f t="shared" si="61"/>
        <v>23.3856</v>
      </c>
      <c r="AH46" s="128"/>
      <c r="AI46" s="401">
        <f t="shared" si="17"/>
        <v>0</v>
      </c>
      <c r="AJ46" s="402">
        <f t="shared" si="18"/>
        <v>0</v>
      </c>
      <c r="AK46" s="52"/>
      <c r="AL46" s="430">
        <f>VLOOKUP($B46,'Proposed Rates'!$D$248:$J$254,+AL$11-2,FALSE)</f>
        <v>0.20300000000000001</v>
      </c>
      <c r="AM46" s="421">
        <f>$F$10*'Proposed Rates'!$K$251</f>
        <v>115.19999999999999</v>
      </c>
      <c r="AN46" s="400">
        <f t="shared" si="63"/>
        <v>23.3856</v>
      </c>
      <c r="AO46" s="128"/>
      <c r="AP46" s="401">
        <f t="shared" si="21"/>
        <v>0</v>
      </c>
      <c r="AQ46" s="402">
        <f t="shared" si="22"/>
        <v>0</v>
      </c>
      <c r="AR46" s="403"/>
      <c r="AS46" s="403"/>
      <c r="AT46" s="403"/>
      <c r="AU46" s="3"/>
      <c r="AV46" s="3"/>
      <c r="AW46" s="3"/>
      <c r="AX46" s="3"/>
      <c r="AY46" s="3"/>
      <c r="AZ46" s="3"/>
      <c r="BA46" s="3"/>
      <c r="BB46" s="3"/>
    </row>
    <row r="47" spans="1:54" ht="12.75" customHeight="1">
      <c r="A47" s="52"/>
      <c r="B47" s="320" t="s">
        <v>265</v>
      </c>
      <c r="C47" s="395" t="str">
        <f t="shared" si="51"/>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3"/>
        <v>72</v>
      </c>
      <c r="I47" s="128"/>
      <c r="J47" s="430">
        <f>VLOOKUP($B47,'Proposed Rates'!$D$248:$J$254,+J$11-2,FALSE)</f>
        <v>0.12</v>
      </c>
      <c r="K47" s="431">
        <f>IF(AND($S$2=1, $F$10&gt;=600), 600, IF(AND($S$2=1, AND($F$10&lt;600, $F$10&gt;=0)), $F$10, IF(AND($S$2=2, $F$10&gt;=1000), 1000, IF(AND($S$2=2, AND($F$10&lt;1000, $F$10&gt;=0)), $F$10))))</f>
        <v>600</v>
      </c>
      <c r="L47" s="400">
        <f t="shared" si="55"/>
        <v>72</v>
      </c>
      <c r="M47" s="128"/>
      <c r="N47" s="401">
        <f t="shared" si="36"/>
        <v>0</v>
      </c>
      <c r="O47" s="402">
        <f t="shared" si="37"/>
        <v>0</v>
      </c>
      <c r="P47" s="52"/>
      <c r="Q47" s="430">
        <f>VLOOKUP($B47,'Proposed Rates'!$D$248:$J$254,+Q$11-2,FALSE)</f>
        <v>0.12</v>
      </c>
      <c r="R47" s="431">
        <f>IF(AND($S$2=1, $F$10&gt;=600), 600, IF(AND($S$2=1, AND($F$10&lt;600, $F$10&gt;=0)), $F$10, IF(AND($S$2=2, $F$10&gt;=1000), 1000, IF(AND($S$2=2, AND($F$10&lt;1000, $F$10&gt;=0)), $F$10))))</f>
        <v>600</v>
      </c>
      <c r="S47" s="400">
        <f t="shared" si="57"/>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9"/>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61"/>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3"/>
        <v>72</v>
      </c>
      <c r="AO47" s="128"/>
      <c r="AP47" s="401">
        <f t="shared" si="21"/>
        <v>0</v>
      </c>
      <c r="AQ47" s="402">
        <f t="shared" si="22"/>
        <v>0</v>
      </c>
      <c r="AR47" s="403"/>
      <c r="AS47" s="403"/>
      <c r="AT47" s="403"/>
      <c r="AU47" s="3"/>
      <c r="AV47" s="3"/>
      <c r="AW47" s="3"/>
      <c r="AX47" s="3"/>
      <c r="AY47" s="3"/>
      <c r="AZ47" s="3"/>
      <c r="BA47" s="3"/>
      <c r="BB47" s="3"/>
    </row>
    <row r="48" spans="1:54" ht="12.75" customHeight="1">
      <c r="A48" s="52"/>
      <c r="B48" s="320" t="s">
        <v>266</v>
      </c>
      <c r="C48" s="395" t="str">
        <f t="shared" si="51"/>
        <v>Residential.Energy - RPP - Tier 2</v>
      </c>
      <c r="D48" s="396" t="s">
        <v>308</v>
      </c>
      <c r="E48" s="320"/>
      <c r="F48" s="430">
        <f>VLOOKUP($B48,'Proposed Rates'!$D$248:$J$254,+F$11-2,FALSE)</f>
        <v>0.14199999999999999</v>
      </c>
      <c r="G48" s="433">
        <f>IF(AND($S$2=1, $F$10&gt;=600), $F$10-600, IF(AND($S$2=1, AND($F$10&lt;600, $F$10&gt;=0)), 0, IF(AND($S$2=2, $F$10&gt;=1000), $F$10-1000, IF(AND($S$2=2, AND($F$10&lt;1000, $F$10&gt;=0)), 0))))</f>
        <v>40</v>
      </c>
      <c r="H48" s="400">
        <f t="shared" si="53"/>
        <v>5.68</v>
      </c>
      <c r="I48" s="128"/>
      <c r="J48" s="430">
        <f>VLOOKUP($B48,'Proposed Rates'!$D$248:$J$254,+J$11-2,FALSE)</f>
        <v>0.14199999999999999</v>
      </c>
      <c r="K48" s="433">
        <f>IF(AND($S$2=1, $F$10&gt;=600), $F$10-600, IF(AND($S$2=1, AND($F$10&lt;600, $F$10&gt;=0)), 0, IF(AND($S$2=2, $F$10&gt;=1000), $F$10-1000, IF(AND($S$2=2, AND($F$10&lt;1000, $F$10&gt;=0)), 0))))</f>
        <v>40</v>
      </c>
      <c r="L48" s="400">
        <f t="shared" si="55"/>
        <v>5.68</v>
      </c>
      <c r="M48" s="128"/>
      <c r="N48" s="401">
        <f t="shared" si="36"/>
        <v>0</v>
      </c>
      <c r="O48" s="402">
        <f t="shared" si="37"/>
        <v>0</v>
      </c>
      <c r="P48" s="52"/>
      <c r="Q48" s="430">
        <f>VLOOKUP($B48,'Proposed Rates'!$D$248:$J$254,+Q$11-2,FALSE)</f>
        <v>0.14199999999999999</v>
      </c>
      <c r="R48" s="433">
        <f>IF(AND($S$2=1, $F$10&gt;=600), $F$10-600, IF(AND($S$2=1, AND($F$10&lt;600, $F$10&gt;=0)), 0, IF(AND($S$2=2, $F$10&gt;=1000), $F$10-1000, IF(AND($S$2=2, AND($F$10&lt;1000, $F$10&gt;=0)), 0))))</f>
        <v>40</v>
      </c>
      <c r="S48" s="400">
        <f t="shared" si="57"/>
        <v>5.68</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40</v>
      </c>
      <c r="Z48" s="400">
        <f t="shared" si="59"/>
        <v>5.68</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40</v>
      </c>
      <c r="AG48" s="400">
        <f t="shared" si="61"/>
        <v>5.68</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40</v>
      </c>
      <c r="AN48" s="400">
        <f t="shared" si="63"/>
        <v>5.68</v>
      </c>
      <c r="AO48" s="128"/>
      <c r="AP48" s="401">
        <f t="shared" si="21"/>
        <v>0</v>
      </c>
      <c r="AQ48" s="402">
        <f t="shared" si="22"/>
        <v>0</v>
      </c>
      <c r="AR48" s="403"/>
      <c r="AS48" s="403"/>
      <c r="AT48" s="403"/>
      <c r="AU48" s="3"/>
      <c r="AV48" s="3"/>
      <c r="AW48" s="3"/>
      <c r="AX48" s="3"/>
      <c r="AY48" s="3"/>
      <c r="AZ48" s="3"/>
      <c r="BA48" s="3"/>
      <c r="BB48" s="3"/>
    </row>
    <row r="49" spans="1:5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03"/>
      <c r="AS49" s="403"/>
      <c r="AT49" s="403"/>
      <c r="AU49" s="3"/>
      <c r="AV49" s="3"/>
      <c r="AW49" s="3"/>
      <c r="AX49" s="3"/>
      <c r="AY49" s="3"/>
      <c r="AZ49" s="3"/>
      <c r="BA49" s="3"/>
      <c r="BB49" s="3"/>
    </row>
    <row r="50" spans="1:54" ht="12.75" customHeight="1">
      <c r="A50" s="52"/>
      <c r="B50" s="444" t="s">
        <v>315</v>
      </c>
      <c r="C50" s="320"/>
      <c r="D50" s="320"/>
      <c r="E50" s="320"/>
      <c r="F50" s="445"/>
      <c r="G50" s="489"/>
      <c r="H50" s="447">
        <f>SUM(H41:H46,H40)</f>
        <v>136.65449984000003</v>
      </c>
      <c r="I50" s="482"/>
      <c r="J50" s="445"/>
      <c r="K50" s="446"/>
      <c r="L50" s="447">
        <f>SUM(L41:L46,L40)</f>
        <v>144.91107711999999</v>
      </c>
      <c r="M50" s="449"/>
      <c r="N50" s="448">
        <f t="shared" ref="N50:N54" si="64">L50-H50</f>
        <v>8.2565772799999593</v>
      </c>
      <c r="O50" s="450">
        <f t="shared" ref="O50:O54" si="65">IF((H50)=0,"",(N50/H50))</f>
        <v>6.0419358964886302E-2</v>
      </c>
      <c r="P50" s="52"/>
      <c r="Q50" s="446"/>
      <c r="R50" s="446"/>
      <c r="S50" s="448">
        <f>SUM(S41:S46,S40)</f>
        <v>148.70907711999999</v>
      </c>
      <c r="T50" s="449"/>
      <c r="U50" s="448">
        <f t="shared" ref="U50:U54" si="66">S50-L50</f>
        <v>3.7980000000000018</v>
      </c>
      <c r="V50" s="450">
        <f t="shared" ref="V50:V54" si="67">IF((L50)=0,"",(U50/L50))</f>
        <v>2.6209176520404311E-2</v>
      </c>
      <c r="W50" s="52"/>
      <c r="X50" s="446"/>
      <c r="Y50" s="446"/>
      <c r="Z50" s="448">
        <f>SUM(Z41:Z46,Z40)</f>
        <v>152.69568959999998</v>
      </c>
      <c r="AA50" s="449"/>
      <c r="AB50" s="448">
        <f t="shared" ref="AB50:AB54" si="68">Z50-S50</f>
        <v>3.9866124799999909</v>
      </c>
      <c r="AC50" s="450">
        <f t="shared" ref="AC50:AC54" si="69">IF((S50)=0,"",(AB50/S50))</f>
        <v>2.6808131401306563E-2</v>
      </c>
      <c r="AD50" s="52"/>
      <c r="AE50" s="446"/>
      <c r="AF50" s="446"/>
      <c r="AG50" s="448">
        <f>SUM(AG41:AG46,AG40)</f>
        <v>155.81568959999998</v>
      </c>
      <c r="AH50" s="449"/>
      <c r="AI50" s="448">
        <f t="shared" ref="AI50:AI54" si="70">AG50-Z50</f>
        <v>3.1200000000000045</v>
      </c>
      <c r="AJ50" s="450">
        <f t="shared" ref="AJ50:AJ54" si="71">IF((Z50)=0,"",(AI50/Z50))</f>
        <v>2.0432796814193799E-2</v>
      </c>
      <c r="AK50" s="52"/>
      <c r="AL50" s="446"/>
      <c r="AM50" s="446"/>
      <c r="AN50" s="448">
        <f>SUM(AN41:AN46,AN40)</f>
        <v>158.77568959999999</v>
      </c>
      <c r="AO50" s="449"/>
      <c r="AP50" s="448">
        <f t="shared" ref="AP50:AP54" si="72">AN50-AG50</f>
        <v>2.960000000000008</v>
      </c>
      <c r="AQ50" s="450">
        <f t="shared" ref="AQ50:AQ54" si="73">IF((AG50)=0,"",(AP50/AG50))</f>
        <v>1.8996803259021793E-2</v>
      </c>
      <c r="AR50" s="451"/>
      <c r="AS50" s="451"/>
      <c r="AT50" s="451"/>
      <c r="AU50" s="3"/>
      <c r="AV50" s="3"/>
      <c r="AW50" s="3"/>
      <c r="AX50" s="3"/>
      <c r="AY50" s="3"/>
      <c r="AZ50" s="3"/>
      <c r="BA50" s="3"/>
      <c r="BB50" s="3"/>
    </row>
    <row r="51" spans="1:54" ht="12.75" customHeight="1">
      <c r="A51" s="52"/>
      <c r="B51" s="452" t="s">
        <v>316</v>
      </c>
      <c r="C51" s="320"/>
      <c r="D51" s="320"/>
      <c r="E51" s="320"/>
      <c r="F51" s="445">
        <v>0.13</v>
      </c>
      <c r="G51" s="128"/>
      <c r="H51" s="490">
        <f>H50*F51</f>
        <v>17.765084979200005</v>
      </c>
      <c r="I51" s="417"/>
      <c r="J51" s="445">
        <v>0.13</v>
      </c>
      <c r="K51" s="417"/>
      <c r="L51" s="400">
        <f>L50*J51</f>
        <v>18.838440025600001</v>
      </c>
      <c r="M51" s="128"/>
      <c r="N51" s="401">
        <f t="shared" si="64"/>
        <v>1.0733550463999961</v>
      </c>
      <c r="O51" s="402">
        <f t="shared" si="65"/>
        <v>6.0419358964886379E-2</v>
      </c>
      <c r="P51" s="52"/>
      <c r="Q51" s="453">
        <v>0.13</v>
      </c>
      <c r="R51" s="417"/>
      <c r="S51" s="400">
        <f>S50*Q51</f>
        <v>19.3321800256</v>
      </c>
      <c r="T51" s="128"/>
      <c r="U51" s="401">
        <f t="shared" si="66"/>
        <v>0.49373999999999896</v>
      </c>
      <c r="V51" s="402">
        <f t="shared" si="67"/>
        <v>2.6209176520404238E-2</v>
      </c>
      <c r="W51" s="52"/>
      <c r="X51" s="453">
        <v>0.13</v>
      </c>
      <c r="Y51" s="417"/>
      <c r="Z51" s="400">
        <f>Z50*X51</f>
        <v>19.850439647999998</v>
      </c>
      <c r="AA51" s="128"/>
      <c r="AB51" s="401">
        <f t="shared" si="68"/>
        <v>0.51825962239999868</v>
      </c>
      <c r="AC51" s="402">
        <f t="shared" si="69"/>
        <v>2.6808131401306553E-2</v>
      </c>
      <c r="AD51" s="52"/>
      <c r="AE51" s="453">
        <v>0.13</v>
      </c>
      <c r="AF51" s="417"/>
      <c r="AG51" s="400">
        <f>AG50*AE51</f>
        <v>20.256039647999998</v>
      </c>
      <c r="AH51" s="128"/>
      <c r="AI51" s="401">
        <f t="shared" si="70"/>
        <v>0.40559999999999974</v>
      </c>
      <c r="AJ51" s="402">
        <f t="shared" si="71"/>
        <v>2.0432796814193754E-2</v>
      </c>
      <c r="AK51" s="52"/>
      <c r="AL51" s="453">
        <v>0.13</v>
      </c>
      <c r="AM51" s="417"/>
      <c r="AN51" s="400">
        <f>AN50*AL51</f>
        <v>20.640839648</v>
      </c>
      <c r="AO51" s="128"/>
      <c r="AP51" s="401">
        <f t="shared" si="72"/>
        <v>0.38480000000000203</v>
      </c>
      <c r="AQ51" s="402">
        <f t="shared" si="73"/>
        <v>1.8996803259021842E-2</v>
      </c>
      <c r="AR51" s="403"/>
      <c r="AS51" s="403"/>
      <c r="AT51" s="403"/>
      <c r="AU51" s="3"/>
      <c r="AV51" s="3"/>
      <c r="AW51" s="3"/>
      <c r="AX51" s="3"/>
      <c r="AY51" s="3"/>
      <c r="AZ51" s="3"/>
      <c r="BA51" s="3"/>
      <c r="BB51" s="3"/>
    </row>
    <row r="52" spans="1:54" ht="12.75" customHeight="1">
      <c r="A52" s="52"/>
      <c r="B52" s="491" t="s">
        <v>348</v>
      </c>
      <c r="C52" s="320"/>
      <c r="D52" s="320"/>
      <c r="E52" s="320"/>
      <c r="F52" s="455"/>
      <c r="G52" s="128"/>
      <c r="H52" s="490">
        <f>H50+H51</f>
        <v>154.41958481920003</v>
      </c>
      <c r="I52" s="417"/>
      <c r="J52" s="455"/>
      <c r="K52" s="417"/>
      <c r="L52" s="400">
        <f>L50+L51</f>
        <v>163.74951714559998</v>
      </c>
      <c r="M52" s="128"/>
      <c r="N52" s="401">
        <f t="shared" si="64"/>
        <v>9.3299323263999554</v>
      </c>
      <c r="O52" s="402">
        <f t="shared" si="65"/>
        <v>6.0419358964886309E-2</v>
      </c>
      <c r="P52" s="52"/>
      <c r="Q52" s="417"/>
      <c r="R52" s="417"/>
      <c r="S52" s="400">
        <f>S50+S51</f>
        <v>168.04125714559999</v>
      </c>
      <c r="T52" s="128"/>
      <c r="U52" s="401">
        <f t="shared" si="66"/>
        <v>4.2917400000000043</v>
      </c>
      <c r="V52" s="402">
        <f t="shared" si="67"/>
        <v>2.6209176520404324E-2</v>
      </c>
      <c r="W52" s="52"/>
      <c r="X52" s="417"/>
      <c r="Y52" s="417"/>
      <c r="Z52" s="400">
        <f>Z50+Z51</f>
        <v>172.54612924799997</v>
      </c>
      <c r="AA52" s="128"/>
      <c r="AB52" s="401">
        <f t="shared" si="68"/>
        <v>4.504872102399986</v>
      </c>
      <c r="AC52" s="402">
        <f t="shared" si="69"/>
        <v>2.6808131401306539E-2</v>
      </c>
      <c r="AD52" s="52"/>
      <c r="AE52" s="417"/>
      <c r="AF52" s="417"/>
      <c r="AG52" s="400">
        <f>AG50+AG51</f>
        <v>176.071729248</v>
      </c>
      <c r="AH52" s="128"/>
      <c r="AI52" s="401">
        <f t="shared" si="70"/>
        <v>3.5256000000000256</v>
      </c>
      <c r="AJ52" s="402">
        <f t="shared" si="71"/>
        <v>2.0432796814193917E-2</v>
      </c>
      <c r="AK52" s="52"/>
      <c r="AL52" s="417"/>
      <c r="AM52" s="417"/>
      <c r="AN52" s="400">
        <f>AN50+AN51</f>
        <v>179.41652924799999</v>
      </c>
      <c r="AO52" s="128"/>
      <c r="AP52" s="401">
        <f t="shared" si="72"/>
        <v>3.3447999999999922</v>
      </c>
      <c r="AQ52" s="402">
        <f t="shared" si="73"/>
        <v>1.8996803259021696E-2</v>
      </c>
      <c r="AR52" s="403"/>
      <c r="AS52" s="403"/>
      <c r="AT52" s="403"/>
      <c r="AU52" s="3"/>
      <c r="AV52" s="3"/>
      <c r="AW52" s="3"/>
      <c r="AX52" s="3"/>
      <c r="AY52" s="3"/>
      <c r="AZ52" s="3"/>
      <c r="BA52" s="3"/>
      <c r="BB52" s="3"/>
    </row>
    <row r="53" spans="1:54" ht="15.75" customHeight="1">
      <c r="A53" s="52"/>
      <c r="B53" s="628" t="s">
        <v>273</v>
      </c>
      <c r="C53" s="615"/>
      <c r="D53" s="615"/>
      <c r="E53" s="320"/>
      <c r="F53" s="456">
        <f>'Proposed Rates'!E286</f>
        <v>0.23499999999999999</v>
      </c>
      <c r="G53" s="128"/>
      <c r="H53" s="492">
        <f>F53*H50</f>
        <v>32.113807462400004</v>
      </c>
      <c r="I53" s="417"/>
      <c r="J53" s="456">
        <f>'Proposed Rates'!F286</f>
        <v>0.23499999999999999</v>
      </c>
      <c r="K53" s="417"/>
      <c r="L53" s="457">
        <f>J53*L50</f>
        <v>34.054103123199994</v>
      </c>
      <c r="M53" s="128"/>
      <c r="N53" s="457">
        <f t="shared" si="64"/>
        <v>1.9402956607999897</v>
      </c>
      <c r="O53" s="459">
        <f t="shared" si="65"/>
        <v>6.0419358964886281E-2</v>
      </c>
      <c r="P53" s="52"/>
      <c r="Q53" s="458">
        <f>'Proposed Rates'!G286</f>
        <v>0.23499999999999999</v>
      </c>
      <c r="R53" s="417"/>
      <c r="S53" s="457">
        <f>Q53*S50</f>
        <v>34.946633123199994</v>
      </c>
      <c r="T53" s="128"/>
      <c r="U53" s="457">
        <f t="shared" si="66"/>
        <v>0.89253000000000071</v>
      </c>
      <c r="V53" s="459">
        <f t="shared" si="67"/>
        <v>2.6209176520404321E-2</v>
      </c>
      <c r="W53" s="52"/>
      <c r="X53" s="458">
        <f>'Proposed Rates'!H286</f>
        <v>0.23499999999999999</v>
      </c>
      <c r="Y53" s="417"/>
      <c r="Z53" s="457">
        <f>X53*Z50</f>
        <v>35.883487055999993</v>
      </c>
      <c r="AA53" s="128"/>
      <c r="AB53" s="457">
        <f t="shared" si="68"/>
        <v>0.93685393279999829</v>
      </c>
      <c r="AC53" s="459">
        <f t="shared" si="69"/>
        <v>2.6808131401306577E-2</v>
      </c>
      <c r="AD53" s="52"/>
      <c r="AE53" s="458">
        <f>'Proposed Rates'!I286</f>
        <v>0.23499999999999999</v>
      </c>
      <c r="AF53" s="417"/>
      <c r="AG53" s="457">
        <f>AE53*AG50</f>
        <v>36.616687055999996</v>
      </c>
      <c r="AH53" s="128"/>
      <c r="AI53" s="457">
        <f t="shared" si="70"/>
        <v>0.73320000000000363</v>
      </c>
      <c r="AJ53" s="459">
        <f t="shared" si="71"/>
        <v>2.0432796814193872E-2</v>
      </c>
      <c r="AK53" s="52"/>
      <c r="AL53" s="458">
        <f>'Proposed Rates'!J286</f>
        <v>0.23499999999999999</v>
      </c>
      <c r="AM53" s="417"/>
      <c r="AN53" s="457">
        <f>AL53*AN50</f>
        <v>37.312287055999995</v>
      </c>
      <c r="AO53" s="128"/>
      <c r="AP53" s="457">
        <f t="shared" si="72"/>
        <v>0.69559999999999889</v>
      </c>
      <c r="AQ53" s="459">
        <f t="shared" si="73"/>
        <v>1.8996803259021713E-2</v>
      </c>
      <c r="AR53" s="460"/>
      <c r="AS53" s="460"/>
      <c r="AT53" s="460"/>
      <c r="AU53" s="3"/>
      <c r="AV53" s="3"/>
      <c r="AW53" s="3"/>
      <c r="AX53" s="3"/>
      <c r="AY53" s="3"/>
      <c r="AZ53" s="3"/>
      <c r="BA53" s="3"/>
      <c r="BB53" s="3"/>
    </row>
    <row r="54" spans="1:54" ht="12.75" customHeight="1">
      <c r="A54" s="52"/>
      <c r="B54" s="627" t="s">
        <v>318</v>
      </c>
      <c r="C54" s="613"/>
      <c r="D54" s="613"/>
      <c r="E54" s="461"/>
      <c r="F54" s="462"/>
      <c r="G54" s="493"/>
      <c r="H54" s="494">
        <f>H52-H53</f>
        <v>122.30577735680002</v>
      </c>
      <c r="I54" s="463"/>
      <c r="J54" s="462"/>
      <c r="K54" s="463"/>
      <c r="L54" s="464">
        <f>L52-L53</f>
        <v>129.69541402239997</v>
      </c>
      <c r="M54" s="465"/>
      <c r="N54" s="466">
        <f t="shared" si="64"/>
        <v>7.3896366655999515</v>
      </c>
      <c r="O54" s="467">
        <f t="shared" si="65"/>
        <v>6.0419358964886205E-2</v>
      </c>
      <c r="P54" s="52"/>
      <c r="Q54" s="463"/>
      <c r="R54" s="463"/>
      <c r="S54" s="464">
        <f>S52-S53</f>
        <v>133.09462402239998</v>
      </c>
      <c r="T54" s="465"/>
      <c r="U54" s="466">
        <f t="shared" si="66"/>
        <v>3.3992100000000107</v>
      </c>
      <c r="V54" s="467">
        <f t="shared" si="67"/>
        <v>2.6209176520404383E-2</v>
      </c>
      <c r="W54" s="52"/>
      <c r="X54" s="463"/>
      <c r="Y54" s="463"/>
      <c r="Z54" s="464">
        <f>Z52-Z53</f>
        <v>136.66264219199996</v>
      </c>
      <c r="AA54" s="465"/>
      <c r="AB54" s="466">
        <f t="shared" si="68"/>
        <v>3.5680181695999806</v>
      </c>
      <c r="AC54" s="467">
        <f t="shared" si="69"/>
        <v>2.680813140130648E-2</v>
      </c>
      <c r="AD54" s="52"/>
      <c r="AE54" s="463"/>
      <c r="AF54" s="463"/>
      <c r="AG54" s="464">
        <f>AG52-AG53</f>
        <v>139.45504219200001</v>
      </c>
      <c r="AH54" s="465"/>
      <c r="AI54" s="466">
        <f t="shared" si="70"/>
        <v>2.7924000000000433</v>
      </c>
      <c r="AJ54" s="467">
        <f t="shared" si="71"/>
        <v>2.0432796814194087E-2</v>
      </c>
      <c r="AK54" s="52"/>
      <c r="AL54" s="463"/>
      <c r="AM54" s="463"/>
      <c r="AN54" s="464">
        <f>AN52-AN53</f>
        <v>142.10424219199999</v>
      </c>
      <c r="AO54" s="465"/>
      <c r="AP54" s="466">
        <f t="shared" si="72"/>
        <v>2.6491999999999791</v>
      </c>
      <c r="AQ54" s="467">
        <f t="shared" si="73"/>
        <v>1.8996803259021592E-2</v>
      </c>
      <c r="AR54" s="451"/>
      <c r="AS54" s="451"/>
      <c r="AT54" s="451"/>
      <c r="AU54" s="3"/>
      <c r="AV54" s="3"/>
      <c r="AW54" s="3"/>
      <c r="AX54" s="3"/>
      <c r="AY54" s="3"/>
      <c r="AZ54" s="3"/>
      <c r="BA54" s="3"/>
      <c r="BB54" s="3"/>
    </row>
    <row r="55" spans="1:5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03"/>
      <c r="AS55" s="403"/>
      <c r="AT55" s="403"/>
      <c r="AU55" s="3"/>
      <c r="AV55" s="3"/>
      <c r="AW55" s="3"/>
      <c r="AX55" s="3"/>
      <c r="AY55" s="3"/>
      <c r="AZ55" s="3"/>
      <c r="BA55" s="3"/>
      <c r="BB55" s="3"/>
    </row>
    <row r="56" spans="1:54" ht="12.75" customHeight="1">
      <c r="A56" s="52"/>
      <c r="B56" s="444" t="s">
        <v>319</v>
      </c>
      <c r="C56" s="320"/>
      <c r="D56" s="320"/>
      <c r="E56" s="320"/>
      <c r="F56" s="445"/>
      <c r="G56" s="489"/>
      <c r="H56" s="447">
        <f>SUM(H47:H48,H40,H41:H43)</f>
        <v>132.72169983999999</v>
      </c>
      <c r="I56" s="482"/>
      <c r="J56" s="445"/>
      <c r="K56" s="446"/>
      <c r="L56" s="447">
        <f>SUM(L47:L48,L40,L41:L43)</f>
        <v>140.97827711999997</v>
      </c>
      <c r="M56" s="449"/>
      <c r="N56" s="448">
        <f t="shared" ref="N56:N60" si="74">L56-H56</f>
        <v>8.2565772799999877</v>
      </c>
      <c r="O56" s="450">
        <f t="shared" ref="O56:O60" si="75">IF((H56)=0,"",(N56/H56))</f>
        <v>6.220970112614245E-2</v>
      </c>
      <c r="P56" s="52"/>
      <c r="Q56" s="446"/>
      <c r="R56" s="446"/>
      <c r="S56" s="448">
        <f>SUM(S47:S48,S40,S41:S43)</f>
        <v>144.77627712</v>
      </c>
      <c r="T56" s="449"/>
      <c r="U56" s="448">
        <f t="shared" ref="U56:U60" si="76">S56-L56</f>
        <v>3.7980000000000302</v>
      </c>
      <c r="V56" s="450">
        <f t="shared" ref="V56:V60" si="77">IF((L56)=0,"",(U56/L56))</f>
        <v>2.6940320718823883E-2</v>
      </c>
      <c r="W56" s="52"/>
      <c r="X56" s="446"/>
      <c r="Y56" s="446"/>
      <c r="Z56" s="448">
        <f>SUM(Z47:Z48,Z40,Z41:Z43)</f>
        <v>148.76288959999999</v>
      </c>
      <c r="AA56" s="449"/>
      <c r="AB56" s="448">
        <f t="shared" ref="AB56:AB60" si="78">Z56-S56</f>
        <v>3.9866124799999909</v>
      </c>
      <c r="AC56" s="450">
        <f t="shared" ref="AC56:AC60" si="79">IF((S56)=0,"",(AB56/S56))</f>
        <v>2.7536365482693184E-2</v>
      </c>
      <c r="AD56" s="52"/>
      <c r="AE56" s="446"/>
      <c r="AF56" s="446"/>
      <c r="AG56" s="448">
        <f>SUM(AG47:AG48,AG40,AG41:AG43)</f>
        <v>151.88288959999997</v>
      </c>
      <c r="AH56" s="449"/>
      <c r="AI56" s="448">
        <f t="shared" ref="AI56:AI60" si="80">AG56-Z56</f>
        <v>3.1199999999999761</v>
      </c>
      <c r="AJ56" s="450">
        <f t="shared" ref="AJ56:AJ60" si="81">IF((Z56)=0,"",(AI56/Z56))</f>
        <v>2.0972972549734448E-2</v>
      </c>
      <c r="AK56" s="52"/>
      <c r="AL56" s="446"/>
      <c r="AM56" s="446"/>
      <c r="AN56" s="448">
        <f>SUM(AN47:AN48,AN40,AN41:AN43)</f>
        <v>154.84288959999998</v>
      </c>
      <c r="AO56" s="449"/>
      <c r="AP56" s="448">
        <f t="shared" ref="AP56:AP60" si="82">AN56-AG56</f>
        <v>2.960000000000008</v>
      </c>
      <c r="AQ56" s="450">
        <f t="shared" ref="AQ56:AQ60" si="83">IF((AG56)=0,"",(AP56/AG56))</f>
        <v>1.9488699535513767E-2</v>
      </c>
      <c r="AR56" s="451"/>
      <c r="AS56" s="451"/>
      <c r="AT56" s="451"/>
      <c r="AU56" s="3"/>
      <c r="AV56" s="3"/>
      <c r="AW56" s="3"/>
      <c r="AX56" s="3"/>
      <c r="AY56" s="3"/>
      <c r="AZ56" s="3"/>
      <c r="BA56" s="3"/>
      <c r="BB56" s="3"/>
    </row>
    <row r="57" spans="1:54" ht="12.75" customHeight="1">
      <c r="A57" s="52"/>
      <c r="B57" s="452" t="s">
        <v>316</v>
      </c>
      <c r="C57" s="320"/>
      <c r="D57" s="320"/>
      <c r="E57" s="320"/>
      <c r="F57" s="445">
        <v>0.13</v>
      </c>
      <c r="G57" s="489"/>
      <c r="H57" s="490">
        <f>H56*F57</f>
        <v>17.2538209792</v>
      </c>
      <c r="I57" s="417"/>
      <c r="J57" s="445">
        <v>0.13</v>
      </c>
      <c r="K57" s="453"/>
      <c r="L57" s="400">
        <f>L56*J57</f>
        <v>18.327176025599996</v>
      </c>
      <c r="M57" s="128"/>
      <c r="N57" s="401">
        <f t="shared" si="74"/>
        <v>1.0733550463999961</v>
      </c>
      <c r="O57" s="402">
        <f t="shared" si="75"/>
        <v>6.2209701126142311E-2</v>
      </c>
      <c r="P57" s="52"/>
      <c r="Q57" s="445">
        <v>0.13</v>
      </c>
      <c r="R57" s="453"/>
      <c r="S57" s="400">
        <f>S56*Q57</f>
        <v>18.820916025600003</v>
      </c>
      <c r="T57" s="128"/>
      <c r="U57" s="401">
        <f t="shared" si="76"/>
        <v>0.49374000000000606</v>
      </c>
      <c r="V57" s="402">
        <f t="shared" si="77"/>
        <v>2.6940320718824001E-2</v>
      </c>
      <c r="W57" s="52"/>
      <c r="X57" s="445">
        <v>0.13</v>
      </c>
      <c r="Y57" s="453"/>
      <c r="Z57" s="400">
        <f>Z56*X57</f>
        <v>19.339175648000001</v>
      </c>
      <c r="AA57" s="128"/>
      <c r="AB57" s="401">
        <f t="shared" si="78"/>
        <v>0.51825962239999868</v>
      </c>
      <c r="AC57" s="402">
        <f t="shared" si="79"/>
        <v>2.7536365482693174E-2</v>
      </c>
      <c r="AD57" s="52"/>
      <c r="AE57" s="445">
        <v>0.13</v>
      </c>
      <c r="AF57" s="453"/>
      <c r="AG57" s="400">
        <f>AG56*AE57</f>
        <v>19.744775647999997</v>
      </c>
      <c r="AH57" s="128"/>
      <c r="AI57" s="401">
        <f t="shared" si="80"/>
        <v>0.40559999999999619</v>
      </c>
      <c r="AJ57" s="402">
        <f t="shared" si="81"/>
        <v>2.097297254973441E-2</v>
      </c>
      <c r="AK57" s="52"/>
      <c r="AL57" s="445">
        <v>0.13</v>
      </c>
      <c r="AM57" s="453"/>
      <c r="AN57" s="400">
        <f>AN56*AL57</f>
        <v>20.129575647999999</v>
      </c>
      <c r="AO57" s="128"/>
      <c r="AP57" s="401">
        <f t="shared" si="82"/>
        <v>0.38480000000000203</v>
      </c>
      <c r="AQ57" s="402">
        <f t="shared" si="83"/>
        <v>1.9488699535513816E-2</v>
      </c>
      <c r="AR57" s="403"/>
      <c r="AS57" s="403"/>
      <c r="AT57" s="403"/>
      <c r="AU57" s="3"/>
      <c r="AV57" s="3"/>
      <c r="AW57" s="3"/>
      <c r="AX57" s="3"/>
      <c r="AY57" s="3"/>
      <c r="AZ57" s="3"/>
      <c r="BA57" s="3"/>
      <c r="BB57" s="3"/>
    </row>
    <row r="58" spans="1:54" ht="12.75" customHeight="1">
      <c r="A58" s="52"/>
      <c r="B58" s="491" t="s">
        <v>349</v>
      </c>
      <c r="C58" s="320"/>
      <c r="D58" s="320"/>
      <c r="E58" s="320"/>
      <c r="F58" s="455"/>
      <c r="G58" s="128"/>
      <c r="H58" s="490">
        <f>H56+H57</f>
        <v>149.97552081919997</v>
      </c>
      <c r="I58" s="417"/>
      <c r="J58" s="455"/>
      <c r="K58" s="417"/>
      <c r="L58" s="400">
        <f>L56+L57</f>
        <v>159.30545314559998</v>
      </c>
      <c r="M58" s="128"/>
      <c r="N58" s="401">
        <f t="shared" si="74"/>
        <v>9.3299323264000122</v>
      </c>
      <c r="O58" s="402">
        <f t="shared" si="75"/>
        <v>6.220970112614263E-2</v>
      </c>
      <c r="P58" s="52"/>
      <c r="Q58" s="417"/>
      <c r="R58" s="417"/>
      <c r="S58" s="400">
        <f>S56+S57</f>
        <v>163.59719314560002</v>
      </c>
      <c r="T58" s="128"/>
      <c r="U58" s="401">
        <f t="shared" si="76"/>
        <v>4.2917400000000328</v>
      </c>
      <c r="V58" s="402">
        <f t="shared" si="77"/>
        <v>2.6940320718823872E-2</v>
      </c>
      <c r="W58" s="52"/>
      <c r="X58" s="417"/>
      <c r="Y58" s="417"/>
      <c r="Z58" s="400">
        <f>Z56+Z57</f>
        <v>168.102065248</v>
      </c>
      <c r="AA58" s="128"/>
      <c r="AB58" s="401">
        <f t="shared" si="78"/>
        <v>4.504872102399986</v>
      </c>
      <c r="AC58" s="402">
        <f t="shared" si="79"/>
        <v>2.753636548269316E-2</v>
      </c>
      <c r="AD58" s="52"/>
      <c r="AE58" s="417"/>
      <c r="AF58" s="417"/>
      <c r="AG58" s="400">
        <f>AG56+AG57</f>
        <v>171.62766524799997</v>
      </c>
      <c r="AH58" s="128"/>
      <c r="AI58" s="401">
        <f t="shared" si="80"/>
        <v>3.5255999999999688</v>
      </c>
      <c r="AJ58" s="402">
        <f t="shared" si="81"/>
        <v>2.0972972549734421E-2</v>
      </c>
      <c r="AK58" s="52"/>
      <c r="AL58" s="417"/>
      <c r="AM58" s="417"/>
      <c r="AN58" s="400">
        <f>AN56+AN57</f>
        <v>174.97246524799999</v>
      </c>
      <c r="AO58" s="128"/>
      <c r="AP58" s="401">
        <f t="shared" si="82"/>
        <v>3.3448000000000206</v>
      </c>
      <c r="AQ58" s="402">
        <f t="shared" si="83"/>
        <v>1.9488699535513833E-2</v>
      </c>
      <c r="AR58" s="403"/>
      <c r="AS58" s="403"/>
      <c r="AT58" s="403"/>
      <c r="AU58" s="3"/>
      <c r="AV58" s="3"/>
      <c r="AW58" s="3"/>
      <c r="AX58" s="3"/>
      <c r="AY58" s="3"/>
      <c r="AZ58" s="3"/>
      <c r="BA58" s="3"/>
      <c r="BB58" s="3"/>
    </row>
    <row r="59" spans="1:54" ht="15.75" customHeight="1">
      <c r="A59" s="52"/>
      <c r="B59" s="628" t="s">
        <v>273</v>
      </c>
      <c r="C59" s="615"/>
      <c r="D59" s="615"/>
      <c r="E59" s="320"/>
      <c r="F59" s="456">
        <f>F53</f>
        <v>0.23499999999999999</v>
      </c>
      <c r="G59" s="128"/>
      <c r="H59" s="492">
        <f>F59*H56</f>
        <v>31.189599462399993</v>
      </c>
      <c r="I59" s="417"/>
      <c r="J59" s="456">
        <f>J53</f>
        <v>0.23499999999999999</v>
      </c>
      <c r="K59" s="417"/>
      <c r="L59" s="457">
        <f>J59*L56</f>
        <v>33.129895123199994</v>
      </c>
      <c r="M59" s="128"/>
      <c r="N59" s="457">
        <f t="shared" si="74"/>
        <v>1.9402956608000004</v>
      </c>
      <c r="O59" s="459">
        <f t="shared" si="75"/>
        <v>6.2209701126142561E-2</v>
      </c>
      <c r="P59" s="52"/>
      <c r="Q59" s="458">
        <f>Q53</f>
        <v>0.23499999999999999</v>
      </c>
      <c r="R59" s="417"/>
      <c r="S59" s="457">
        <f>Q59*S56</f>
        <v>34.022425123200001</v>
      </c>
      <c r="T59" s="128"/>
      <c r="U59" s="457">
        <f t="shared" si="76"/>
        <v>0.89253000000000782</v>
      </c>
      <c r="V59" s="459">
        <f t="shared" si="77"/>
        <v>2.6940320718823903E-2</v>
      </c>
      <c r="W59" s="52"/>
      <c r="X59" s="458">
        <f>X53</f>
        <v>0.23499999999999999</v>
      </c>
      <c r="Y59" s="417"/>
      <c r="Z59" s="457">
        <f>X59*Z56</f>
        <v>34.959279056</v>
      </c>
      <c r="AA59" s="128"/>
      <c r="AB59" s="457">
        <f t="shared" si="78"/>
        <v>0.93685393279999829</v>
      </c>
      <c r="AC59" s="459">
        <f t="shared" si="79"/>
        <v>2.7536365482693195E-2</v>
      </c>
      <c r="AD59" s="52"/>
      <c r="AE59" s="458">
        <f>AE53</f>
        <v>0.23499999999999999</v>
      </c>
      <c r="AF59" s="417"/>
      <c r="AG59" s="457">
        <f>AE59*AG56</f>
        <v>35.692479055999989</v>
      </c>
      <c r="AH59" s="128"/>
      <c r="AI59" s="457">
        <f t="shared" si="80"/>
        <v>0.73319999999998942</v>
      </c>
      <c r="AJ59" s="459">
        <f t="shared" si="81"/>
        <v>2.0972972549734306E-2</v>
      </c>
      <c r="AK59" s="52"/>
      <c r="AL59" s="458">
        <f>AL53</f>
        <v>0.23499999999999999</v>
      </c>
      <c r="AM59" s="417"/>
      <c r="AN59" s="457">
        <f>AL59*AN56</f>
        <v>36.388079055999995</v>
      </c>
      <c r="AO59" s="128"/>
      <c r="AP59" s="457">
        <f t="shared" si="82"/>
        <v>0.69560000000000599</v>
      </c>
      <c r="AQ59" s="459">
        <f t="shared" si="83"/>
        <v>1.9488699535513881E-2</v>
      </c>
      <c r="AR59" s="460"/>
      <c r="AS59" s="460"/>
      <c r="AT59" s="460"/>
      <c r="AU59" s="3"/>
      <c r="AV59" s="3"/>
      <c r="AW59" s="3"/>
      <c r="AX59" s="3"/>
      <c r="AY59" s="3"/>
      <c r="AZ59" s="3"/>
      <c r="BA59" s="3"/>
      <c r="BB59" s="3"/>
    </row>
    <row r="60" spans="1:54" ht="12.75" customHeight="1">
      <c r="A60" s="52"/>
      <c r="B60" s="627" t="s">
        <v>321</v>
      </c>
      <c r="C60" s="613"/>
      <c r="D60" s="613"/>
      <c r="E60" s="461"/>
      <c r="F60" s="469"/>
      <c r="G60" s="495"/>
      <c r="H60" s="496">
        <f>H58-H59</f>
        <v>118.78592135679997</v>
      </c>
      <c r="I60" s="470"/>
      <c r="J60" s="469"/>
      <c r="K60" s="470"/>
      <c r="L60" s="471">
        <f>L58-L59</f>
        <v>126.1755580224</v>
      </c>
      <c r="M60" s="472"/>
      <c r="N60" s="473">
        <f t="shared" si="74"/>
        <v>7.3896366656000225</v>
      </c>
      <c r="O60" s="474">
        <f t="shared" si="75"/>
        <v>6.2209701126142741E-2</v>
      </c>
      <c r="P60" s="52"/>
      <c r="Q60" s="470"/>
      <c r="R60" s="470"/>
      <c r="S60" s="471">
        <f>S58-S59</f>
        <v>129.57476802240001</v>
      </c>
      <c r="T60" s="472"/>
      <c r="U60" s="473">
        <f t="shared" si="76"/>
        <v>3.3992100000000107</v>
      </c>
      <c r="V60" s="474">
        <f t="shared" si="77"/>
        <v>2.6940320718823747E-2</v>
      </c>
      <c r="W60" s="52"/>
      <c r="X60" s="470"/>
      <c r="Y60" s="470"/>
      <c r="Z60" s="471">
        <f>Z58-Z59</f>
        <v>133.14278619200002</v>
      </c>
      <c r="AA60" s="472"/>
      <c r="AB60" s="473">
        <f t="shared" si="78"/>
        <v>3.5680181696000091</v>
      </c>
      <c r="AC60" s="474">
        <f t="shared" si="79"/>
        <v>2.7536365482693316E-2</v>
      </c>
      <c r="AD60" s="52"/>
      <c r="AE60" s="470"/>
      <c r="AF60" s="470"/>
      <c r="AG60" s="471">
        <f>AG58-AG59</f>
        <v>135.93518619199997</v>
      </c>
      <c r="AH60" s="472"/>
      <c r="AI60" s="473">
        <f t="shared" si="80"/>
        <v>2.792399999999958</v>
      </c>
      <c r="AJ60" s="474">
        <f t="shared" si="81"/>
        <v>2.0972972549734289E-2</v>
      </c>
      <c r="AK60" s="52"/>
      <c r="AL60" s="470"/>
      <c r="AM60" s="470"/>
      <c r="AN60" s="471">
        <f>AN58-AN59</f>
        <v>138.58438619200001</v>
      </c>
      <c r="AO60" s="472"/>
      <c r="AP60" s="473">
        <f t="shared" si="82"/>
        <v>2.649200000000036</v>
      </c>
      <c r="AQ60" s="474">
        <f t="shared" si="83"/>
        <v>1.9488699535513979E-2</v>
      </c>
      <c r="AR60" s="451"/>
      <c r="AS60" s="451"/>
      <c r="AT60" s="451"/>
      <c r="AU60" s="3"/>
      <c r="AV60" s="3"/>
      <c r="AW60" s="3"/>
      <c r="AX60" s="3"/>
      <c r="AY60" s="3"/>
      <c r="AZ60" s="3"/>
      <c r="BA60" s="3"/>
      <c r="BB60" s="3"/>
    </row>
    <row r="61" spans="1:5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03"/>
      <c r="AS61" s="403"/>
      <c r="AT61" s="403"/>
      <c r="AU61" s="3"/>
      <c r="AV61" s="3"/>
      <c r="AW61" s="3"/>
      <c r="AX61" s="3"/>
      <c r="AY61" s="3"/>
      <c r="AZ61" s="3"/>
      <c r="BA61" s="3"/>
      <c r="BB61" s="3"/>
    </row>
    <row r="62" spans="1:5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c r="AS62" s="52"/>
      <c r="AT62" s="52"/>
      <c r="AU62" s="3"/>
      <c r="AV62" s="3"/>
      <c r="AW62" s="3"/>
      <c r="AX62" s="3"/>
      <c r="AY62" s="3"/>
      <c r="AZ62" s="3"/>
      <c r="BA62" s="3"/>
      <c r="BB62" s="3"/>
    </row>
    <row r="63" spans="1:5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c r="AS63" s="52"/>
      <c r="AT63" s="52"/>
      <c r="AU63" s="3"/>
      <c r="AV63" s="3"/>
      <c r="AW63" s="3"/>
      <c r="AX63" s="3"/>
      <c r="AY63" s="3"/>
      <c r="AZ63" s="3"/>
      <c r="BA63" s="3"/>
      <c r="BB63" s="3"/>
    </row>
    <row r="64" spans="1:5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3"/>
      <c r="AV64" s="3"/>
      <c r="AW64" s="3"/>
      <c r="AX64" s="3"/>
      <c r="AY64" s="3"/>
      <c r="AZ64" s="3"/>
      <c r="BA64" s="3"/>
      <c r="BB64" s="3"/>
    </row>
    <row r="65" spans="1:54" ht="15.75" customHeight="1">
      <c r="A65" s="479" t="s">
        <v>350</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3"/>
      <c r="AV65" s="3"/>
      <c r="AW65" s="3"/>
      <c r="AX65" s="3"/>
      <c r="AY65" s="3"/>
      <c r="AZ65" s="3"/>
      <c r="BA65" s="3"/>
      <c r="BB65" s="3"/>
    </row>
    <row r="66" spans="1:5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3"/>
      <c r="AV66" s="3"/>
      <c r="AW66" s="3"/>
      <c r="AX66" s="3"/>
      <c r="AY66" s="3"/>
      <c r="AZ66" s="3"/>
      <c r="BA66" s="3"/>
      <c r="BB66" s="3"/>
    </row>
    <row r="67" spans="1:5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3"/>
      <c r="AV67" s="3"/>
      <c r="AW67" s="3"/>
      <c r="AX67" s="3"/>
      <c r="AY67" s="3"/>
      <c r="AZ67" s="3"/>
      <c r="BA67" s="3"/>
      <c r="BB67" s="3"/>
    </row>
    <row r="68" spans="1:5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3"/>
      <c r="AV68" s="3"/>
      <c r="AW68" s="3"/>
      <c r="AX68" s="3"/>
      <c r="AY68" s="3"/>
      <c r="AZ68" s="3"/>
      <c r="BA68" s="3"/>
      <c r="BB68" s="3"/>
    </row>
    <row r="69" spans="1:5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3"/>
      <c r="AV69" s="3"/>
      <c r="AW69" s="3"/>
      <c r="AX69" s="3"/>
      <c r="AY69" s="3"/>
      <c r="AZ69" s="3"/>
      <c r="BA69" s="3"/>
      <c r="BB69" s="3"/>
    </row>
    <row r="70" spans="1:5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3"/>
      <c r="AV70" s="3"/>
      <c r="AW70" s="3"/>
      <c r="AX70" s="3"/>
      <c r="AY70" s="3"/>
      <c r="AZ70" s="3"/>
      <c r="BA70" s="3"/>
      <c r="BB70" s="3"/>
    </row>
    <row r="71" spans="1:5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3"/>
      <c r="AV71" s="3"/>
      <c r="AW71" s="3"/>
      <c r="AX71" s="3"/>
      <c r="AY71" s="3"/>
      <c r="AZ71" s="3"/>
      <c r="BA71" s="3"/>
      <c r="BB71" s="3"/>
    </row>
    <row r="72" spans="1:5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3"/>
      <c r="AV72" s="3"/>
      <c r="AW72" s="3"/>
      <c r="AX72" s="3"/>
      <c r="AY72" s="3"/>
      <c r="AZ72" s="3"/>
      <c r="BA72" s="3"/>
      <c r="BB72" s="3"/>
    </row>
    <row r="73" spans="1:5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3"/>
      <c r="AV73" s="3"/>
      <c r="AW73" s="3"/>
      <c r="AX73" s="3"/>
      <c r="AY73" s="3"/>
      <c r="AZ73" s="3"/>
      <c r="BA73" s="3"/>
      <c r="BB73" s="3"/>
    </row>
    <row r="74" spans="1:5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3"/>
      <c r="AV74" s="3"/>
      <c r="AW74" s="3"/>
      <c r="AX74" s="3"/>
      <c r="AY74" s="3"/>
      <c r="AZ74" s="3"/>
      <c r="BA74" s="3"/>
      <c r="BB74" s="3"/>
    </row>
    <row r="75" spans="1:5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3"/>
      <c r="AV75" s="3"/>
      <c r="AW75" s="3"/>
      <c r="AX75" s="3"/>
      <c r="AY75" s="3"/>
      <c r="AZ75" s="3"/>
      <c r="BA75" s="3"/>
      <c r="BB75" s="3"/>
    </row>
    <row r="76" spans="1:5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3"/>
      <c r="AV76" s="3"/>
      <c r="AW76" s="3"/>
      <c r="AX76" s="3"/>
      <c r="AY76" s="3"/>
      <c r="AZ76" s="3"/>
      <c r="BA76" s="3"/>
      <c r="BB76" s="3"/>
    </row>
    <row r="77" spans="1:5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3"/>
      <c r="AV77" s="3"/>
      <c r="AW77" s="3"/>
      <c r="AX77" s="3"/>
      <c r="AY77" s="3"/>
      <c r="AZ77" s="3"/>
      <c r="BA77" s="3"/>
      <c r="BB77" s="3"/>
    </row>
    <row r="78" spans="1:5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3"/>
      <c r="AV78" s="3"/>
      <c r="AW78" s="3"/>
      <c r="AX78" s="3"/>
      <c r="AY78" s="3"/>
      <c r="AZ78" s="3"/>
      <c r="BA78" s="3"/>
      <c r="BB78" s="3"/>
    </row>
    <row r="79" spans="1:5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3"/>
      <c r="AV79" s="3"/>
      <c r="AW79" s="3"/>
      <c r="AX79" s="3"/>
      <c r="AY79" s="3"/>
      <c r="AZ79" s="3"/>
      <c r="BA79" s="3"/>
      <c r="BB79" s="3"/>
    </row>
    <row r="80" spans="1:5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3"/>
      <c r="AV80" s="3"/>
      <c r="AW80" s="3"/>
      <c r="AX80" s="3"/>
      <c r="AY80" s="3"/>
      <c r="AZ80" s="3"/>
      <c r="BA80" s="3"/>
      <c r="BB80" s="3"/>
    </row>
    <row r="81" spans="1:5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3"/>
      <c r="AV81" s="3"/>
      <c r="AW81" s="3"/>
      <c r="AX81" s="3"/>
      <c r="AY81" s="3"/>
      <c r="AZ81" s="3"/>
      <c r="BA81" s="3"/>
      <c r="BB81" s="3"/>
    </row>
    <row r="82" spans="1:5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3"/>
      <c r="AV82" s="3"/>
      <c r="AW82" s="3"/>
      <c r="AX82" s="3"/>
      <c r="AY82" s="3"/>
      <c r="AZ82" s="3"/>
      <c r="BA82" s="3"/>
      <c r="BB82" s="3"/>
    </row>
    <row r="83" spans="1:5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3"/>
      <c r="AV83" s="3"/>
      <c r="AW83" s="3"/>
      <c r="AX83" s="3"/>
      <c r="AY83" s="3"/>
      <c r="AZ83" s="3"/>
      <c r="BA83" s="3"/>
      <c r="BB83" s="3"/>
    </row>
    <row r="84" spans="1:5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3"/>
      <c r="AV84" s="3"/>
      <c r="AW84" s="3"/>
      <c r="AX84" s="3"/>
      <c r="AY84" s="3"/>
      <c r="AZ84" s="3"/>
      <c r="BA84" s="3"/>
      <c r="BB84" s="3"/>
    </row>
    <row r="85" spans="1:5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3"/>
      <c r="AV85" s="3"/>
      <c r="AW85" s="3"/>
      <c r="AX85" s="3"/>
      <c r="AY85" s="3"/>
      <c r="AZ85" s="3"/>
      <c r="BA85" s="3"/>
      <c r="BB85" s="3"/>
    </row>
    <row r="86" spans="1:5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3"/>
      <c r="AV86" s="3"/>
      <c r="AW86" s="3"/>
      <c r="AX86" s="3"/>
      <c r="AY86" s="3"/>
      <c r="AZ86" s="3"/>
      <c r="BA86" s="3"/>
      <c r="BB86" s="3"/>
    </row>
    <row r="87" spans="1:5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3"/>
      <c r="AV87" s="3"/>
      <c r="AW87" s="3"/>
      <c r="AX87" s="3"/>
      <c r="AY87" s="3"/>
      <c r="AZ87" s="3"/>
      <c r="BA87" s="3"/>
      <c r="BB87" s="3"/>
    </row>
    <row r="88" spans="1:5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3"/>
      <c r="AV88" s="3"/>
      <c r="AW88" s="3"/>
      <c r="AX88" s="3"/>
      <c r="AY88" s="3"/>
      <c r="AZ88" s="3"/>
      <c r="BA88" s="3"/>
      <c r="BB88" s="3"/>
    </row>
    <row r="89" spans="1:5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3"/>
      <c r="AV89" s="3"/>
      <c r="AW89" s="3"/>
      <c r="AX89" s="3"/>
      <c r="AY89" s="3"/>
      <c r="AZ89" s="3"/>
      <c r="BA89" s="3"/>
      <c r="BB89" s="3"/>
    </row>
    <row r="90" spans="1:5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3"/>
      <c r="AV90" s="3"/>
      <c r="AW90" s="3"/>
      <c r="AX90" s="3"/>
      <c r="AY90" s="3"/>
      <c r="AZ90" s="3"/>
      <c r="BA90" s="3"/>
      <c r="BB90" s="3"/>
    </row>
    <row r="91" spans="1:5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3"/>
      <c r="AV91" s="3"/>
      <c r="AW91" s="3"/>
      <c r="AX91" s="3"/>
      <c r="AY91" s="3"/>
      <c r="AZ91" s="3"/>
      <c r="BA91" s="3"/>
      <c r="BB91" s="3"/>
    </row>
    <row r="92" spans="1:5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3"/>
      <c r="AV92" s="3"/>
      <c r="AW92" s="3"/>
      <c r="AX92" s="3"/>
      <c r="AY92" s="3"/>
      <c r="AZ92" s="3"/>
      <c r="BA92" s="3"/>
      <c r="BB92" s="3"/>
    </row>
    <row r="93" spans="1:5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3"/>
      <c r="AV93" s="3"/>
      <c r="AW93" s="3"/>
      <c r="AX93" s="3"/>
      <c r="AY93" s="3"/>
      <c r="AZ93" s="3"/>
      <c r="BA93" s="3"/>
      <c r="BB93" s="3"/>
    </row>
    <row r="94" spans="1:5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3"/>
      <c r="AV94" s="3"/>
      <c r="AW94" s="3"/>
      <c r="AX94" s="3"/>
      <c r="AY94" s="3"/>
      <c r="AZ94" s="3"/>
      <c r="BA94" s="3"/>
      <c r="BB94" s="3"/>
    </row>
    <row r="95" spans="1:5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3"/>
      <c r="AV95" s="3"/>
      <c r="AW95" s="3"/>
      <c r="AX95" s="3"/>
      <c r="AY95" s="3"/>
      <c r="AZ95" s="3"/>
      <c r="BA95" s="3"/>
      <c r="BB95" s="3"/>
    </row>
    <row r="96" spans="1:5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3"/>
      <c r="AV96" s="3"/>
      <c r="AW96" s="3"/>
      <c r="AX96" s="3"/>
      <c r="AY96" s="3"/>
      <c r="AZ96" s="3"/>
      <c r="BA96" s="3"/>
      <c r="BB96" s="3"/>
    </row>
    <row r="97" spans="1:5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3"/>
      <c r="AV97" s="3"/>
      <c r="AW97" s="3"/>
      <c r="AX97" s="3"/>
      <c r="AY97" s="3"/>
      <c r="AZ97" s="3"/>
      <c r="BA97" s="3"/>
      <c r="BB97" s="3"/>
    </row>
    <row r="98" spans="1:5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3"/>
      <c r="AV98" s="3"/>
      <c r="AW98" s="3"/>
      <c r="AX98" s="3"/>
      <c r="AY98" s="3"/>
      <c r="AZ98" s="3"/>
      <c r="BA98" s="3"/>
      <c r="BB98" s="3"/>
    </row>
    <row r="99" spans="1:5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3"/>
      <c r="AV99" s="3"/>
      <c r="AW99" s="3"/>
      <c r="AX99" s="3"/>
      <c r="AY99" s="3"/>
      <c r="AZ99" s="3"/>
      <c r="BA99" s="3"/>
      <c r="BB99" s="3"/>
    </row>
    <row r="100" spans="1:5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3"/>
      <c r="AV100" s="3"/>
      <c r="AW100" s="3"/>
      <c r="AX100" s="3"/>
      <c r="AY100" s="3"/>
      <c r="AZ100" s="3"/>
      <c r="BA100" s="3"/>
      <c r="BB100" s="3"/>
    </row>
    <row r="101" spans="1:5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3"/>
      <c r="AV101" s="3"/>
      <c r="AW101" s="3"/>
      <c r="AX101" s="3"/>
      <c r="AY101" s="3"/>
      <c r="AZ101" s="3"/>
      <c r="BA101" s="3"/>
      <c r="BB101" s="3"/>
    </row>
    <row r="102" spans="1:5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3"/>
      <c r="AV102" s="3"/>
      <c r="AW102" s="3"/>
      <c r="AX102" s="3"/>
      <c r="AY102" s="3"/>
      <c r="AZ102" s="3"/>
      <c r="BA102" s="3"/>
      <c r="BB102" s="3"/>
    </row>
    <row r="103" spans="1:5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3"/>
      <c r="AV103" s="3"/>
      <c r="AW103" s="3"/>
      <c r="AX103" s="3"/>
      <c r="AY103" s="3"/>
      <c r="AZ103" s="3"/>
      <c r="BA103" s="3"/>
      <c r="BB103" s="3"/>
    </row>
    <row r="104" spans="1:5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3"/>
      <c r="AV104" s="3"/>
      <c r="AW104" s="3"/>
      <c r="AX104" s="3"/>
      <c r="AY104" s="3"/>
      <c r="AZ104" s="3"/>
      <c r="BA104" s="3"/>
      <c r="BB104" s="3"/>
    </row>
    <row r="105" spans="1:5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3"/>
      <c r="AV105" s="3"/>
      <c r="AW105" s="3"/>
      <c r="AX105" s="3"/>
      <c r="AY105" s="3"/>
      <c r="AZ105" s="3"/>
      <c r="BA105" s="3"/>
      <c r="BB105" s="3"/>
    </row>
    <row r="106" spans="1:5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3"/>
      <c r="AV106" s="3"/>
      <c r="AW106" s="3"/>
      <c r="AX106" s="3"/>
      <c r="AY106" s="3"/>
      <c r="AZ106" s="3"/>
      <c r="BA106" s="3"/>
      <c r="BB106" s="3"/>
    </row>
    <row r="107" spans="1:5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3"/>
      <c r="AV107" s="3"/>
      <c r="AW107" s="3"/>
      <c r="AX107" s="3"/>
      <c r="AY107" s="3"/>
      <c r="AZ107" s="3"/>
      <c r="BA107" s="3"/>
      <c r="BB107" s="3"/>
    </row>
    <row r="108" spans="1:5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3"/>
      <c r="AV108" s="3"/>
      <c r="AW108" s="3"/>
      <c r="AX108" s="3"/>
      <c r="AY108" s="3"/>
      <c r="AZ108" s="3"/>
      <c r="BA108" s="3"/>
      <c r="BB108" s="3"/>
    </row>
    <row r="109" spans="1:5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3"/>
      <c r="AV109" s="3"/>
      <c r="AW109" s="3"/>
      <c r="AX109" s="3"/>
      <c r="AY109" s="3"/>
      <c r="AZ109" s="3"/>
      <c r="BA109" s="3"/>
      <c r="BB109" s="3"/>
    </row>
    <row r="110" spans="1:5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3"/>
      <c r="AV110" s="3"/>
      <c r="AW110" s="3"/>
      <c r="AX110" s="3"/>
      <c r="AY110" s="3"/>
      <c r="AZ110" s="3"/>
      <c r="BA110" s="3"/>
      <c r="BB110" s="3"/>
    </row>
    <row r="111" spans="1:5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3"/>
      <c r="AV111" s="3"/>
      <c r="AW111" s="3"/>
      <c r="AX111" s="3"/>
      <c r="AY111" s="3"/>
      <c r="AZ111" s="3"/>
      <c r="BA111" s="3"/>
      <c r="BB111" s="3"/>
    </row>
    <row r="112" spans="1:5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3"/>
      <c r="AV112" s="3"/>
      <c r="AW112" s="3"/>
      <c r="AX112" s="3"/>
      <c r="AY112" s="3"/>
      <c r="AZ112" s="3"/>
      <c r="BA112" s="3"/>
      <c r="BB112" s="3"/>
    </row>
    <row r="113" spans="1:5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3"/>
      <c r="AV113" s="3"/>
      <c r="AW113" s="3"/>
      <c r="AX113" s="3"/>
      <c r="AY113" s="3"/>
      <c r="AZ113" s="3"/>
      <c r="BA113" s="3"/>
      <c r="BB113" s="3"/>
    </row>
    <row r="114" spans="1:5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3"/>
      <c r="AV114" s="3"/>
      <c r="AW114" s="3"/>
      <c r="AX114" s="3"/>
      <c r="AY114" s="3"/>
      <c r="AZ114" s="3"/>
      <c r="BA114" s="3"/>
      <c r="BB114" s="3"/>
    </row>
    <row r="115" spans="1:5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3"/>
      <c r="AV115" s="3"/>
      <c r="AW115" s="3"/>
      <c r="AX115" s="3"/>
      <c r="AY115" s="3"/>
      <c r="AZ115" s="3"/>
      <c r="BA115" s="3"/>
      <c r="BB115" s="3"/>
    </row>
    <row r="116" spans="1:5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3"/>
      <c r="AV116" s="3"/>
      <c r="AW116" s="3"/>
      <c r="AX116" s="3"/>
      <c r="AY116" s="3"/>
      <c r="AZ116" s="3"/>
      <c r="BA116" s="3"/>
      <c r="BB116" s="3"/>
    </row>
    <row r="117" spans="1:5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3"/>
      <c r="AV117" s="3"/>
      <c r="AW117" s="3"/>
      <c r="AX117" s="3"/>
      <c r="AY117" s="3"/>
      <c r="AZ117" s="3"/>
      <c r="BA117" s="3"/>
      <c r="BB117" s="3"/>
    </row>
    <row r="118" spans="1:5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3"/>
      <c r="AV118" s="3"/>
      <c r="AW118" s="3"/>
      <c r="AX118" s="3"/>
      <c r="AY118" s="3"/>
      <c r="AZ118" s="3"/>
      <c r="BA118" s="3"/>
      <c r="BB118" s="3"/>
    </row>
    <row r="119" spans="1:5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3"/>
      <c r="AV119" s="3"/>
      <c r="AW119" s="3"/>
      <c r="AX119" s="3"/>
      <c r="AY119" s="3"/>
      <c r="AZ119" s="3"/>
      <c r="BA119" s="3"/>
      <c r="BB119" s="3"/>
    </row>
    <row r="120" spans="1:5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3"/>
      <c r="AV120" s="3"/>
      <c r="AW120" s="3"/>
      <c r="AX120" s="3"/>
      <c r="AY120" s="3"/>
      <c r="AZ120" s="3"/>
      <c r="BA120" s="3"/>
      <c r="BB120" s="3"/>
    </row>
    <row r="121" spans="1:5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3"/>
      <c r="AV121" s="3"/>
      <c r="AW121" s="3"/>
      <c r="AX121" s="3"/>
      <c r="AY121" s="3"/>
      <c r="AZ121" s="3"/>
      <c r="BA121" s="3"/>
      <c r="BB121" s="3"/>
    </row>
    <row r="122" spans="1:5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3"/>
      <c r="AV122" s="3"/>
      <c r="AW122" s="3"/>
      <c r="AX122" s="3"/>
      <c r="AY122" s="3"/>
      <c r="AZ122" s="3"/>
      <c r="BA122" s="3"/>
      <c r="BB122" s="3"/>
    </row>
    <row r="123" spans="1:5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3"/>
      <c r="AV123" s="3"/>
      <c r="AW123" s="3"/>
      <c r="AX123" s="3"/>
      <c r="AY123" s="3"/>
      <c r="AZ123" s="3"/>
      <c r="BA123" s="3"/>
      <c r="BB123" s="3"/>
    </row>
    <row r="124" spans="1:5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3"/>
      <c r="AV124" s="3"/>
      <c r="AW124" s="3"/>
      <c r="AX124" s="3"/>
      <c r="AY124" s="3"/>
      <c r="AZ124" s="3"/>
      <c r="BA124" s="3"/>
      <c r="BB124" s="3"/>
    </row>
    <row r="125" spans="1:5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3"/>
      <c r="AV125" s="3"/>
      <c r="AW125" s="3"/>
      <c r="AX125" s="3"/>
      <c r="AY125" s="3"/>
      <c r="AZ125" s="3"/>
      <c r="BA125" s="3"/>
      <c r="BB125" s="3"/>
    </row>
    <row r="126" spans="1:5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3"/>
      <c r="AV126" s="3"/>
      <c r="AW126" s="3"/>
      <c r="AX126" s="3"/>
      <c r="AY126" s="3"/>
      <c r="AZ126" s="3"/>
      <c r="BA126" s="3"/>
      <c r="BB126" s="3"/>
    </row>
    <row r="127" spans="1:5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3"/>
      <c r="AV127" s="3"/>
      <c r="AW127" s="3"/>
      <c r="AX127" s="3"/>
      <c r="AY127" s="3"/>
      <c r="AZ127" s="3"/>
      <c r="BA127" s="3"/>
      <c r="BB127" s="3"/>
    </row>
    <row r="128" spans="1:5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3"/>
      <c r="AV128" s="3"/>
      <c r="AW128" s="3"/>
      <c r="AX128" s="3"/>
      <c r="AY128" s="3"/>
      <c r="AZ128" s="3"/>
      <c r="BA128" s="3"/>
      <c r="BB128" s="3"/>
    </row>
    <row r="129" spans="1:5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3"/>
      <c r="AV129" s="3"/>
      <c r="AW129" s="3"/>
      <c r="AX129" s="3"/>
      <c r="AY129" s="3"/>
      <c r="AZ129" s="3"/>
      <c r="BA129" s="3"/>
      <c r="BB129" s="3"/>
    </row>
    <row r="130" spans="1:5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3"/>
      <c r="AV130" s="3"/>
      <c r="AW130" s="3"/>
      <c r="AX130" s="3"/>
      <c r="AY130" s="3"/>
      <c r="AZ130" s="3"/>
      <c r="BA130" s="3"/>
      <c r="BB130" s="3"/>
    </row>
    <row r="131" spans="1:5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3"/>
      <c r="AV131" s="3"/>
      <c r="AW131" s="3"/>
      <c r="AX131" s="3"/>
      <c r="AY131" s="3"/>
      <c r="AZ131" s="3"/>
      <c r="BA131" s="3"/>
      <c r="BB131" s="3"/>
    </row>
    <row r="132" spans="1:5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3"/>
      <c r="AV132" s="3"/>
      <c r="AW132" s="3"/>
      <c r="AX132" s="3"/>
      <c r="AY132" s="3"/>
      <c r="AZ132" s="3"/>
      <c r="BA132" s="3"/>
      <c r="BB132" s="3"/>
    </row>
    <row r="133" spans="1:5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3"/>
      <c r="AV133" s="3"/>
      <c r="AW133" s="3"/>
      <c r="AX133" s="3"/>
      <c r="AY133" s="3"/>
      <c r="AZ133" s="3"/>
      <c r="BA133" s="3"/>
      <c r="BB133" s="3"/>
    </row>
    <row r="134" spans="1:5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3"/>
      <c r="AV134" s="3"/>
      <c r="AW134" s="3"/>
      <c r="AX134" s="3"/>
      <c r="AY134" s="3"/>
      <c r="AZ134" s="3"/>
      <c r="BA134" s="3"/>
      <c r="BB134" s="3"/>
    </row>
    <row r="135" spans="1:5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3"/>
      <c r="AV135" s="3"/>
      <c r="AW135" s="3"/>
      <c r="AX135" s="3"/>
      <c r="AY135" s="3"/>
      <c r="AZ135" s="3"/>
      <c r="BA135" s="3"/>
      <c r="BB135" s="3"/>
    </row>
    <row r="136" spans="1:5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3"/>
      <c r="AV136" s="3"/>
      <c r="AW136" s="3"/>
      <c r="AX136" s="3"/>
      <c r="AY136" s="3"/>
      <c r="AZ136" s="3"/>
      <c r="BA136" s="3"/>
      <c r="BB136" s="3"/>
    </row>
    <row r="137" spans="1:5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3"/>
      <c r="AV137" s="3"/>
      <c r="AW137" s="3"/>
      <c r="AX137" s="3"/>
      <c r="AY137" s="3"/>
      <c r="AZ137" s="3"/>
      <c r="BA137" s="3"/>
      <c r="BB137" s="3"/>
    </row>
    <row r="138" spans="1:5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3"/>
      <c r="AV138" s="3"/>
      <c r="AW138" s="3"/>
      <c r="AX138" s="3"/>
      <c r="AY138" s="3"/>
      <c r="AZ138" s="3"/>
      <c r="BA138" s="3"/>
      <c r="BB138" s="3"/>
    </row>
    <row r="139" spans="1:5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3"/>
      <c r="AV139" s="3"/>
      <c r="AW139" s="3"/>
      <c r="AX139" s="3"/>
      <c r="AY139" s="3"/>
      <c r="AZ139" s="3"/>
      <c r="BA139" s="3"/>
      <c r="BB139" s="3"/>
    </row>
    <row r="140" spans="1:5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3"/>
      <c r="AV140" s="3"/>
      <c r="AW140" s="3"/>
      <c r="AX140" s="3"/>
      <c r="AY140" s="3"/>
      <c r="AZ140" s="3"/>
      <c r="BA140" s="3"/>
      <c r="BB140" s="3"/>
    </row>
    <row r="141" spans="1:5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3"/>
      <c r="AV141" s="3"/>
      <c r="AW141" s="3"/>
      <c r="AX141" s="3"/>
      <c r="AY141" s="3"/>
      <c r="AZ141" s="3"/>
      <c r="BA141" s="3"/>
      <c r="BB141" s="3"/>
    </row>
    <row r="142" spans="1:5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3"/>
      <c r="AV142" s="3"/>
      <c r="AW142" s="3"/>
      <c r="AX142" s="3"/>
      <c r="AY142" s="3"/>
      <c r="AZ142" s="3"/>
      <c r="BA142" s="3"/>
      <c r="BB142" s="3"/>
    </row>
    <row r="143" spans="1:5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3"/>
      <c r="AV143" s="3"/>
      <c r="AW143" s="3"/>
      <c r="AX143" s="3"/>
      <c r="AY143" s="3"/>
      <c r="AZ143" s="3"/>
      <c r="BA143" s="3"/>
      <c r="BB143" s="3"/>
    </row>
    <row r="144" spans="1:5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3"/>
      <c r="AV144" s="3"/>
      <c r="AW144" s="3"/>
      <c r="AX144" s="3"/>
      <c r="AY144" s="3"/>
      <c r="AZ144" s="3"/>
      <c r="BA144" s="3"/>
      <c r="BB144" s="3"/>
    </row>
    <row r="145" spans="1:5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3"/>
      <c r="AV145" s="3"/>
      <c r="AW145" s="3"/>
      <c r="AX145" s="3"/>
      <c r="AY145" s="3"/>
      <c r="AZ145" s="3"/>
      <c r="BA145" s="3"/>
      <c r="BB145" s="3"/>
    </row>
    <row r="146" spans="1:5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3"/>
      <c r="AV146" s="3"/>
      <c r="AW146" s="3"/>
      <c r="AX146" s="3"/>
      <c r="AY146" s="3"/>
      <c r="AZ146" s="3"/>
      <c r="BA146" s="3"/>
      <c r="BB146" s="3"/>
    </row>
    <row r="147" spans="1:5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3"/>
      <c r="AV147" s="3"/>
      <c r="AW147" s="3"/>
      <c r="AX147" s="3"/>
      <c r="AY147" s="3"/>
      <c r="AZ147" s="3"/>
      <c r="BA147" s="3"/>
      <c r="BB147" s="3"/>
    </row>
    <row r="148" spans="1:5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3"/>
      <c r="AV148" s="3"/>
      <c r="AW148" s="3"/>
      <c r="AX148" s="3"/>
      <c r="AY148" s="3"/>
      <c r="AZ148" s="3"/>
      <c r="BA148" s="3"/>
      <c r="BB148" s="3"/>
    </row>
    <row r="149" spans="1:5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3"/>
      <c r="AV149" s="3"/>
      <c r="AW149" s="3"/>
      <c r="AX149" s="3"/>
      <c r="AY149" s="3"/>
      <c r="AZ149" s="3"/>
      <c r="BA149" s="3"/>
      <c r="BB149" s="3"/>
    </row>
    <row r="150" spans="1:5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3"/>
      <c r="AV150" s="3"/>
      <c r="AW150" s="3"/>
      <c r="AX150" s="3"/>
      <c r="AY150" s="3"/>
      <c r="AZ150" s="3"/>
      <c r="BA150" s="3"/>
      <c r="BB150" s="3"/>
    </row>
    <row r="151" spans="1:5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3"/>
      <c r="AV151" s="3"/>
      <c r="AW151" s="3"/>
      <c r="AX151" s="3"/>
      <c r="AY151" s="3"/>
      <c r="AZ151" s="3"/>
      <c r="BA151" s="3"/>
      <c r="BB151" s="3"/>
    </row>
    <row r="152" spans="1:5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3"/>
      <c r="AV152" s="3"/>
      <c r="AW152" s="3"/>
      <c r="AX152" s="3"/>
      <c r="AY152" s="3"/>
      <c r="AZ152" s="3"/>
      <c r="BA152" s="3"/>
      <c r="BB152" s="3"/>
    </row>
    <row r="153" spans="1:5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3"/>
      <c r="AV153" s="3"/>
      <c r="AW153" s="3"/>
      <c r="AX153" s="3"/>
      <c r="AY153" s="3"/>
      <c r="AZ153" s="3"/>
      <c r="BA153" s="3"/>
      <c r="BB153" s="3"/>
    </row>
    <row r="154" spans="1:5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3"/>
      <c r="AV154" s="3"/>
      <c r="AW154" s="3"/>
      <c r="AX154" s="3"/>
      <c r="AY154" s="3"/>
      <c r="AZ154" s="3"/>
      <c r="BA154" s="3"/>
      <c r="BB154" s="3"/>
    </row>
    <row r="155" spans="1:5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3"/>
      <c r="AV155" s="3"/>
      <c r="AW155" s="3"/>
      <c r="AX155" s="3"/>
      <c r="AY155" s="3"/>
      <c r="AZ155" s="3"/>
      <c r="BA155" s="3"/>
      <c r="BB155" s="3"/>
    </row>
    <row r="156" spans="1:5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3"/>
      <c r="AV156" s="3"/>
      <c r="AW156" s="3"/>
      <c r="AX156" s="3"/>
      <c r="AY156" s="3"/>
      <c r="AZ156" s="3"/>
      <c r="BA156" s="3"/>
      <c r="BB156" s="3"/>
    </row>
    <row r="157" spans="1:5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3"/>
      <c r="AV157" s="3"/>
      <c r="AW157" s="3"/>
      <c r="AX157" s="3"/>
      <c r="AY157" s="3"/>
      <c r="AZ157" s="3"/>
      <c r="BA157" s="3"/>
      <c r="BB157" s="3"/>
    </row>
    <row r="158" spans="1:5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3"/>
      <c r="AV158" s="3"/>
      <c r="AW158" s="3"/>
      <c r="AX158" s="3"/>
      <c r="AY158" s="3"/>
      <c r="AZ158" s="3"/>
      <c r="BA158" s="3"/>
      <c r="BB158" s="3"/>
    </row>
    <row r="159" spans="1:5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3"/>
      <c r="AV159" s="3"/>
      <c r="AW159" s="3"/>
      <c r="AX159" s="3"/>
      <c r="AY159" s="3"/>
      <c r="AZ159" s="3"/>
      <c r="BA159" s="3"/>
      <c r="BB159" s="3"/>
    </row>
    <row r="160" spans="1:5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3"/>
      <c r="AV160" s="3"/>
      <c r="AW160" s="3"/>
      <c r="AX160" s="3"/>
      <c r="AY160" s="3"/>
      <c r="AZ160" s="3"/>
      <c r="BA160" s="3"/>
      <c r="BB160" s="3"/>
    </row>
    <row r="161" spans="1:5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3"/>
      <c r="AV161" s="3"/>
      <c r="AW161" s="3"/>
      <c r="AX161" s="3"/>
      <c r="AY161" s="3"/>
      <c r="AZ161" s="3"/>
      <c r="BA161" s="3"/>
      <c r="BB161" s="3"/>
    </row>
    <row r="162" spans="1:5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3"/>
      <c r="AV162" s="3"/>
      <c r="AW162" s="3"/>
      <c r="AX162" s="3"/>
      <c r="AY162" s="3"/>
      <c r="AZ162" s="3"/>
      <c r="BA162" s="3"/>
      <c r="BB162" s="3"/>
    </row>
    <row r="163" spans="1:5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3"/>
      <c r="AV163" s="3"/>
      <c r="AW163" s="3"/>
      <c r="AX163" s="3"/>
      <c r="AY163" s="3"/>
      <c r="AZ163" s="3"/>
      <c r="BA163" s="3"/>
      <c r="BB163" s="3"/>
    </row>
    <row r="164" spans="1:5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3"/>
      <c r="AV164" s="3"/>
      <c r="AW164" s="3"/>
      <c r="AX164" s="3"/>
      <c r="AY164" s="3"/>
      <c r="AZ164" s="3"/>
      <c r="BA164" s="3"/>
      <c r="BB164" s="3"/>
    </row>
    <row r="165" spans="1:5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3"/>
      <c r="AV165" s="3"/>
      <c r="AW165" s="3"/>
      <c r="AX165" s="3"/>
      <c r="AY165" s="3"/>
      <c r="AZ165" s="3"/>
      <c r="BA165" s="3"/>
      <c r="BB165" s="3"/>
    </row>
    <row r="166" spans="1:5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3"/>
      <c r="AV166" s="3"/>
      <c r="AW166" s="3"/>
      <c r="AX166" s="3"/>
      <c r="AY166" s="3"/>
      <c r="AZ166" s="3"/>
      <c r="BA166" s="3"/>
      <c r="BB166" s="3"/>
    </row>
    <row r="167" spans="1:5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3"/>
      <c r="AV167" s="3"/>
      <c r="AW167" s="3"/>
      <c r="AX167" s="3"/>
      <c r="AY167" s="3"/>
      <c r="AZ167" s="3"/>
      <c r="BA167" s="3"/>
      <c r="BB167" s="3"/>
    </row>
    <row r="168" spans="1:5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3"/>
      <c r="AV168" s="3"/>
      <c r="AW168" s="3"/>
      <c r="AX168" s="3"/>
      <c r="AY168" s="3"/>
      <c r="AZ168" s="3"/>
      <c r="BA168" s="3"/>
      <c r="BB168" s="3"/>
    </row>
    <row r="169" spans="1:5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3"/>
      <c r="AV169" s="3"/>
      <c r="AW169" s="3"/>
      <c r="AX169" s="3"/>
      <c r="AY169" s="3"/>
      <c r="AZ169" s="3"/>
      <c r="BA169" s="3"/>
      <c r="BB169" s="3"/>
    </row>
    <row r="170" spans="1:5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3"/>
      <c r="AV170" s="3"/>
      <c r="AW170" s="3"/>
      <c r="AX170" s="3"/>
      <c r="AY170" s="3"/>
      <c r="AZ170" s="3"/>
      <c r="BA170" s="3"/>
      <c r="BB170" s="3"/>
    </row>
    <row r="171" spans="1:5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3"/>
      <c r="AV171" s="3"/>
      <c r="AW171" s="3"/>
      <c r="AX171" s="3"/>
      <c r="AY171" s="3"/>
      <c r="AZ171" s="3"/>
      <c r="BA171" s="3"/>
      <c r="BB171" s="3"/>
    </row>
    <row r="172" spans="1:5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3"/>
      <c r="AV172" s="3"/>
      <c r="AW172" s="3"/>
      <c r="AX172" s="3"/>
      <c r="AY172" s="3"/>
      <c r="AZ172" s="3"/>
      <c r="BA172" s="3"/>
      <c r="BB172" s="3"/>
    </row>
    <row r="173" spans="1:5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3"/>
      <c r="AV173" s="3"/>
      <c r="AW173" s="3"/>
      <c r="AX173" s="3"/>
      <c r="AY173" s="3"/>
      <c r="AZ173" s="3"/>
      <c r="BA173" s="3"/>
      <c r="BB173" s="3"/>
    </row>
    <row r="174" spans="1:5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3"/>
      <c r="AV174" s="3"/>
      <c r="AW174" s="3"/>
      <c r="AX174" s="3"/>
      <c r="AY174" s="3"/>
      <c r="AZ174" s="3"/>
      <c r="BA174" s="3"/>
      <c r="BB174" s="3"/>
    </row>
    <row r="175" spans="1:5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3"/>
      <c r="AV175" s="3"/>
      <c r="AW175" s="3"/>
      <c r="AX175" s="3"/>
      <c r="AY175" s="3"/>
      <c r="AZ175" s="3"/>
      <c r="BA175" s="3"/>
      <c r="BB175" s="3"/>
    </row>
    <row r="176" spans="1:5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3"/>
      <c r="AV176" s="3"/>
      <c r="AW176" s="3"/>
      <c r="AX176" s="3"/>
      <c r="AY176" s="3"/>
      <c r="AZ176" s="3"/>
      <c r="BA176" s="3"/>
      <c r="BB176" s="3"/>
    </row>
    <row r="177" spans="1:5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3"/>
      <c r="AV177" s="3"/>
      <c r="AW177" s="3"/>
      <c r="AX177" s="3"/>
      <c r="AY177" s="3"/>
      <c r="AZ177" s="3"/>
      <c r="BA177" s="3"/>
      <c r="BB177" s="3"/>
    </row>
    <row r="178" spans="1:5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3"/>
      <c r="AV178" s="3"/>
      <c r="AW178" s="3"/>
      <c r="AX178" s="3"/>
      <c r="AY178" s="3"/>
      <c r="AZ178" s="3"/>
      <c r="BA178" s="3"/>
      <c r="BB178" s="3"/>
    </row>
    <row r="179" spans="1:5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3"/>
      <c r="AV179" s="3"/>
      <c r="AW179" s="3"/>
      <c r="AX179" s="3"/>
      <c r="AY179" s="3"/>
      <c r="AZ179" s="3"/>
      <c r="BA179" s="3"/>
      <c r="BB179" s="3"/>
    </row>
    <row r="180" spans="1:5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3"/>
      <c r="AV180" s="3"/>
      <c r="AW180" s="3"/>
      <c r="AX180" s="3"/>
      <c r="AY180" s="3"/>
      <c r="AZ180" s="3"/>
      <c r="BA180" s="3"/>
      <c r="BB180" s="3"/>
    </row>
    <row r="181" spans="1:5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3"/>
      <c r="AV181" s="3"/>
      <c r="AW181" s="3"/>
      <c r="AX181" s="3"/>
      <c r="AY181" s="3"/>
      <c r="AZ181" s="3"/>
      <c r="BA181" s="3"/>
      <c r="BB181" s="3"/>
    </row>
    <row r="182" spans="1:5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3"/>
      <c r="AV182" s="3"/>
      <c r="AW182" s="3"/>
      <c r="AX182" s="3"/>
      <c r="AY182" s="3"/>
      <c r="AZ182" s="3"/>
      <c r="BA182" s="3"/>
      <c r="BB182" s="3"/>
    </row>
    <row r="183" spans="1:5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3"/>
      <c r="AV183" s="3"/>
      <c r="AW183" s="3"/>
      <c r="AX183" s="3"/>
      <c r="AY183" s="3"/>
      <c r="AZ183" s="3"/>
      <c r="BA183" s="3"/>
      <c r="BB183" s="3"/>
    </row>
    <row r="184" spans="1:5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3"/>
      <c r="AV184" s="3"/>
      <c r="AW184" s="3"/>
      <c r="AX184" s="3"/>
      <c r="AY184" s="3"/>
      <c r="AZ184" s="3"/>
      <c r="BA184" s="3"/>
      <c r="BB184" s="3"/>
    </row>
    <row r="185" spans="1:5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3"/>
      <c r="AV185" s="3"/>
      <c r="AW185" s="3"/>
      <c r="AX185" s="3"/>
      <c r="AY185" s="3"/>
      <c r="AZ185" s="3"/>
      <c r="BA185" s="3"/>
      <c r="BB185" s="3"/>
    </row>
    <row r="186" spans="1:5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3"/>
      <c r="AV186" s="3"/>
      <c r="AW186" s="3"/>
      <c r="AX186" s="3"/>
      <c r="AY186" s="3"/>
      <c r="AZ186" s="3"/>
      <c r="BA186" s="3"/>
      <c r="BB186" s="3"/>
    </row>
    <row r="187" spans="1:5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3"/>
      <c r="AV187" s="3"/>
      <c r="AW187" s="3"/>
      <c r="AX187" s="3"/>
      <c r="AY187" s="3"/>
      <c r="AZ187" s="3"/>
      <c r="BA187" s="3"/>
      <c r="BB187" s="3"/>
    </row>
    <row r="188" spans="1:5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3"/>
      <c r="AV188" s="3"/>
      <c r="AW188" s="3"/>
      <c r="AX188" s="3"/>
      <c r="AY188" s="3"/>
      <c r="AZ188" s="3"/>
      <c r="BA188" s="3"/>
      <c r="BB188" s="3"/>
    </row>
    <row r="189" spans="1:5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3"/>
      <c r="AV189" s="3"/>
      <c r="AW189" s="3"/>
      <c r="AX189" s="3"/>
      <c r="AY189" s="3"/>
      <c r="AZ189" s="3"/>
      <c r="BA189" s="3"/>
      <c r="BB189" s="3"/>
    </row>
    <row r="190" spans="1:5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3"/>
      <c r="AV190" s="3"/>
      <c r="AW190" s="3"/>
      <c r="AX190" s="3"/>
      <c r="AY190" s="3"/>
      <c r="AZ190" s="3"/>
      <c r="BA190" s="3"/>
      <c r="BB190" s="3"/>
    </row>
    <row r="191" spans="1:5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3"/>
      <c r="AV191" s="3"/>
      <c r="AW191" s="3"/>
      <c r="AX191" s="3"/>
      <c r="AY191" s="3"/>
      <c r="AZ191" s="3"/>
      <c r="BA191" s="3"/>
      <c r="BB191" s="3"/>
    </row>
    <row r="192" spans="1:5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3"/>
      <c r="AV192" s="3"/>
      <c r="AW192" s="3"/>
      <c r="AX192" s="3"/>
      <c r="AY192" s="3"/>
      <c r="AZ192" s="3"/>
      <c r="BA192" s="3"/>
      <c r="BB192" s="3"/>
    </row>
    <row r="193" spans="1:5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3"/>
      <c r="AV193" s="3"/>
      <c r="AW193" s="3"/>
      <c r="AX193" s="3"/>
      <c r="AY193" s="3"/>
      <c r="AZ193" s="3"/>
      <c r="BA193" s="3"/>
      <c r="BB193" s="3"/>
    </row>
    <row r="194" spans="1:5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3"/>
      <c r="AV194" s="3"/>
      <c r="AW194" s="3"/>
      <c r="AX194" s="3"/>
      <c r="AY194" s="3"/>
      <c r="AZ194" s="3"/>
      <c r="BA194" s="3"/>
      <c r="BB194" s="3"/>
    </row>
    <row r="195" spans="1:5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3"/>
      <c r="AV195" s="3"/>
      <c r="AW195" s="3"/>
      <c r="AX195" s="3"/>
      <c r="AY195" s="3"/>
      <c r="AZ195" s="3"/>
      <c r="BA195" s="3"/>
      <c r="BB195" s="3"/>
    </row>
    <row r="196" spans="1:5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3"/>
      <c r="AV196" s="3"/>
      <c r="AW196" s="3"/>
      <c r="AX196" s="3"/>
      <c r="AY196" s="3"/>
      <c r="AZ196" s="3"/>
      <c r="BA196" s="3"/>
      <c r="BB196" s="3"/>
    </row>
    <row r="197" spans="1:5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3"/>
      <c r="AV197" s="3"/>
      <c r="AW197" s="3"/>
      <c r="AX197" s="3"/>
      <c r="AY197" s="3"/>
      <c r="AZ197" s="3"/>
      <c r="BA197" s="3"/>
      <c r="BB197" s="3"/>
    </row>
    <row r="198" spans="1:5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3"/>
      <c r="AV198" s="3"/>
      <c r="AW198" s="3"/>
      <c r="AX198" s="3"/>
      <c r="AY198" s="3"/>
      <c r="AZ198" s="3"/>
      <c r="BA198" s="3"/>
      <c r="BB198" s="3"/>
    </row>
    <row r="199" spans="1:5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3"/>
      <c r="AV199" s="3"/>
      <c r="AW199" s="3"/>
      <c r="AX199" s="3"/>
      <c r="AY199" s="3"/>
      <c r="AZ199" s="3"/>
      <c r="BA199" s="3"/>
      <c r="BB199" s="3"/>
    </row>
    <row r="200" spans="1:5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3"/>
      <c r="AV200" s="3"/>
      <c r="AW200" s="3"/>
      <c r="AX200" s="3"/>
      <c r="AY200" s="3"/>
      <c r="AZ200" s="3"/>
      <c r="BA200" s="3"/>
      <c r="BB200" s="3"/>
    </row>
    <row r="201" spans="1:5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3"/>
      <c r="AV201" s="3"/>
      <c r="AW201" s="3"/>
      <c r="AX201" s="3"/>
      <c r="AY201" s="3"/>
      <c r="AZ201" s="3"/>
      <c r="BA201" s="3"/>
      <c r="BB201" s="3"/>
    </row>
    <row r="202" spans="1:5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3"/>
      <c r="AV202" s="3"/>
      <c r="AW202" s="3"/>
      <c r="AX202" s="3"/>
      <c r="AY202" s="3"/>
      <c r="AZ202" s="3"/>
      <c r="BA202" s="3"/>
      <c r="BB202" s="3"/>
    </row>
    <row r="203" spans="1:5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3"/>
      <c r="AV203" s="3"/>
      <c r="AW203" s="3"/>
      <c r="AX203" s="3"/>
      <c r="AY203" s="3"/>
      <c r="AZ203" s="3"/>
      <c r="BA203" s="3"/>
      <c r="BB203" s="3"/>
    </row>
    <row r="204" spans="1:5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3"/>
      <c r="AV204" s="3"/>
      <c r="AW204" s="3"/>
      <c r="AX204" s="3"/>
      <c r="AY204" s="3"/>
      <c r="AZ204" s="3"/>
      <c r="BA204" s="3"/>
      <c r="BB204" s="3"/>
    </row>
    <row r="205" spans="1:5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3"/>
      <c r="AV205" s="3"/>
      <c r="AW205" s="3"/>
      <c r="AX205" s="3"/>
      <c r="AY205" s="3"/>
      <c r="AZ205" s="3"/>
      <c r="BA205" s="3"/>
      <c r="BB205" s="3"/>
    </row>
    <row r="206" spans="1:5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3"/>
      <c r="AV206" s="3"/>
      <c r="AW206" s="3"/>
      <c r="AX206" s="3"/>
      <c r="AY206" s="3"/>
      <c r="AZ206" s="3"/>
      <c r="BA206" s="3"/>
      <c r="BB206" s="3"/>
    </row>
    <row r="207" spans="1:5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3"/>
      <c r="AV207" s="3"/>
      <c r="AW207" s="3"/>
      <c r="AX207" s="3"/>
      <c r="AY207" s="3"/>
      <c r="AZ207" s="3"/>
      <c r="BA207" s="3"/>
      <c r="BB207" s="3"/>
    </row>
    <row r="208" spans="1:5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3"/>
      <c r="AV208" s="3"/>
      <c r="AW208" s="3"/>
      <c r="AX208" s="3"/>
      <c r="AY208" s="3"/>
      <c r="AZ208" s="3"/>
      <c r="BA208" s="3"/>
      <c r="BB208" s="3"/>
    </row>
    <row r="209" spans="1:5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3"/>
      <c r="AV209" s="3"/>
      <c r="AW209" s="3"/>
      <c r="AX209" s="3"/>
      <c r="AY209" s="3"/>
      <c r="AZ209" s="3"/>
      <c r="BA209" s="3"/>
      <c r="BB209" s="3"/>
    </row>
    <row r="210" spans="1:5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3"/>
      <c r="AV210" s="3"/>
      <c r="AW210" s="3"/>
      <c r="AX210" s="3"/>
      <c r="AY210" s="3"/>
      <c r="AZ210" s="3"/>
      <c r="BA210" s="3"/>
      <c r="BB210" s="3"/>
    </row>
    <row r="211" spans="1:5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3"/>
      <c r="AV211" s="3"/>
      <c r="AW211" s="3"/>
      <c r="AX211" s="3"/>
      <c r="AY211" s="3"/>
      <c r="AZ211" s="3"/>
      <c r="BA211" s="3"/>
      <c r="BB211" s="3"/>
    </row>
    <row r="212" spans="1:5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3"/>
      <c r="AV212" s="3"/>
      <c r="AW212" s="3"/>
      <c r="AX212" s="3"/>
      <c r="AY212" s="3"/>
      <c r="AZ212" s="3"/>
      <c r="BA212" s="3"/>
      <c r="BB212" s="3"/>
    </row>
    <row r="213" spans="1:5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3"/>
      <c r="AV213" s="3"/>
      <c r="AW213" s="3"/>
      <c r="AX213" s="3"/>
      <c r="AY213" s="3"/>
      <c r="AZ213" s="3"/>
      <c r="BA213" s="3"/>
      <c r="BB213" s="3"/>
    </row>
    <row r="214" spans="1:5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3"/>
      <c r="AV214" s="3"/>
      <c r="AW214" s="3"/>
      <c r="AX214" s="3"/>
      <c r="AY214" s="3"/>
      <c r="AZ214" s="3"/>
      <c r="BA214" s="3"/>
      <c r="BB214" s="3"/>
    </row>
    <row r="215" spans="1:5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3"/>
      <c r="AV215" s="3"/>
      <c r="AW215" s="3"/>
      <c r="AX215" s="3"/>
      <c r="AY215" s="3"/>
      <c r="AZ215" s="3"/>
      <c r="BA215" s="3"/>
      <c r="BB215" s="3"/>
    </row>
    <row r="216" spans="1:5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3"/>
      <c r="AV216" s="3"/>
      <c r="AW216" s="3"/>
      <c r="AX216" s="3"/>
      <c r="AY216" s="3"/>
      <c r="AZ216" s="3"/>
      <c r="BA216" s="3"/>
      <c r="BB216" s="3"/>
    </row>
    <row r="217" spans="1:5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3"/>
      <c r="AV217" s="3"/>
      <c r="AW217" s="3"/>
      <c r="AX217" s="3"/>
      <c r="AY217" s="3"/>
      <c r="AZ217" s="3"/>
      <c r="BA217" s="3"/>
      <c r="BB217" s="3"/>
    </row>
    <row r="218" spans="1:5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3"/>
      <c r="AV218" s="3"/>
      <c r="AW218" s="3"/>
      <c r="AX218" s="3"/>
      <c r="AY218" s="3"/>
      <c r="AZ218" s="3"/>
      <c r="BA218" s="3"/>
      <c r="BB218" s="3"/>
    </row>
    <row r="219" spans="1:5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3"/>
      <c r="AV219" s="3"/>
      <c r="AW219" s="3"/>
      <c r="AX219" s="3"/>
      <c r="AY219" s="3"/>
      <c r="AZ219" s="3"/>
      <c r="BA219" s="3"/>
      <c r="BB219" s="3"/>
    </row>
    <row r="220" spans="1:5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3"/>
      <c r="AV220" s="3"/>
      <c r="AW220" s="3"/>
      <c r="AX220" s="3"/>
      <c r="AY220" s="3"/>
      <c r="AZ220" s="3"/>
      <c r="BA220" s="3"/>
      <c r="BB220" s="3"/>
    </row>
    <row r="221" spans="1:5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3"/>
      <c r="AV221" s="3"/>
      <c r="AW221" s="3"/>
      <c r="AX221" s="3"/>
      <c r="AY221" s="3"/>
      <c r="AZ221" s="3"/>
      <c r="BA221" s="3"/>
      <c r="BB221" s="3"/>
    </row>
    <row r="222" spans="1:5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3"/>
      <c r="AV222" s="3"/>
      <c r="AW222" s="3"/>
      <c r="AX222" s="3"/>
      <c r="AY222" s="3"/>
      <c r="AZ222" s="3"/>
      <c r="BA222" s="3"/>
      <c r="BB222" s="3"/>
    </row>
    <row r="223" spans="1:5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3"/>
      <c r="AV223" s="3"/>
      <c r="AW223" s="3"/>
      <c r="AX223" s="3"/>
      <c r="AY223" s="3"/>
      <c r="AZ223" s="3"/>
      <c r="BA223" s="3"/>
      <c r="BB223" s="3"/>
    </row>
    <row r="224" spans="1:5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3"/>
      <c r="AV224" s="3"/>
      <c r="AW224" s="3"/>
      <c r="AX224" s="3"/>
      <c r="AY224" s="3"/>
      <c r="AZ224" s="3"/>
      <c r="BA224" s="3"/>
      <c r="BB224" s="3"/>
    </row>
    <row r="225" spans="1:5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3"/>
      <c r="AV225" s="3"/>
      <c r="AW225" s="3"/>
      <c r="AX225" s="3"/>
      <c r="AY225" s="3"/>
      <c r="AZ225" s="3"/>
      <c r="BA225" s="3"/>
      <c r="BB225" s="3"/>
    </row>
    <row r="226" spans="1:5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3"/>
      <c r="AV226" s="3"/>
      <c r="AW226" s="3"/>
      <c r="AX226" s="3"/>
      <c r="AY226" s="3"/>
      <c r="AZ226" s="3"/>
      <c r="BA226" s="3"/>
      <c r="BB226" s="3"/>
    </row>
    <row r="227" spans="1:5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3"/>
      <c r="AV227" s="3"/>
      <c r="AW227" s="3"/>
      <c r="AX227" s="3"/>
      <c r="AY227" s="3"/>
      <c r="AZ227" s="3"/>
      <c r="BA227" s="3"/>
      <c r="BB227" s="3"/>
    </row>
    <row r="228" spans="1:5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3"/>
      <c r="AV228" s="3"/>
      <c r="AW228" s="3"/>
      <c r="AX228" s="3"/>
      <c r="AY228" s="3"/>
      <c r="AZ228" s="3"/>
      <c r="BA228" s="3"/>
      <c r="BB228" s="3"/>
    </row>
    <row r="229" spans="1:5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3"/>
      <c r="AV229" s="3"/>
      <c r="AW229" s="3"/>
      <c r="AX229" s="3"/>
      <c r="AY229" s="3"/>
      <c r="AZ229" s="3"/>
      <c r="BA229" s="3"/>
      <c r="BB229" s="3"/>
    </row>
    <row r="230" spans="1:5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3"/>
      <c r="AV230" s="3"/>
      <c r="AW230" s="3"/>
      <c r="AX230" s="3"/>
      <c r="AY230" s="3"/>
      <c r="AZ230" s="3"/>
      <c r="BA230" s="3"/>
      <c r="BB230" s="3"/>
    </row>
    <row r="231" spans="1:5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3"/>
      <c r="AV231" s="3"/>
      <c r="AW231" s="3"/>
      <c r="AX231" s="3"/>
      <c r="AY231" s="3"/>
      <c r="AZ231" s="3"/>
      <c r="BA231" s="3"/>
      <c r="BB231" s="3"/>
    </row>
    <row r="232" spans="1:5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3"/>
      <c r="AV232" s="3"/>
      <c r="AW232" s="3"/>
      <c r="AX232" s="3"/>
      <c r="AY232" s="3"/>
      <c r="AZ232" s="3"/>
      <c r="BA232" s="3"/>
      <c r="BB232" s="3"/>
    </row>
    <row r="233" spans="1:5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3"/>
      <c r="AV233" s="3"/>
      <c r="AW233" s="3"/>
      <c r="AX233" s="3"/>
      <c r="AY233" s="3"/>
      <c r="AZ233" s="3"/>
      <c r="BA233" s="3"/>
      <c r="BB233" s="3"/>
    </row>
    <row r="234" spans="1:5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3"/>
      <c r="AV234" s="3"/>
      <c r="AW234" s="3"/>
      <c r="AX234" s="3"/>
      <c r="AY234" s="3"/>
      <c r="AZ234" s="3"/>
      <c r="BA234" s="3"/>
      <c r="BB234" s="3"/>
    </row>
    <row r="235" spans="1:5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3"/>
      <c r="AV235" s="3"/>
      <c r="AW235" s="3"/>
      <c r="AX235" s="3"/>
      <c r="AY235" s="3"/>
      <c r="AZ235" s="3"/>
      <c r="BA235" s="3"/>
      <c r="BB235" s="3"/>
    </row>
    <row r="236" spans="1:5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3"/>
      <c r="AV236" s="3"/>
      <c r="AW236" s="3"/>
      <c r="AX236" s="3"/>
      <c r="AY236" s="3"/>
      <c r="AZ236" s="3"/>
      <c r="BA236" s="3"/>
      <c r="BB236" s="3"/>
    </row>
    <row r="237" spans="1:5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3"/>
      <c r="AV237" s="3"/>
      <c r="AW237" s="3"/>
      <c r="AX237" s="3"/>
      <c r="AY237" s="3"/>
      <c r="AZ237" s="3"/>
      <c r="BA237" s="3"/>
      <c r="BB237" s="3"/>
    </row>
    <row r="238" spans="1:5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3"/>
      <c r="AV238" s="3"/>
      <c r="AW238" s="3"/>
      <c r="AX238" s="3"/>
      <c r="AY238" s="3"/>
      <c r="AZ238" s="3"/>
      <c r="BA238" s="3"/>
      <c r="BB238" s="3"/>
    </row>
    <row r="239" spans="1:5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3"/>
      <c r="AV239" s="3"/>
      <c r="AW239" s="3"/>
      <c r="AX239" s="3"/>
      <c r="AY239" s="3"/>
      <c r="AZ239" s="3"/>
      <c r="BA239" s="3"/>
      <c r="BB239" s="3"/>
    </row>
    <row r="240" spans="1:5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3"/>
      <c r="AV240" s="3"/>
      <c r="AW240" s="3"/>
      <c r="AX240" s="3"/>
      <c r="AY240" s="3"/>
      <c r="AZ240" s="3"/>
      <c r="BA240" s="3"/>
      <c r="BB240" s="3"/>
    </row>
    <row r="241" spans="1:5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3"/>
      <c r="AV241" s="3"/>
      <c r="AW241" s="3"/>
      <c r="AX241" s="3"/>
      <c r="AY241" s="3"/>
      <c r="AZ241" s="3"/>
      <c r="BA241" s="3"/>
      <c r="BB241" s="3"/>
    </row>
    <row r="242" spans="1:5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3"/>
      <c r="AV242" s="3"/>
      <c r="AW242" s="3"/>
      <c r="AX242" s="3"/>
      <c r="AY242" s="3"/>
      <c r="AZ242" s="3"/>
      <c r="BA242" s="3"/>
      <c r="BB242" s="3"/>
    </row>
    <row r="243" spans="1:5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3"/>
      <c r="AV243" s="3"/>
      <c r="AW243" s="3"/>
      <c r="AX243" s="3"/>
      <c r="AY243" s="3"/>
      <c r="AZ243" s="3"/>
      <c r="BA243" s="3"/>
      <c r="BB243" s="3"/>
    </row>
    <row r="244" spans="1:5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3"/>
      <c r="AV244" s="3"/>
      <c r="AW244" s="3"/>
      <c r="AX244" s="3"/>
      <c r="AY244" s="3"/>
      <c r="AZ244" s="3"/>
      <c r="BA244" s="3"/>
      <c r="BB244" s="3"/>
    </row>
    <row r="245" spans="1:5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3"/>
      <c r="AV245" s="3"/>
      <c r="AW245" s="3"/>
      <c r="AX245" s="3"/>
      <c r="AY245" s="3"/>
      <c r="AZ245" s="3"/>
      <c r="BA245" s="3"/>
      <c r="BB245" s="3"/>
    </row>
    <row r="246" spans="1:5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3"/>
      <c r="AV246" s="3"/>
      <c r="AW246" s="3"/>
      <c r="AX246" s="3"/>
      <c r="AY246" s="3"/>
      <c r="AZ246" s="3"/>
      <c r="BA246" s="3"/>
      <c r="BB246" s="3"/>
    </row>
    <row r="247" spans="1:5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3"/>
      <c r="AV247" s="3"/>
      <c r="AW247" s="3"/>
      <c r="AX247" s="3"/>
      <c r="AY247" s="3"/>
      <c r="AZ247" s="3"/>
      <c r="BA247" s="3"/>
      <c r="BB247" s="3"/>
    </row>
    <row r="248" spans="1:5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3"/>
      <c r="AV248" s="3"/>
      <c r="AW248" s="3"/>
      <c r="AX248" s="3"/>
      <c r="AY248" s="3"/>
      <c r="AZ248" s="3"/>
      <c r="BA248" s="3"/>
      <c r="BB248" s="3"/>
    </row>
    <row r="249" spans="1:5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3"/>
      <c r="AV249" s="3"/>
      <c r="AW249" s="3"/>
      <c r="AX249" s="3"/>
      <c r="AY249" s="3"/>
      <c r="AZ249" s="3"/>
      <c r="BA249" s="3"/>
      <c r="BB249" s="3"/>
    </row>
    <row r="250" spans="1:5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3"/>
      <c r="AV250" s="3"/>
      <c r="AW250" s="3"/>
      <c r="AX250" s="3"/>
      <c r="AY250" s="3"/>
      <c r="AZ250" s="3"/>
      <c r="BA250" s="3"/>
      <c r="BB250" s="3"/>
    </row>
    <row r="251" spans="1:5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3"/>
      <c r="AV251" s="3"/>
      <c r="AW251" s="3"/>
      <c r="AX251" s="3"/>
      <c r="AY251" s="3"/>
      <c r="AZ251" s="3"/>
      <c r="BA251" s="3"/>
      <c r="BB251" s="3"/>
    </row>
    <row r="252" spans="1:5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3"/>
      <c r="AV252" s="3"/>
      <c r="AW252" s="3"/>
      <c r="AX252" s="3"/>
      <c r="AY252" s="3"/>
      <c r="AZ252" s="3"/>
      <c r="BA252" s="3"/>
      <c r="BB252" s="3"/>
    </row>
    <row r="253" spans="1:5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3"/>
      <c r="AV253" s="3"/>
      <c r="AW253" s="3"/>
      <c r="AX253" s="3"/>
      <c r="AY253" s="3"/>
      <c r="AZ253" s="3"/>
      <c r="BA253" s="3"/>
      <c r="BB253" s="3"/>
    </row>
    <row r="254" spans="1:5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3"/>
      <c r="AV254" s="3"/>
      <c r="AW254" s="3"/>
      <c r="AX254" s="3"/>
      <c r="AY254" s="3"/>
      <c r="AZ254" s="3"/>
      <c r="BA254" s="3"/>
      <c r="BB254" s="3"/>
    </row>
    <row r="255" spans="1:5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3"/>
      <c r="AV255" s="3"/>
      <c r="AW255" s="3"/>
      <c r="AX255" s="3"/>
      <c r="AY255" s="3"/>
      <c r="AZ255" s="3"/>
      <c r="BA255" s="3"/>
      <c r="BB255" s="3"/>
    </row>
    <row r="256" spans="1:5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3"/>
      <c r="AV256" s="3"/>
      <c r="AW256" s="3"/>
      <c r="AX256" s="3"/>
      <c r="AY256" s="3"/>
      <c r="AZ256" s="3"/>
      <c r="BA256" s="3"/>
      <c r="BB256" s="3"/>
    </row>
    <row r="257" spans="1:5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3"/>
      <c r="AV257" s="3"/>
      <c r="AW257" s="3"/>
      <c r="AX257" s="3"/>
      <c r="AY257" s="3"/>
      <c r="AZ257" s="3"/>
      <c r="BA257" s="3"/>
      <c r="BB257" s="3"/>
    </row>
    <row r="258" spans="1:5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3"/>
      <c r="AV258" s="3"/>
      <c r="AW258" s="3"/>
      <c r="AX258" s="3"/>
      <c r="AY258" s="3"/>
      <c r="AZ258" s="3"/>
      <c r="BA258" s="3"/>
      <c r="BB258" s="3"/>
    </row>
    <row r="259" spans="1:5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3"/>
      <c r="AV259" s="3"/>
      <c r="AW259" s="3"/>
      <c r="AX259" s="3"/>
      <c r="AY259" s="3"/>
      <c r="AZ259" s="3"/>
      <c r="BA259" s="3"/>
      <c r="BB259" s="3"/>
    </row>
    <row r="260" spans="1:5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3"/>
      <c r="AV260" s="3"/>
      <c r="AW260" s="3"/>
      <c r="AX260" s="3"/>
      <c r="AY260" s="3"/>
      <c r="AZ260" s="3"/>
      <c r="BA260" s="3"/>
      <c r="BB260" s="3"/>
    </row>
    <row r="261" spans="1:5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3"/>
      <c r="AV261" s="3"/>
      <c r="AW261" s="3"/>
      <c r="AX261" s="3"/>
      <c r="AY261" s="3"/>
      <c r="AZ261" s="3"/>
      <c r="BA261" s="3"/>
      <c r="BB261" s="3"/>
    </row>
    <row r="262" spans="1:5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3"/>
      <c r="AV262" s="3"/>
      <c r="AW262" s="3"/>
      <c r="AX262" s="3"/>
      <c r="AY262" s="3"/>
      <c r="AZ262" s="3"/>
      <c r="BA262" s="3"/>
      <c r="BB262" s="3"/>
    </row>
    <row r="263" spans="1:5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3"/>
      <c r="AV263" s="3"/>
      <c r="AW263" s="3"/>
      <c r="AX263" s="3"/>
      <c r="AY263" s="3"/>
      <c r="AZ263" s="3"/>
      <c r="BA263" s="3"/>
      <c r="BB263" s="3"/>
    </row>
    <row r="264" spans="1:5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3"/>
      <c r="AV264" s="3"/>
      <c r="AW264" s="3"/>
      <c r="AX264" s="3"/>
      <c r="AY264" s="3"/>
      <c r="AZ264" s="3"/>
      <c r="BA264" s="3"/>
      <c r="BB264" s="3"/>
    </row>
    <row r="265" spans="1:5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3"/>
      <c r="AV265" s="3"/>
      <c r="AW265" s="3"/>
      <c r="AX265" s="3"/>
      <c r="AY265" s="3"/>
      <c r="AZ265" s="3"/>
      <c r="BA265" s="3"/>
      <c r="BB265" s="3"/>
    </row>
    <row r="266" spans="1:5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3"/>
      <c r="AV266" s="3"/>
      <c r="AW266" s="3"/>
      <c r="AX266" s="3"/>
      <c r="AY266" s="3"/>
      <c r="AZ266" s="3"/>
      <c r="BA266" s="3"/>
      <c r="BB266" s="3"/>
    </row>
    <row r="267" spans="1:5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3"/>
      <c r="AV267" s="3"/>
      <c r="AW267" s="3"/>
      <c r="AX267" s="3"/>
      <c r="AY267" s="3"/>
      <c r="AZ267" s="3"/>
      <c r="BA267" s="3"/>
      <c r="BB267" s="3"/>
    </row>
    <row r="268" spans="1:5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3"/>
      <c r="AV268" s="3"/>
      <c r="AW268" s="3"/>
      <c r="AX268" s="3"/>
      <c r="AY268" s="3"/>
      <c r="AZ268" s="3"/>
      <c r="BA268" s="3"/>
      <c r="BB268" s="3"/>
    </row>
    <row r="269" spans="1:5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3"/>
      <c r="AV269" s="3"/>
      <c r="AW269" s="3"/>
      <c r="AX269" s="3"/>
      <c r="AY269" s="3"/>
      <c r="AZ269" s="3"/>
      <c r="BA269" s="3"/>
      <c r="BB269" s="3"/>
    </row>
    <row r="270" spans="1:5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3"/>
      <c r="AV270" s="3"/>
      <c r="AW270" s="3"/>
      <c r="AX270" s="3"/>
      <c r="AY270" s="3"/>
      <c r="AZ270" s="3"/>
      <c r="BA270" s="3"/>
      <c r="BB270" s="3"/>
    </row>
    <row r="271" spans="1:5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3"/>
      <c r="AV271" s="3"/>
      <c r="AW271" s="3"/>
      <c r="AX271" s="3"/>
      <c r="AY271" s="3"/>
      <c r="AZ271" s="3"/>
      <c r="BA271" s="3"/>
      <c r="BB271" s="3"/>
    </row>
    <row r="272" spans="1:5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3"/>
      <c r="AV272" s="3"/>
      <c r="AW272" s="3"/>
      <c r="AX272" s="3"/>
      <c r="AY272" s="3"/>
      <c r="AZ272" s="3"/>
      <c r="BA272" s="3"/>
      <c r="BB272" s="3"/>
    </row>
    <row r="273" spans="1:5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3"/>
      <c r="AV273" s="3"/>
      <c r="AW273" s="3"/>
      <c r="AX273" s="3"/>
      <c r="AY273" s="3"/>
      <c r="AZ273" s="3"/>
      <c r="BA273" s="3"/>
      <c r="BB273" s="3"/>
    </row>
    <row r="274" spans="1:5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3"/>
      <c r="AV274" s="3"/>
      <c r="AW274" s="3"/>
      <c r="AX274" s="3"/>
      <c r="AY274" s="3"/>
      <c r="AZ274" s="3"/>
      <c r="BA274" s="3"/>
      <c r="BB274" s="3"/>
    </row>
    <row r="275" spans="1:5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3"/>
      <c r="AV275" s="3"/>
      <c r="AW275" s="3"/>
      <c r="AX275" s="3"/>
      <c r="AY275" s="3"/>
      <c r="AZ275" s="3"/>
      <c r="BA275" s="3"/>
      <c r="BB275" s="3"/>
    </row>
    <row r="276" spans="1:5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3"/>
      <c r="AV276" s="3"/>
      <c r="AW276" s="3"/>
      <c r="AX276" s="3"/>
      <c r="AY276" s="3"/>
      <c r="AZ276" s="3"/>
      <c r="BA276" s="3"/>
      <c r="BB276" s="3"/>
    </row>
    <row r="277" spans="1:5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3"/>
      <c r="AV277" s="3"/>
      <c r="AW277" s="3"/>
      <c r="AX277" s="3"/>
      <c r="AY277" s="3"/>
      <c r="AZ277" s="3"/>
      <c r="BA277" s="3"/>
      <c r="BB277" s="3"/>
    </row>
    <row r="278" spans="1:5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3"/>
      <c r="AV278" s="3"/>
      <c r="AW278" s="3"/>
      <c r="AX278" s="3"/>
      <c r="AY278" s="3"/>
      <c r="AZ278" s="3"/>
      <c r="BA278" s="3"/>
      <c r="BB278" s="3"/>
    </row>
    <row r="279" spans="1:5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3"/>
      <c r="AV279" s="3"/>
      <c r="AW279" s="3"/>
      <c r="AX279" s="3"/>
      <c r="AY279" s="3"/>
      <c r="AZ279" s="3"/>
      <c r="BA279" s="3"/>
      <c r="BB279" s="3"/>
    </row>
    <row r="280" spans="1:5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3"/>
      <c r="AV280" s="3"/>
      <c r="AW280" s="3"/>
      <c r="AX280" s="3"/>
      <c r="AY280" s="3"/>
      <c r="AZ280" s="3"/>
      <c r="BA280" s="3"/>
      <c r="BB280" s="3"/>
    </row>
    <row r="281" spans="1:5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3"/>
      <c r="AV281" s="3"/>
      <c r="AW281" s="3"/>
      <c r="AX281" s="3"/>
      <c r="AY281" s="3"/>
      <c r="AZ281" s="3"/>
      <c r="BA281" s="3"/>
      <c r="BB281" s="3"/>
    </row>
    <row r="282" spans="1:54" ht="15.75" customHeight="1"/>
    <row r="283" spans="1:54" ht="15.75" customHeight="1"/>
    <row r="284" spans="1:54" ht="15.75" customHeight="1"/>
    <row r="285" spans="1:54" ht="15.75" customHeight="1"/>
    <row r="286" spans="1:54" ht="15.75" customHeight="1"/>
    <row r="287" spans="1:54" ht="15.75" customHeight="1"/>
    <row r="288" spans="1:5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D00-000000000000}">
      <formula1>"TOU,non-TOU"</formula1>
    </dataValidation>
    <dataValidation type="list" allowBlank="1" showErrorMessage="1" sqref="E15:E28 E30:E36 E38:E39 E41:E49 E55 E61" xr:uid="{00000000-0002-0000-0D00-000001000000}">
      <formula1>#REF!</formula1>
    </dataValidation>
    <dataValidation type="list" allowBlank="1" showInputMessage="1" showErrorMessage="1" prompt="Select Charge Unit - monthly, per kWh, per kW" sqref="D15:D28 D30:D36 D38:D39 D41:D49 D55 D61" xr:uid="{00000000-0002-0000-0D00-000002000000}">
      <formula1>"Monthly,per kWh,per kW"</formula1>
    </dataValidation>
  </dataValidations>
  <pageMargins left="0.74803149606299213" right="0.74803149606299213" top="0.98425196850393704" bottom="0.98425196850393704"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1000"/>
  <sheetViews>
    <sheetView showGridLines="0" workbookViewId="0">
      <pane xSplit="2" ySplit="14" topLeftCell="C15" activePane="bottomRight" state="frozen"/>
      <selection pane="topRight" activeCell="C1" sqref="C1"/>
      <selection pane="bottomLeft" activeCell="A15" sqref="A15"/>
      <selection pane="bottomRight" activeCell="C15" sqref="C15"/>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4257812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0.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2"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row>
    <row r="2" spans="1:44"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4"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 customHeight="1">
      <c r="A10" s="52"/>
      <c r="B10" s="52"/>
      <c r="C10" s="52"/>
      <c r="D10" s="306" t="s">
        <v>297</v>
      </c>
      <c r="E10" s="306"/>
      <c r="F10" s="386">
        <v>750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row>
    <row r="16" spans="1:44" ht="12"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750</v>
      </c>
      <c r="H17" s="400">
        <f t="shared" si="2"/>
        <v>0</v>
      </c>
      <c r="I17" s="128"/>
      <c r="J17" s="397">
        <f>IFERROR(VLOOKUP($C17,'Proposed Rates'!$B:$J,J$11,FALSE),0)</f>
        <v>0</v>
      </c>
      <c r="K17" s="398">
        <f t="shared" si="3"/>
        <v>750</v>
      </c>
      <c r="L17" s="400">
        <f t="shared" si="4"/>
        <v>0</v>
      </c>
      <c r="M17" s="128"/>
      <c r="N17" s="401">
        <f t="shared" si="5"/>
        <v>0</v>
      </c>
      <c r="O17" s="402" t="str">
        <f t="shared" si="6"/>
        <v/>
      </c>
      <c r="P17" s="52"/>
      <c r="Q17" s="397">
        <f>IFERROR(VLOOKUP($C17,'Proposed Rates'!$B:$J,Q$11,FALSE),0)</f>
        <v>0</v>
      </c>
      <c r="R17" s="398">
        <f t="shared" si="7"/>
        <v>750</v>
      </c>
      <c r="S17" s="400">
        <f t="shared" si="8"/>
        <v>0</v>
      </c>
      <c r="T17" s="128"/>
      <c r="U17" s="401">
        <f t="shared" si="9"/>
        <v>0</v>
      </c>
      <c r="V17" s="402" t="str">
        <f t="shared" si="10"/>
        <v/>
      </c>
      <c r="W17" s="52"/>
      <c r="X17" s="397">
        <f>IFERROR(VLOOKUP($C17,'Proposed Rates'!$B:$J,X$11,FALSE),0)</f>
        <v>0</v>
      </c>
      <c r="Y17" s="398">
        <f t="shared" si="11"/>
        <v>750</v>
      </c>
      <c r="Z17" s="400">
        <f t="shared" si="12"/>
        <v>0</v>
      </c>
      <c r="AA17" s="128"/>
      <c r="AB17" s="401">
        <f t="shared" si="13"/>
        <v>0</v>
      </c>
      <c r="AC17" s="402" t="str">
        <f t="shared" si="14"/>
        <v/>
      </c>
      <c r="AD17" s="52"/>
      <c r="AE17" s="397">
        <f>IFERROR(VLOOKUP($C17,'Proposed Rates'!$B:$J,AE$11,FALSE),0)</f>
        <v>0</v>
      </c>
      <c r="AF17" s="398">
        <f t="shared" si="15"/>
        <v>750</v>
      </c>
      <c r="AG17" s="400">
        <f t="shared" si="16"/>
        <v>0</v>
      </c>
      <c r="AH17" s="128"/>
      <c r="AI17" s="401">
        <f t="shared" si="17"/>
        <v>0</v>
      </c>
      <c r="AJ17" s="402" t="str">
        <f t="shared" si="18"/>
        <v/>
      </c>
      <c r="AK17" s="52"/>
      <c r="AL17" s="397">
        <f>IFERROR(VLOOKUP($C17,'Proposed Rates'!$B:$J,AL$11,FALSE),0)</f>
        <v>0</v>
      </c>
      <c r="AM17" s="398">
        <f t="shared" si="19"/>
        <v>750</v>
      </c>
      <c r="AN17" s="400">
        <f t="shared" si="20"/>
        <v>0</v>
      </c>
      <c r="AO17" s="128"/>
      <c r="AP17" s="401">
        <f t="shared" si="21"/>
        <v>0</v>
      </c>
      <c r="AQ17" s="402" t="str">
        <f t="shared" si="22"/>
        <v/>
      </c>
      <c r="AR17" s="403"/>
    </row>
    <row r="18" spans="1:44" ht="12"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 customHeight="1">
      <c r="A19" s="52"/>
      <c r="B19" s="320" t="s">
        <v>59</v>
      </c>
      <c r="C19" s="395" t="str">
        <f t="shared" si="0"/>
        <v>Residential.Distribution Volumetric Rate</v>
      </c>
      <c r="D19" s="396" t="s">
        <v>308</v>
      </c>
      <c r="E19" s="320"/>
      <c r="F19" s="397">
        <f>IFERROR(VLOOKUP($C19,'Proposed Rates'!$B:$J,F$11,FALSE),0)</f>
        <v>0</v>
      </c>
      <c r="G19" s="398">
        <f t="shared" si="1"/>
        <v>750</v>
      </c>
      <c r="H19" s="400">
        <f t="shared" si="2"/>
        <v>0</v>
      </c>
      <c r="I19" s="128"/>
      <c r="J19" s="397">
        <f>IFERROR(VLOOKUP($C19,'Proposed Rates'!$B:$J,J$11,FALSE),0)</f>
        <v>0</v>
      </c>
      <c r="K19" s="398">
        <f t="shared" si="3"/>
        <v>750</v>
      </c>
      <c r="L19" s="400">
        <f t="shared" si="4"/>
        <v>0</v>
      </c>
      <c r="M19" s="128"/>
      <c r="N19" s="401">
        <f t="shared" si="5"/>
        <v>0</v>
      </c>
      <c r="O19" s="402" t="str">
        <f t="shared" si="6"/>
        <v/>
      </c>
      <c r="P19" s="52"/>
      <c r="Q19" s="397">
        <f>IFERROR(VLOOKUP($C19,'Proposed Rates'!$B:$J,Q$11,FALSE),0)</f>
        <v>0</v>
      </c>
      <c r="R19" s="398">
        <f t="shared" si="7"/>
        <v>750</v>
      </c>
      <c r="S19" s="400">
        <f t="shared" si="8"/>
        <v>0</v>
      </c>
      <c r="T19" s="128"/>
      <c r="U19" s="401">
        <f t="shared" si="9"/>
        <v>0</v>
      </c>
      <c r="V19" s="402" t="str">
        <f t="shared" si="10"/>
        <v/>
      </c>
      <c r="W19" s="52"/>
      <c r="X19" s="397">
        <f>IFERROR(VLOOKUP($C19,'Proposed Rates'!$B:$J,X$11,FALSE),0)</f>
        <v>0</v>
      </c>
      <c r="Y19" s="398">
        <f t="shared" si="11"/>
        <v>750</v>
      </c>
      <c r="Z19" s="400">
        <f t="shared" si="12"/>
        <v>0</v>
      </c>
      <c r="AA19" s="128"/>
      <c r="AB19" s="401">
        <f t="shared" si="13"/>
        <v>0</v>
      </c>
      <c r="AC19" s="402" t="str">
        <f t="shared" si="14"/>
        <v/>
      </c>
      <c r="AD19" s="52"/>
      <c r="AE19" s="397">
        <f>IFERROR(VLOOKUP($C19,'Proposed Rates'!$B:$J,AE$11,FALSE),0)</f>
        <v>0</v>
      </c>
      <c r="AF19" s="398">
        <f t="shared" si="15"/>
        <v>750</v>
      </c>
      <c r="AG19" s="400">
        <f t="shared" si="16"/>
        <v>0</v>
      </c>
      <c r="AH19" s="128"/>
      <c r="AI19" s="401">
        <f t="shared" si="17"/>
        <v>0</v>
      </c>
      <c r="AJ19" s="402" t="str">
        <f t="shared" si="18"/>
        <v/>
      </c>
      <c r="AK19" s="52"/>
      <c r="AL19" s="397">
        <f>IFERROR(VLOOKUP($C19,'Proposed Rates'!$B:$J,AL$11,FALSE),0)</f>
        <v>0</v>
      </c>
      <c r="AM19" s="398">
        <f t="shared" si="19"/>
        <v>750</v>
      </c>
      <c r="AN19" s="400">
        <f t="shared" si="20"/>
        <v>0</v>
      </c>
      <c r="AO19" s="128"/>
      <c r="AP19" s="401">
        <f t="shared" si="21"/>
        <v>0</v>
      </c>
      <c r="AQ19" s="402" t="str">
        <f t="shared" si="22"/>
        <v/>
      </c>
      <c r="AR19" s="403"/>
    </row>
    <row r="20" spans="1:44" ht="12" customHeight="1">
      <c r="A20" s="52"/>
      <c r="B20" s="320" t="s">
        <v>309</v>
      </c>
      <c r="C20" s="395" t="str">
        <f t="shared" si="0"/>
        <v>Residential.Smart Meter Disposition Rider</v>
      </c>
      <c r="D20" s="396" t="s">
        <v>308</v>
      </c>
      <c r="E20" s="320"/>
      <c r="F20" s="397">
        <f>IFERROR(VLOOKUP($C20,'Proposed Rates'!$B:$J,F$11,FALSE),0)</f>
        <v>0</v>
      </c>
      <c r="G20" s="398">
        <f t="shared" si="1"/>
        <v>750</v>
      </c>
      <c r="H20" s="400">
        <f t="shared" si="2"/>
        <v>0</v>
      </c>
      <c r="I20" s="128"/>
      <c r="J20" s="397">
        <f>IFERROR(VLOOKUP($C20,'Proposed Rates'!$B:$J,J$11,FALSE),0)</f>
        <v>0</v>
      </c>
      <c r="K20" s="398">
        <f t="shared" si="3"/>
        <v>750</v>
      </c>
      <c r="L20" s="400">
        <f t="shared" si="4"/>
        <v>0</v>
      </c>
      <c r="M20" s="128"/>
      <c r="N20" s="401">
        <f t="shared" si="5"/>
        <v>0</v>
      </c>
      <c r="O20" s="402" t="str">
        <f t="shared" si="6"/>
        <v/>
      </c>
      <c r="P20" s="52"/>
      <c r="Q20" s="397">
        <f>IFERROR(VLOOKUP($C20,'Proposed Rates'!$B:$J,Q$11,FALSE),0)</f>
        <v>0</v>
      </c>
      <c r="R20" s="398">
        <f t="shared" si="7"/>
        <v>750</v>
      </c>
      <c r="S20" s="400">
        <f t="shared" si="8"/>
        <v>0</v>
      </c>
      <c r="T20" s="128"/>
      <c r="U20" s="401">
        <f t="shared" si="9"/>
        <v>0</v>
      </c>
      <c r="V20" s="402" t="str">
        <f t="shared" si="10"/>
        <v/>
      </c>
      <c r="W20" s="52"/>
      <c r="X20" s="397">
        <f>IFERROR(VLOOKUP($C20,'Proposed Rates'!$B:$J,X$11,FALSE),0)</f>
        <v>0</v>
      </c>
      <c r="Y20" s="398">
        <f t="shared" si="11"/>
        <v>750</v>
      </c>
      <c r="Z20" s="400">
        <f t="shared" si="12"/>
        <v>0</v>
      </c>
      <c r="AA20" s="128"/>
      <c r="AB20" s="401">
        <f t="shared" si="13"/>
        <v>0</v>
      </c>
      <c r="AC20" s="402" t="str">
        <f t="shared" si="14"/>
        <v/>
      </c>
      <c r="AD20" s="52"/>
      <c r="AE20" s="397">
        <f>IFERROR(VLOOKUP($C20,'Proposed Rates'!$B:$J,AE$11,FALSE),0)</f>
        <v>0</v>
      </c>
      <c r="AF20" s="398">
        <f t="shared" si="15"/>
        <v>750</v>
      </c>
      <c r="AG20" s="400">
        <f t="shared" si="16"/>
        <v>0</v>
      </c>
      <c r="AH20" s="128"/>
      <c r="AI20" s="401">
        <f t="shared" si="17"/>
        <v>0</v>
      </c>
      <c r="AJ20" s="402" t="str">
        <f t="shared" si="18"/>
        <v/>
      </c>
      <c r="AK20" s="52"/>
      <c r="AL20" s="397">
        <f>IFERROR(VLOOKUP($C20,'Proposed Rates'!$B:$J,AL$11,FALSE),0)</f>
        <v>0</v>
      </c>
      <c r="AM20" s="398">
        <f t="shared" si="19"/>
        <v>750</v>
      </c>
      <c r="AN20" s="400">
        <f t="shared" si="20"/>
        <v>0</v>
      </c>
      <c r="AO20" s="128"/>
      <c r="AP20" s="401">
        <f t="shared" si="21"/>
        <v>0</v>
      </c>
      <c r="AQ20" s="402" t="str">
        <f t="shared" si="22"/>
        <v/>
      </c>
      <c r="AR20" s="403"/>
    </row>
    <row r="21" spans="1:44" ht="12"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 customHeight="1">
      <c r="A22" s="52"/>
      <c r="B22" s="40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 customHeight="1">
      <c r="A26" s="52"/>
      <c r="B26" s="40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750</v>
      </c>
      <c r="H30" s="400">
        <f t="shared" ref="H30:H36" si="25">G30*F30</f>
        <v>-0.15</v>
      </c>
      <c r="I30" s="128"/>
      <c r="J30" s="414">
        <f>IFERROR(VLOOKUP($C30,'Proposed Rates'!$B:$J,J$11,FALSE),0)</f>
        <v>-5.9999999999999995E-4</v>
      </c>
      <c r="K30" s="415">
        <f t="shared" ref="K30:K33" si="26">IF($D30="Monthly",1,IF($D30="per KWH",$F$10,0))</f>
        <v>750</v>
      </c>
      <c r="L30" s="400">
        <f t="shared" ref="L30:L36" si="27">K30*J30</f>
        <v>-0.44999999999999996</v>
      </c>
      <c r="M30" s="128"/>
      <c r="N30" s="401">
        <f t="shared" si="5"/>
        <v>-0.29999999999999993</v>
      </c>
      <c r="O30" s="402">
        <f t="shared" si="6"/>
        <v>1.9999999999999996</v>
      </c>
      <c r="P30" s="52"/>
      <c r="Q30" s="414">
        <f>IFERROR(VLOOKUP($C30,'Proposed Rates'!$B:$J,Q$11,FALSE),0)</f>
        <v>0</v>
      </c>
      <c r="R30" s="415">
        <f t="shared" ref="R30:R33" si="28">IF($D30="Monthly",1,IF($D30="per KWH",$F$10,0))</f>
        <v>750</v>
      </c>
      <c r="S30" s="400">
        <f t="shared" ref="S30:S36" si="29">R30*Q30</f>
        <v>0</v>
      </c>
      <c r="T30" s="128"/>
      <c r="U30" s="401">
        <f t="shared" si="9"/>
        <v>0.44999999999999996</v>
      </c>
      <c r="V30" s="402">
        <f t="shared" si="10"/>
        <v>-1</v>
      </c>
      <c r="W30" s="52"/>
      <c r="X30" s="414">
        <f>IFERROR(VLOOKUP($C30,'Proposed Rates'!$B:$J,X$11,FALSE),0)</f>
        <v>0</v>
      </c>
      <c r="Y30" s="415">
        <f t="shared" ref="Y30:Y33" si="30">IF($D30="Monthly",1,IF($D30="per KWH",$F$10,0))</f>
        <v>750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750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750</v>
      </c>
      <c r="AN30" s="400">
        <f t="shared" ref="AN30:AN36" si="35">AM30*AL30</f>
        <v>0</v>
      </c>
      <c r="AO30" s="128"/>
      <c r="AP30" s="401">
        <f t="shared" si="21"/>
        <v>0</v>
      </c>
      <c r="AQ30" s="402" t="str">
        <f t="shared" si="22"/>
        <v/>
      </c>
      <c r="AR30" s="403"/>
    </row>
    <row r="31" spans="1:44" ht="12" customHeight="1">
      <c r="A31" s="52"/>
      <c r="B31" s="404" t="s">
        <v>236</v>
      </c>
      <c r="C31" s="395" t="str">
        <f t="shared" si="23"/>
        <v>Residential.DVA Disposition Rate Rider Group 1 - 2024</v>
      </c>
      <c r="D31" s="396" t="s">
        <v>308</v>
      </c>
      <c r="E31" s="320"/>
      <c r="F31" s="414">
        <f>IFERROR(VLOOKUP($C31,'Proposed Rates'!$B:$J,F$11,FALSE),0)</f>
        <v>0</v>
      </c>
      <c r="G31" s="415">
        <f t="shared" si="24"/>
        <v>750</v>
      </c>
      <c r="H31" s="400">
        <f t="shared" si="25"/>
        <v>0</v>
      </c>
      <c r="I31" s="485"/>
      <c r="J31" s="414">
        <f>IFERROR(VLOOKUP($C31,'Proposed Rates'!$B:$J,J$11,FALSE),0)</f>
        <v>0</v>
      </c>
      <c r="K31" s="415">
        <f t="shared" si="26"/>
        <v>750</v>
      </c>
      <c r="L31" s="400">
        <f t="shared" si="27"/>
        <v>0</v>
      </c>
      <c r="M31" s="417"/>
      <c r="N31" s="401">
        <f t="shared" si="5"/>
        <v>0</v>
      </c>
      <c r="O31" s="402" t="str">
        <f t="shared" si="6"/>
        <v/>
      </c>
      <c r="P31" s="52"/>
      <c r="Q31" s="414">
        <f>IFERROR(VLOOKUP($C31,'Proposed Rates'!$B:$J,Q$11,FALSE),0)</f>
        <v>0</v>
      </c>
      <c r="R31" s="415">
        <f t="shared" si="28"/>
        <v>750</v>
      </c>
      <c r="S31" s="400">
        <f t="shared" si="29"/>
        <v>0</v>
      </c>
      <c r="T31" s="417"/>
      <c r="U31" s="401">
        <f t="shared" si="9"/>
        <v>0</v>
      </c>
      <c r="V31" s="402" t="str">
        <f t="shared" si="10"/>
        <v/>
      </c>
      <c r="W31" s="52"/>
      <c r="X31" s="414">
        <f>IFERROR(VLOOKUP($C31,'Proposed Rates'!$B:$J,X$11,FALSE),0)</f>
        <v>0</v>
      </c>
      <c r="Y31" s="415">
        <f t="shared" si="30"/>
        <v>750</v>
      </c>
      <c r="Z31" s="400">
        <f t="shared" si="31"/>
        <v>0</v>
      </c>
      <c r="AA31" s="417"/>
      <c r="AB31" s="401">
        <f t="shared" si="13"/>
        <v>0</v>
      </c>
      <c r="AC31" s="402" t="str">
        <f t="shared" si="14"/>
        <v/>
      </c>
      <c r="AD31" s="52"/>
      <c r="AE31" s="414">
        <f>IFERROR(VLOOKUP($C31,'Proposed Rates'!$B:$J,AE$11,FALSE),0)</f>
        <v>0</v>
      </c>
      <c r="AF31" s="415">
        <f t="shared" si="32"/>
        <v>750</v>
      </c>
      <c r="AG31" s="400">
        <f t="shared" si="33"/>
        <v>0</v>
      </c>
      <c r="AH31" s="417"/>
      <c r="AI31" s="401">
        <f t="shared" si="17"/>
        <v>0</v>
      </c>
      <c r="AJ31" s="402" t="str">
        <f t="shared" si="18"/>
        <v/>
      </c>
      <c r="AK31" s="52"/>
      <c r="AL31" s="414">
        <f>IFERROR(VLOOKUP($C31,'Proposed Rates'!$B:$J,AL$11,FALSE),0)</f>
        <v>0</v>
      </c>
      <c r="AM31" s="415">
        <f t="shared" si="34"/>
        <v>750</v>
      </c>
      <c r="AN31" s="400">
        <f t="shared" si="35"/>
        <v>0</v>
      </c>
      <c r="AO31" s="417"/>
      <c r="AP31" s="401">
        <f t="shared" si="21"/>
        <v>0</v>
      </c>
      <c r="AQ31" s="402" t="str">
        <f t="shared" si="22"/>
        <v/>
      </c>
      <c r="AR31" s="403"/>
    </row>
    <row r="32" spans="1:44" ht="12" customHeight="1">
      <c r="A32" s="52"/>
      <c r="B32" s="404" t="s">
        <v>244</v>
      </c>
      <c r="C32" s="395" t="str">
        <f t="shared" si="23"/>
        <v>Residential.CBR Class B Rate Riders</v>
      </c>
      <c r="D32" s="396" t="s">
        <v>308</v>
      </c>
      <c r="E32" s="320"/>
      <c r="F32" s="414">
        <f>IFERROR(VLOOKUP($C32,'Proposed Rates'!$B:$J,F$11,FALSE),0)</f>
        <v>2.0000000000000001E-4</v>
      </c>
      <c r="G32" s="415">
        <f t="shared" si="24"/>
        <v>750</v>
      </c>
      <c r="H32" s="400">
        <f t="shared" si="25"/>
        <v>0.15</v>
      </c>
      <c r="I32" s="485"/>
      <c r="J32" s="414">
        <f>IFERROR(VLOOKUP($C32,'Proposed Rates'!$B:$J,J$11,FALSE),0)</f>
        <v>4.0000000000000002E-4</v>
      </c>
      <c r="K32" s="415">
        <f t="shared" si="26"/>
        <v>750</v>
      </c>
      <c r="L32" s="400">
        <f t="shared" si="27"/>
        <v>0.3</v>
      </c>
      <c r="M32" s="417"/>
      <c r="N32" s="401">
        <f t="shared" si="5"/>
        <v>0.15</v>
      </c>
      <c r="O32" s="402">
        <f t="shared" si="6"/>
        <v>1</v>
      </c>
      <c r="P32" s="52"/>
      <c r="Q32" s="414">
        <f>IFERROR(VLOOKUP($C32,'Proposed Rates'!$B:$J,Q$11,FALSE),0)</f>
        <v>0</v>
      </c>
      <c r="R32" s="415">
        <f t="shared" si="28"/>
        <v>750</v>
      </c>
      <c r="S32" s="400">
        <f t="shared" si="29"/>
        <v>0</v>
      </c>
      <c r="T32" s="417"/>
      <c r="U32" s="401">
        <f t="shared" si="9"/>
        <v>-0.3</v>
      </c>
      <c r="V32" s="402">
        <f t="shared" si="10"/>
        <v>-1</v>
      </c>
      <c r="W32" s="52"/>
      <c r="X32" s="414">
        <f>IFERROR(VLOOKUP($C32,'Proposed Rates'!$B:$J,X$11,FALSE),0)</f>
        <v>0</v>
      </c>
      <c r="Y32" s="415">
        <f t="shared" si="30"/>
        <v>750</v>
      </c>
      <c r="Z32" s="400">
        <f t="shared" si="31"/>
        <v>0</v>
      </c>
      <c r="AA32" s="417"/>
      <c r="AB32" s="401">
        <f t="shared" si="13"/>
        <v>0</v>
      </c>
      <c r="AC32" s="402" t="str">
        <f t="shared" si="14"/>
        <v/>
      </c>
      <c r="AD32" s="52"/>
      <c r="AE32" s="414">
        <f>IFERROR(VLOOKUP($C32,'Proposed Rates'!$B:$J,AE$11,FALSE),0)</f>
        <v>0</v>
      </c>
      <c r="AF32" s="415">
        <f t="shared" si="32"/>
        <v>750</v>
      </c>
      <c r="AG32" s="400">
        <f t="shared" si="33"/>
        <v>0</v>
      </c>
      <c r="AH32" s="417"/>
      <c r="AI32" s="401">
        <f t="shared" si="17"/>
        <v>0</v>
      </c>
      <c r="AJ32" s="402" t="str">
        <f t="shared" si="18"/>
        <v/>
      </c>
      <c r="AK32" s="52"/>
      <c r="AL32" s="414">
        <f>IFERROR(VLOOKUP($C32,'Proposed Rates'!$B:$J,AL$11,FALSE),0)</f>
        <v>0</v>
      </c>
      <c r="AM32" s="415">
        <f t="shared" si="34"/>
        <v>750</v>
      </c>
      <c r="AN32" s="400">
        <f t="shared" si="35"/>
        <v>0</v>
      </c>
      <c r="AO32" s="417"/>
      <c r="AP32" s="401">
        <f t="shared" si="21"/>
        <v>0</v>
      </c>
      <c r="AQ32" s="402" t="str">
        <f t="shared" si="22"/>
        <v/>
      </c>
      <c r="AR32" s="403"/>
    </row>
    <row r="33" spans="1:44" ht="12" customHeight="1">
      <c r="A33" s="52"/>
      <c r="B33" s="404" t="s">
        <v>311</v>
      </c>
      <c r="C33" s="395" t="str">
        <f t="shared" si="23"/>
        <v>Residential.GA Disposition Rate Rider-NonRPP</v>
      </c>
      <c r="D33" s="396" t="s">
        <v>308</v>
      </c>
      <c r="E33" s="320"/>
      <c r="F33" s="414">
        <f>IFERROR(VLOOKUP($C33,'Proposed Rates'!$B:$J,F$11,FALSE),0)</f>
        <v>0</v>
      </c>
      <c r="G33" s="415">
        <f t="shared" si="24"/>
        <v>750</v>
      </c>
      <c r="H33" s="400">
        <f t="shared" si="25"/>
        <v>0</v>
      </c>
      <c r="I33" s="485"/>
      <c r="J33" s="414">
        <f>IFERROR(VLOOKUP($C33,'Proposed Rates'!$B:$J,J$11,FALSE),0)</f>
        <v>0</v>
      </c>
      <c r="K33" s="415">
        <f t="shared" si="26"/>
        <v>750</v>
      </c>
      <c r="L33" s="400">
        <f t="shared" si="27"/>
        <v>0</v>
      </c>
      <c r="M33" s="417"/>
      <c r="N33" s="401">
        <f t="shared" si="5"/>
        <v>0</v>
      </c>
      <c r="O33" s="402" t="str">
        <f t="shared" si="6"/>
        <v/>
      </c>
      <c r="P33" s="52"/>
      <c r="Q33" s="414">
        <f>IFERROR(VLOOKUP($C33,'Proposed Rates'!$B:$J,Q$11,FALSE),0)</f>
        <v>0</v>
      </c>
      <c r="R33" s="415">
        <f t="shared" si="28"/>
        <v>750</v>
      </c>
      <c r="S33" s="400">
        <f t="shared" si="29"/>
        <v>0</v>
      </c>
      <c r="T33" s="417"/>
      <c r="U33" s="401">
        <f t="shared" si="9"/>
        <v>0</v>
      </c>
      <c r="V33" s="402" t="str">
        <f t="shared" si="10"/>
        <v/>
      </c>
      <c r="W33" s="52"/>
      <c r="X33" s="414">
        <f>IFERROR(VLOOKUP($C33,'Proposed Rates'!$B:$J,X$11,FALSE),0)</f>
        <v>0</v>
      </c>
      <c r="Y33" s="415">
        <f t="shared" si="30"/>
        <v>750</v>
      </c>
      <c r="Z33" s="400">
        <f t="shared" si="31"/>
        <v>0</v>
      </c>
      <c r="AA33" s="417"/>
      <c r="AB33" s="401">
        <f t="shared" si="13"/>
        <v>0</v>
      </c>
      <c r="AC33" s="402" t="str">
        <f t="shared" si="14"/>
        <v/>
      </c>
      <c r="AD33" s="52"/>
      <c r="AE33" s="414">
        <f>IFERROR(VLOOKUP($C33,'Proposed Rates'!$B:$J,AE$11,FALSE),0)</f>
        <v>0</v>
      </c>
      <c r="AF33" s="415">
        <f t="shared" si="32"/>
        <v>750</v>
      </c>
      <c r="AG33" s="400">
        <f t="shared" si="33"/>
        <v>0</v>
      </c>
      <c r="AH33" s="417"/>
      <c r="AI33" s="401">
        <f t="shared" si="17"/>
        <v>0</v>
      </c>
      <c r="AJ33" s="402" t="str">
        <f t="shared" si="18"/>
        <v/>
      </c>
      <c r="AK33" s="52"/>
      <c r="AL33" s="414">
        <f>IFERROR(VLOOKUP($C33,'Proposed Rates'!$B:$J,AL$11,FALSE),0)</f>
        <v>0</v>
      </c>
      <c r="AM33" s="415">
        <f t="shared" si="34"/>
        <v>750</v>
      </c>
      <c r="AN33" s="400">
        <f t="shared" si="35"/>
        <v>0</v>
      </c>
      <c r="AO33" s="417"/>
      <c r="AP33" s="401">
        <f t="shared" si="21"/>
        <v>0</v>
      </c>
      <c r="AQ33" s="402" t="str">
        <f t="shared" si="22"/>
        <v/>
      </c>
      <c r="AR33" s="403"/>
    </row>
    <row r="34" spans="1:44" ht="12" customHeight="1">
      <c r="A34" s="52"/>
      <c r="B34" s="320" t="s">
        <v>269</v>
      </c>
      <c r="C34" s="395" t="str">
        <f t="shared" si="23"/>
        <v>Residential.Low Voltage Service Charge</v>
      </c>
      <c r="D34" s="396" t="s">
        <v>308</v>
      </c>
      <c r="E34" s="320"/>
      <c r="F34" s="418">
        <f>IFERROR(VLOOKUP($C34,'Proposed Rates'!$B:$J,F$11,FALSE),0)</f>
        <v>5.0000000000000002E-5</v>
      </c>
      <c r="G34" s="419">
        <f>$F$10*(1+F$63)</f>
        <v>775.35</v>
      </c>
      <c r="H34" s="400">
        <f t="shared" si="25"/>
        <v>3.8767500000000003E-2</v>
      </c>
      <c r="I34" s="128"/>
      <c r="J34" s="418">
        <f>IFERROR(VLOOKUP($C34,'Proposed Rates'!$B:$J,J$11,FALSE),0)</f>
        <v>6.9999999999999994E-5</v>
      </c>
      <c r="K34" s="419">
        <f>$F$10*(1+J$63)</f>
        <v>774.9</v>
      </c>
      <c r="L34" s="400">
        <f t="shared" si="27"/>
        <v>5.4242999999999993E-2</v>
      </c>
      <c r="M34" s="128"/>
      <c r="N34" s="401">
        <f t="shared" si="5"/>
        <v>1.5475499999999989E-2</v>
      </c>
      <c r="O34" s="402">
        <f t="shared" si="6"/>
        <v>0.3991874637260589</v>
      </c>
      <c r="P34" s="52"/>
      <c r="Q34" s="418">
        <f>IFERROR(VLOOKUP($C34,'Proposed Rates'!$B:$J,Q$11,FALSE),0)</f>
        <v>6.9999999999999994E-5</v>
      </c>
      <c r="R34" s="419">
        <f>$F$10*(1+Q$63)</f>
        <v>774.9</v>
      </c>
      <c r="S34" s="400">
        <f t="shared" si="29"/>
        <v>5.4242999999999993E-2</v>
      </c>
      <c r="T34" s="128"/>
      <c r="U34" s="401">
        <f t="shared" si="9"/>
        <v>0</v>
      </c>
      <c r="V34" s="402">
        <f t="shared" si="10"/>
        <v>0</v>
      </c>
      <c r="W34" s="52"/>
      <c r="X34" s="418">
        <f>IFERROR(VLOOKUP($C34,'Proposed Rates'!$B:$J,X$11,FALSE),0)</f>
        <v>8.0000000000000007E-5</v>
      </c>
      <c r="Y34" s="419">
        <f>$F$10*(1+X$63)</f>
        <v>774.9</v>
      </c>
      <c r="Z34" s="400">
        <f t="shared" si="31"/>
        <v>6.1992000000000005E-2</v>
      </c>
      <c r="AA34" s="128"/>
      <c r="AB34" s="401">
        <f t="shared" si="13"/>
        <v>7.7490000000000128E-3</v>
      </c>
      <c r="AC34" s="402">
        <f t="shared" si="14"/>
        <v>0.14285714285714313</v>
      </c>
      <c r="AD34" s="52"/>
      <c r="AE34" s="418">
        <f>IFERROR(VLOOKUP($C34,'Proposed Rates'!$B:$J,AE$11,FALSE),0)</f>
        <v>8.0000000000000007E-5</v>
      </c>
      <c r="AF34" s="419">
        <f>$F$10*(1+AE$63)</f>
        <v>774.9</v>
      </c>
      <c r="AG34" s="400">
        <f t="shared" si="33"/>
        <v>6.1992000000000005E-2</v>
      </c>
      <c r="AH34" s="128"/>
      <c r="AI34" s="401">
        <f t="shared" si="17"/>
        <v>0</v>
      </c>
      <c r="AJ34" s="402">
        <f t="shared" si="18"/>
        <v>0</v>
      </c>
      <c r="AK34" s="52"/>
      <c r="AL34" s="418">
        <f>IFERROR(VLOOKUP($C34,'Proposed Rates'!$B:$J,AL$11,FALSE),0)</f>
        <v>8.0000000000000007E-5</v>
      </c>
      <c r="AM34" s="419">
        <f>$F$10*(1+AL$63)</f>
        <v>774.9</v>
      </c>
      <c r="AN34" s="400">
        <f t="shared" si="35"/>
        <v>6.1992000000000005E-2</v>
      </c>
      <c r="AO34" s="128"/>
      <c r="AP34" s="401">
        <f t="shared" si="21"/>
        <v>0</v>
      </c>
      <c r="AQ34" s="402">
        <f t="shared" si="22"/>
        <v>0</v>
      </c>
      <c r="AR34" s="403"/>
    </row>
    <row r="35" spans="1:44" ht="12"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25.350000000000023</v>
      </c>
      <c r="H35" s="400">
        <f t="shared" si="25"/>
        <v>3.2326320000000033</v>
      </c>
      <c r="I35" s="128"/>
      <c r="J35" s="420">
        <f>'Proposed Rates'!$K$249*J$44+'Proposed Rates'!$K$250*J$45+'Proposed Rates'!$K$251*J$46</f>
        <v>0.12752000000000002</v>
      </c>
      <c r="K35" s="421">
        <f>$F$10*(1+J$63)-$F$10</f>
        <v>24.899999999999977</v>
      </c>
      <c r="L35" s="400">
        <f t="shared" si="27"/>
        <v>3.1752479999999976</v>
      </c>
      <c r="M35" s="128"/>
      <c r="N35" s="401">
        <f t="shared" si="5"/>
        <v>-5.7384000000005653E-2</v>
      </c>
      <c r="O35" s="402">
        <f t="shared" si="6"/>
        <v>-1.775147928994256E-2</v>
      </c>
      <c r="P35" s="52"/>
      <c r="Q35" s="420">
        <f>'Proposed Rates'!$K$249*Q$44+'Proposed Rates'!$K$250*Q$45+'Proposed Rates'!$K$251*Q$46</f>
        <v>0.12752000000000002</v>
      </c>
      <c r="R35" s="421">
        <f>$F$10*(1+Q$63)-$F$10</f>
        <v>24.899999999999977</v>
      </c>
      <c r="S35" s="400">
        <f t="shared" si="29"/>
        <v>3.1752479999999976</v>
      </c>
      <c r="T35" s="128"/>
      <c r="U35" s="401">
        <f t="shared" si="9"/>
        <v>0</v>
      </c>
      <c r="V35" s="402">
        <f t="shared" si="10"/>
        <v>0</v>
      </c>
      <c r="W35" s="52"/>
      <c r="X35" s="420">
        <f>'Proposed Rates'!$K$249*X$44+'Proposed Rates'!$K$250*X$45+'Proposed Rates'!$K$251*X$46</f>
        <v>0.12752000000000002</v>
      </c>
      <c r="Y35" s="421">
        <f>$F$10*(1+X$63)-$F$10</f>
        <v>24.899999999999977</v>
      </c>
      <c r="Z35" s="400">
        <f t="shared" si="31"/>
        <v>3.1752479999999976</v>
      </c>
      <c r="AA35" s="128"/>
      <c r="AB35" s="401">
        <f t="shared" si="13"/>
        <v>0</v>
      </c>
      <c r="AC35" s="402">
        <f t="shared" si="14"/>
        <v>0</v>
      </c>
      <c r="AD35" s="52"/>
      <c r="AE35" s="420">
        <f>'Proposed Rates'!$K$249*AE$44+'Proposed Rates'!$K$250*AE$45+'Proposed Rates'!$K$251*AE$46</f>
        <v>0.12752000000000002</v>
      </c>
      <c r="AF35" s="421">
        <f>$F$10*(1+AE$63)-$F$10</f>
        <v>24.899999999999977</v>
      </c>
      <c r="AG35" s="400">
        <f t="shared" si="33"/>
        <v>3.1752479999999976</v>
      </c>
      <c r="AH35" s="128"/>
      <c r="AI35" s="401">
        <f t="shared" si="17"/>
        <v>0</v>
      </c>
      <c r="AJ35" s="402">
        <f t="shared" si="18"/>
        <v>0</v>
      </c>
      <c r="AK35" s="52"/>
      <c r="AL35" s="420">
        <f>'Proposed Rates'!$K$249*AL$44+'Proposed Rates'!$K$250*AL$45+'Proposed Rates'!$K$251*AL$46</f>
        <v>0.12752000000000002</v>
      </c>
      <c r="AM35" s="421">
        <f>$F$10*(1+AL$63)-$F$10</f>
        <v>24.899999999999977</v>
      </c>
      <c r="AN35" s="400">
        <f t="shared" si="35"/>
        <v>3.1752479999999976</v>
      </c>
      <c r="AO35" s="128"/>
      <c r="AP35" s="401">
        <f t="shared" si="21"/>
        <v>0</v>
      </c>
      <c r="AQ35" s="402">
        <f t="shared" si="22"/>
        <v>0</v>
      </c>
      <c r="AR35" s="403"/>
    </row>
    <row r="36" spans="1:44" ht="12"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row>
    <row r="37" spans="1:44" ht="12" customHeight="1">
      <c r="A37" s="52"/>
      <c r="B37" s="405" t="s">
        <v>313</v>
      </c>
      <c r="C37" s="422"/>
      <c r="D37" s="422"/>
      <c r="E37" s="422"/>
      <c r="F37" s="423"/>
      <c r="G37" s="424"/>
      <c r="H37" s="409">
        <f>SUM(H30:H36)+H29</f>
        <v>38.201399500000001</v>
      </c>
      <c r="I37" s="425"/>
      <c r="J37" s="423"/>
      <c r="K37" s="424"/>
      <c r="L37" s="502">
        <f>SUM(L30:L36)+L29</f>
        <v>43.989491000000001</v>
      </c>
      <c r="M37" s="425"/>
      <c r="N37" s="411">
        <f t="shared" si="5"/>
        <v>5.7880915000000002</v>
      </c>
      <c r="O37" s="412">
        <f t="shared" si="6"/>
        <v>0.15151516896651915</v>
      </c>
      <c r="P37" s="52"/>
      <c r="Q37" s="423"/>
      <c r="R37" s="424"/>
      <c r="S37" s="409">
        <f>SUM(S30:S36)+S29</f>
        <v>47.779491</v>
      </c>
      <c r="T37" s="425"/>
      <c r="U37" s="411">
        <f t="shared" si="9"/>
        <v>3.7899999999999991</v>
      </c>
      <c r="V37" s="412">
        <f t="shared" si="10"/>
        <v>8.6156941438581297E-2</v>
      </c>
      <c r="W37" s="52"/>
      <c r="X37" s="423"/>
      <c r="Y37" s="424"/>
      <c r="Z37" s="409">
        <f>SUM(Z30:Z36)+Z29</f>
        <v>51.73724</v>
      </c>
      <c r="AA37" s="425"/>
      <c r="AB37" s="411">
        <f t="shared" si="13"/>
        <v>3.9577489999999997</v>
      </c>
      <c r="AC37" s="412">
        <f t="shared" si="14"/>
        <v>8.283363671664061E-2</v>
      </c>
      <c r="AD37" s="52"/>
      <c r="AE37" s="423"/>
      <c r="AF37" s="424"/>
      <c r="AG37" s="409">
        <f>SUM(AG30:AG36)+AG29</f>
        <v>54.827239999999996</v>
      </c>
      <c r="AH37" s="425"/>
      <c r="AI37" s="411">
        <f t="shared" si="17"/>
        <v>3.0899999999999963</v>
      </c>
      <c r="AJ37" s="412">
        <f t="shared" si="18"/>
        <v>5.972487129193587E-2</v>
      </c>
      <c r="AK37" s="52"/>
      <c r="AL37" s="423"/>
      <c r="AM37" s="424"/>
      <c r="AN37" s="409">
        <f>SUM(AN30:AN36)+AN29</f>
        <v>57.757239999999996</v>
      </c>
      <c r="AO37" s="425"/>
      <c r="AP37" s="411">
        <f t="shared" si="21"/>
        <v>2.9299999999999997</v>
      </c>
      <c r="AQ37" s="412">
        <f t="shared" si="22"/>
        <v>5.3440589021077844E-2</v>
      </c>
      <c r="AR37" s="413"/>
    </row>
    <row r="38" spans="1:44" ht="12"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775.35</v>
      </c>
      <c r="H38" s="400">
        <f t="shared" ref="H38:H39" si="38">G38*F38</f>
        <v>9.7694100000000006</v>
      </c>
      <c r="I38" s="128"/>
      <c r="J38" s="414">
        <f>IFERROR(VLOOKUP($C38,'Proposed Rates'!$B:$J,J$11,FALSE),0)</f>
        <v>1.38E-2</v>
      </c>
      <c r="K38" s="419">
        <f t="shared" ref="K38:K39" si="39">$F$10*(1+J$63)</f>
        <v>774.9</v>
      </c>
      <c r="L38" s="400">
        <f t="shared" ref="L38:L39" si="40">K38*J38</f>
        <v>10.693619999999999</v>
      </c>
      <c r="M38" s="128"/>
      <c r="N38" s="401">
        <f t="shared" si="5"/>
        <v>0.92420999999999864</v>
      </c>
      <c r="O38" s="402">
        <f t="shared" si="6"/>
        <v>9.4602437608821671E-2</v>
      </c>
      <c r="P38" s="52"/>
      <c r="Q38" s="414">
        <f>IFERROR(VLOOKUP($C38,'Proposed Rates'!$B:$J,Q$11,FALSE),0)</f>
        <v>1.38E-2</v>
      </c>
      <c r="R38" s="419">
        <f t="shared" ref="R38:R39" si="41">$F$10*(1+Q$63)</f>
        <v>774.9</v>
      </c>
      <c r="S38" s="400">
        <f t="shared" ref="S38:S39" si="42">R38*Q38</f>
        <v>10.693619999999999</v>
      </c>
      <c r="T38" s="128"/>
      <c r="U38" s="401">
        <f t="shared" si="9"/>
        <v>0</v>
      </c>
      <c r="V38" s="402">
        <f t="shared" si="10"/>
        <v>0</v>
      </c>
      <c r="W38" s="52"/>
      <c r="X38" s="414">
        <f>IFERROR(VLOOKUP($C38,'Proposed Rates'!$B:$J,X$11,FALSE),0)</f>
        <v>1.38E-2</v>
      </c>
      <c r="Y38" s="419">
        <f t="shared" ref="Y38:Y39" si="43">$F$10*(1+X$63)</f>
        <v>774.9</v>
      </c>
      <c r="Z38" s="400">
        <f t="shared" ref="Z38:Z39" si="44">Y38*X38</f>
        <v>10.693619999999999</v>
      </c>
      <c r="AA38" s="128"/>
      <c r="AB38" s="401">
        <f t="shared" si="13"/>
        <v>0</v>
      </c>
      <c r="AC38" s="402">
        <f t="shared" si="14"/>
        <v>0</v>
      </c>
      <c r="AD38" s="52"/>
      <c r="AE38" s="414">
        <f>IFERROR(VLOOKUP($C38,'Proposed Rates'!$B:$J,AE$11,FALSE),0)</f>
        <v>1.38E-2</v>
      </c>
      <c r="AF38" s="419">
        <f t="shared" ref="AF38:AF39" si="45">$F$10*(1+AE$63)</f>
        <v>774.9</v>
      </c>
      <c r="AG38" s="400">
        <f t="shared" ref="AG38:AG39" si="46">AF38*AE38</f>
        <v>10.693619999999999</v>
      </c>
      <c r="AH38" s="128"/>
      <c r="AI38" s="401">
        <f t="shared" si="17"/>
        <v>0</v>
      </c>
      <c r="AJ38" s="402">
        <f t="shared" si="18"/>
        <v>0</v>
      </c>
      <c r="AK38" s="52"/>
      <c r="AL38" s="414">
        <f>IFERROR(VLOOKUP($C38,'Proposed Rates'!$B:$J,AL$11,FALSE),0)</f>
        <v>1.38E-2</v>
      </c>
      <c r="AM38" s="419">
        <f t="shared" ref="AM38:AM39" si="47">$F$10*(1+AL$63)</f>
        <v>774.9</v>
      </c>
      <c r="AN38" s="400">
        <f t="shared" ref="AN38:AN39" si="48">AM38*AL38</f>
        <v>10.693619999999999</v>
      </c>
      <c r="AO38" s="128"/>
      <c r="AP38" s="401">
        <f t="shared" si="21"/>
        <v>0</v>
      </c>
      <c r="AQ38" s="402">
        <f t="shared" si="22"/>
        <v>0</v>
      </c>
      <c r="AR38" s="403"/>
    </row>
    <row r="39" spans="1:44" ht="12" customHeight="1">
      <c r="A39" s="52"/>
      <c r="B39" s="128" t="s">
        <v>256</v>
      </c>
      <c r="C39" s="395" t="str">
        <f t="shared" si="36"/>
        <v>Residential.RTSR - Line and Transformation Connection</v>
      </c>
      <c r="D39" s="426" t="s">
        <v>308</v>
      </c>
      <c r="E39" s="128"/>
      <c r="F39" s="414">
        <f>IFERROR(VLOOKUP($C39,'Proposed Rates'!$B:$J,F$11,FALSE),0)</f>
        <v>7.1999999999999998E-3</v>
      </c>
      <c r="G39" s="419">
        <f t="shared" si="37"/>
        <v>775.35</v>
      </c>
      <c r="H39" s="400">
        <f t="shared" si="38"/>
        <v>5.5825199999999997</v>
      </c>
      <c r="I39" s="128"/>
      <c r="J39" s="414">
        <f>IFERROR(VLOOKUP($C39,'Proposed Rates'!$B:$J,J$11,FALSE),0)</f>
        <v>7.7999999999999996E-3</v>
      </c>
      <c r="K39" s="419">
        <f t="shared" si="39"/>
        <v>774.9</v>
      </c>
      <c r="L39" s="400">
        <f t="shared" si="40"/>
        <v>6.0442199999999993</v>
      </c>
      <c r="M39" s="128"/>
      <c r="N39" s="401">
        <f t="shared" si="5"/>
        <v>0.46169999999999956</v>
      </c>
      <c r="O39" s="402">
        <f t="shared" si="6"/>
        <v>8.2704585026117161E-2</v>
      </c>
      <c r="P39" s="52"/>
      <c r="Q39" s="414">
        <f>IFERROR(VLOOKUP($C39,'Proposed Rates'!$B:$J,Q$11,FALSE),0)</f>
        <v>7.7999999999999996E-3</v>
      </c>
      <c r="R39" s="419">
        <f t="shared" si="41"/>
        <v>774.9</v>
      </c>
      <c r="S39" s="400">
        <f t="shared" si="42"/>
        <v>6.0442199999999993</v>
      </c>
      <c r="T39" s="128"/>
      <c r="U39" s="401">
        <f t="shared" si="9"/>
        <v>0</v>
      </c>
      <c r="V39" s="402">
        <f t="shared" si="10"/>
        <v>0</v>
      </c>
      <c r="W39" s="52"/>
      <c r="X39" s="414">
        <f>IFERROR(VLOOKUP($C39,'Proposed Rates'!$B:$J,X$11,FALSE),0)</f>
        <v>7.7999999999999996E-3</v>
      </c>
      <c r="Y39" s="419">
        <f t="shared" si="43"/>
        <v>774.9</v>
      </c>
      <c r="Z39" s="400">
        <f t="shared" si="44"/>
        <v>6.0442199999999993</v>
      </c>
      <c r="AA39" s="128"/>
      <c r="AB39" s="401">
        <f t="shared" si="13"/>
        <v>0</v>
      </c>
      <c r="AC39" s="402">
        <f t="shared" si="14"/>
        <v>0</v>
      </c>
      <c r="AD39" s="52"/>
      <c r="AE39" s="414">
        <f>IFERROR(VLOOKUP($C39,'Proposed Rates'!$B:$J,AE$11,FALSE),0)</f>
        <v>7.7999999999999996E-3</v>
      </c>
      <c r="AF39" s="419">
        <f t="shared" si="45"/>
        <v>774.9</v>
      </c>
      <c r="AG39" s="400">
        <f t="shared" si="46"/>
        <v>6.0442199999999993</v>
      </c>
      <c r="AH39" s="128"/>
      <c r="AI39" s="401">
        <f t="shared" si="17"/>
        <v>0</v>
      </c>
      <c r="AJ39" s="402">
        <f t="shared" si="18"/>
        <v>0</v>
      </c>
      <c r="AK39" s="52"/>
      <c r="AL39" s="414">
        <f>IFERROR(VLOOKUP($C39,'Proposed Rates'!$B:$J,AL$11,FALSE),0)</f>
        <v>7.7999999999999996E-3</v>
      </c>
      <c r="AM39" s="419">
        <f t="shared" si="47"/>
        <v>774.9</v>
      </c>
      <c r="AN39" s="400">
        <f t="shared" si="48"/>
        <v>6.0442199999999993</v>
      </c>
      <c r="AO39" s="128"/>
      <c r="AP39" s="401">
        <f t="shared" si="21"/>
        <v>0</v>
      </c>
      <c r="AQ39" s="402">
        <f t="shared" si="22"/>
        <v>0</v>
      </c>
      <c r="AR39" s="403"/>
    </row>
    <row r="40" spans="1:44" ht="12" customHeight="1">
      <c r="A40" s="52"/>
      <c r="B40" s="405" t="s">
        <v>314</v>
      </c>
      <c r="C40" s="427"/>
      <c r="D40" s="427"/>
      <c r="E40" s="427"/>
      <c r="F40" s="428"/>
      <c r="G40" s="429"/>
      <c r="H40" s="409">
        <f>SUM(H37:H39)</f>
        <v>53.553329500000004</v>
      </c>
      <c r="I40" s="410"/>
      <c r="J40" s="428"/>
      <c r="K40" s="429"/>
      <c r="L40" s="502">
        <f>SUM(L37:L39)</f>
        <v>60.727330999999992</v>
      </c>
      <c r="M40" s="410"/>
      <c r="N40" s="411">
        <f t="shared" si="5"/>
        <v>7.1740014999999886</v>
      </c>
      <c r="O40" s="412">
        <f t="shared" si="6"/>
        <v>0.1339599529474631</v>
      </c>
      <c r="P40" s="52"/>
      <c r="Q40" s="428"/>
      <c r="R40" s="429"/>
      <c r="S40" s="409">
        <f>SUM(S37:S39)</f>
        <v>64.517330999999999</v>
      </c>
      <c r="T40" s="410"/>
      <c r="U40" s="411">
        <f t="shared" si="9"/>
        <v>3.7900000000000063</v>
      </c>
      <c r="V40" s="412">
        <f t="shared" si="10"/>
        <v>6.2410119753163643E-2</v>
      </c>
      <c r="W40" s="52"/>
      <c r="X40" s="428"/>
      <c r="Y40" s="429"/>
      <c r="Z40" s="409">
        <f>SUM(Z37:Z39)</f>
        <v>68.475079999999991</v>
      </c>
      <c r="AA40" s="410"/>
      <c r="AB40" s="411">
        <f t="shared" si="13"/>
        <v>3.9577489999999926</v>
      </c>
      <c r="AC40" s="412">
        <f t="shared" si="14"/>
        <v>6.1343966631229561E-2</v>
      </c>
      <c r="AD40" s="52"/>
      <c r="AE40" s="428"/>
      <c r="AF40" s="429"/>
      <c r="AG40" s="409">
        <f>SUM(AG37:AG39)</f>
        <v>71.565079999999995</v>
      </c>
      <c r="AH40" s="410"/>
      <c r="AI40" s="411">
        <f t="shared" si="17"/>
        <v>3.0900000000000034</v>
      </c>
      <c r="AJ40" s="412">
        <f t="shared" si="18"/>
        <v>4.5125905657941605E-2</v>
      </c>
      <c r="AK40" s="52"/>
      <c r="AL40" s="428"/>
      <c r="AM40" s="429"/>
      <c r="AN40" s="409">
        <f>SUM(AN37:AN39)</f>
        <v>74.495079999999987</v>
      </c>
      <c r="AO40" s="410"/>
      <c r="AP40" s="411">
        <f t="shared" si="21"/>
        <v>2.9299999999999926</v>
      </c>
      <c r="AQ40" s="412">
        <f t="shared" si="22"/>
        <v>4.0941755392434311E-2</v>
      </c>
      <c r="AR40" s="413"/>
    </row>
    <row r="41" spans="1:44" ht="12" customHeight="1">
      <c r="A41" s="52"/>
      <c r="B41" s="320" t="s">
        <v>257</v>
      </c>
      <c r="C41" s="395" t="str">
        <f t="shared" ref="C41:C48" si="49">D$6&amp;"."&amp;B41</f>
        <v>Residential.Wholesale Market Service Charge (WMSC)</v>
      </c>
      <c r="D41" s="396" t="s">
        <v>308</v>
      </c>
      <c r="E41" s="320"/>
      <c r="F41" s="414">
        <f>IFERROR(VLOOKUP($C41,'Proposed Rates'!$B:$J,F$11,FALSE),0)</f>
        <v>4.4999999999999997E-3</v>
      </c>
      <c r="G41" s="419">
        <f t="shared" ref="G41:G42" si="50">$F$10*(1+F$63)</f>
        <v>775.35</v>
      </c>
      <c r="H41" s="400">
        <f t="shared" ref="H41:H48" si="51">G41*F41</f>
        <v>3.4890749999999997</v>
      </c>
      <c r="I41" s="128"/>
      <c r="J41" s="414">
        <f>IFERROR(VLOOKUP($C41,'Proposed Rates'!$B:$J,J$11,FALSE),0)</f>
        <v>4.4999999999999997E-3</v>
      </c>
      <c r="K41" s="419">
        <f t="shared" ref="K41:K42" si="52">$F$10*(1+J$63)</f>
        <v>774.9</v>
      </c>
      <c r="L41" s="400">
        <f t="shared" ref="L41:L48" si="53">K41*J41</f>
        <v>3.4870499999999995</v>
      </c>
      <c r="M41" s="128"/>
      <c r="N41" s="401">
        <f t="shared" si="5"/>
        <v>-2.0250000000001656E-3</v>
      </c>
      <c r="O41" s="402">
        <f t="shared" si="6"/>
        <v>-5.803830528149053E-4</v>
      </c>
      <c r="P41" s="52"/>
      <c r="Q41" s="414">
        <f>IFERROR(VLOOKUP($C41,'Proposed Rates'!$B:$J,Q$11,FALSE),0)</f>
        <v>4.4999999999999997E-3</v>
      </c>
      <c r="R41" s="419">
        <f t="shared" ref="R41:R42" si="54">$F$10*(1+Q$63)</f>
        <v>774.9</v>
      </c>
      <c r="S41" s="400">
        <f t="shared" ref="S41:S48" si="55">R41*Q41</f>
        <v>3.4870499999999995</v>
      </c>
      <c r="T41" s="128"/>
      <c r="U41" s="401">
        <f t="shared" si="9"/>
        <v>0</v>
      </c>
      <c r="V41" s="402">
        <f t="shared" si="10"/>
        <v>0</v>
      </c>
      <c r="W41" s="52"/>
      <c r="X41" s="414">
        <f>IFERROR(VLOOKUP($C41,'Proposed Rates'!$B:$J,X$11,FALSE),0)</f>
        <v>4.4999999999999997E-3</v>
      </c>
      <c r="Y41" s="419">
        <f t="shared" ref="Y41:Y42" si="56">$F$10*(1+X$63)</f>
        <v>774.9</v>
      </c>
      <c r="Z41" s="400">
        <f t="shared" ref="Z41:Z48" si="57">Y41*X41</f>
        <v>3.4870499999999995</v>
      </c>
      <c r="AA41" s="128"/>
      <c r="AB41" s="401">
        <f t="shared" si="13"/>
        <v>0</v>
      </c>
      <c r="AC41" s="402">
        <f t="shared" si="14"/>
        <v>0</v>
      </c>
      <c r="AD41" s="52"/>
      <c r="AE41" s="414">
        <f>IFERROR(VLOOKUP($C41,'Proposed Rates'!$B:$J,AE$11,FALSE),0)</f>
        <v>4.4999999999999997E-3</v>
      </c>
      <c r="AF41" s="419">
        <f t="shared" ref="AF41:AF42" si="58">$F$10*(1+AE$63)</f>
        <v>774.9</v>
      </c>
      <c r="AG41" s="400">
        <f t="shared" ref="AG41:AG48" si="59">AF41*AE41</f>
        <v>3.4870499999999995</v>
      </c>
      <c r="AH41" s="128"/>
      <c r="AI41" s="401">
        <f t="shared" si="17"/>
        <v>0</v>
      </c>
      <c r="AJ41" s="402">
        <f t="shared" si="18"/>
        <v>0</v>
      </c>
      <c r="AK41" s="52"/>
      <c r="AL41" s="414">
        <f>IFERROR(VLOOKUP($C41,'Proposed Rates'!$B:$J,AL$11,FALSE),0)</f>
        <v>4.4999999999999997E-3</v>
      </c>
      <c r="AM41" s="419">
        <f t="shared" ref="AM41:AM42" si="60">$F$10*(1+AL$63)</f>
        <v>774.9</v>
      </c>
      <c r="AN41" s="400">
        <f t="shared" ref="AN41:AN48" si="61">AM41*AL41</f>
        <v>3.4870499999999995</v>
      </c>
      <c r="AO41" s="128"/>
      <c r="AP41" s="401">
        <f t="shared" si="21"/>
        <v>0</v>
      </c>
      <c r="AQ41" s="402">
        <f t="shared" si="22"/>
        <v>0</v>
      </c>
      <c r="AR41" s="403"/>
    </row>
    <row r="42" spans="1:44" ht="12" customHeight="1">
      <c r="A42" s="52"/>
      <c r="B42" s="320" t="s">
        <v>258</v>
      </c>
      <c r="C42" s="395" t="str">
        <f t="shared" si="49"/>
        <v>Residential.Rural and Remote Rate Protection (RRRP)</v>
      </c>
      <c r="D42" s="396" t="s">
        <v>308</v>
      </c>
      <c r="E42" s="320"/>
      <c r="F42" s="414">
        <f>IFERROR(VLOOKUP($C42,'Proposed Rates'!$B:$J,F$11,FALSE),0)</f>
        <v>1.5E-3</v>
      </c>
      <c r="G42" s="419">
        <f t="shared" si="50"/>
        <v>775.35</v>
      </c>
      <c r="H42" s="400">
        <f t="shared" si="51"/>
        <v>1.163025</v>
      </c>
      <c r="I42" s="128"/>
      <c r="J42" s="414">
        <f>IFERROR(VLOOKUP($C42,'Proposed Rates'!$B:$J,J$11,FALSE),0)</f>
        <v>1.5E-3</v>
      </c>
      <c r="K42" s="419">
        <f t="shared" si="52"/>
        <v>774.9</v>
      </c>
      <c r="L42" s="400">
        <f t="shared" si="53"/>
        <v>1.16235</v>
      </c>
      <c r="M42" s="128"/>
      <c r="N42" s="401">
        <f t="shared" si="5"/>
        <v>-6.7499999999998117E-4</v>
      </c>
      <c r="O42" s="402">
        <f t="shared" si="6"/>
        <v>-5.8038305281484166E-4</v>
      </c>
      <c r="P42" s="52"/>
      <c r="Q42" s="414">
        <f>IFERROR(VLOOKUP($C42,'Proposed Rates'!$B:$J,Q$11,FALSE),0)</f>
        <v>1.5E-3</v>
      </c>
      <c r="R42" s="419">
        <f t="shared" si="54"/>
        <v>774.9</v>
      </c>
      <c r="S42" s="400">
        <f t="shared" si="55"/>
        <v>1.16235</v>
      </c>
      <c r="T42" s="128"/>
      <c r="U42" s="401">
        <f t="shared" si="9"/>
        <v>0</v>
      </c>
      <c r="V42" s="402">
        <f t="shared" si="10"/>
        <v>0</v>
      </c>
      <c r="W42" s="52"/>
      <c r="X42" s="414">
        <f>IFERROR(VLOOKUP($C42,'Proposed Rates'!$B:$J,X$11,FALSE),0)</f>
        <v>1.5E-3</v>
      </c>
      <c r="Y42" s="419">
        <f t="shared" si="56"/>
        <v>774.9</v>
      </c>
      <c r="Z42" s="400">
        <f t="shared" si="57"/>
        <v>1.16235</v>
      </c>
      <c r="AA42" s="128"/>
      <c r="AB42" s="401">
        <f t="shared" si="13"/>
        <v>0</v>
      </c>
      <c r="AC42" s="402">
        <f t="shared" si="14"/>
        <v>0</v>
      </c>
      <c r="AD42" s="52"/>
      <c r="AE42" s="414">
        <f>IFERROR(VLOOKUP($C42,'Proposed Rates'!$B:$J,AE$11,FALSE),0)</f>
        <v>1.5E-3</v>
      </c>
      <c r="AF42" s="419">
        <f t="shared" si="58"/>
        <v>774.9</v>
      </c>
      <c r="AG42" s="400">
        <f t="shared" si="59"/>
        <v>1.16235</v>
      </c>
      <c r="AH42" s="128"/>
      <c r="AI42" s="401">
        <f t="shared" si="17"/>
        <v>0</v>
      </c>
      <c r="AJ42" s="402">
        <f t="shared" si="18"/>
        <v>0</v>
      </c>
      <c r="AK42" s="52"/>
      <c r="AL42" s="414">
        <f>IFERROR(VLOOKUP($C42,'Proposed Rates'!$B:$J,AL$11,FALSE),0)</f>
        <v>1.5E-3</v>
      </c>
      <c r="AM42" s="419">
        <f t="shared" si="60"/>
        <v>774.9</v>
      </c>
      <c r="AN42" s="400">
        <f t="shared" si="61"/>
        <v>1.16235</v>
      </c>
      <c r="AO42" s="128"/>
      <c r="AP42" s="401">
        <f t="shared" si="21"/>
        <v>0</v>
      </c>
      <c r="AQ42" s="402">
        <f t="shared" si="22"/>
        <v>0</v>
      </c>
      <c r="AR42" s="403"/>
    </row>
    <row r="43" spans="1:44" ht="12" customHeight="1">
      <c r="A43" s="52"/>
      <c r="B43" s="320" t="s">
        <v>260</v>
      </c>
      <c r="C43" s="395" t="str">
        <f t="shared" si="49"/>
        <v>Residential.Standard Supply Service Charge</v>
      </c>
      <c r="D43" s="396" t="s">
        <v>306</v>
      </c>
      <c r="E43" s="320"/>
      <c r="F43" s="414">
        <f>IFERROR(VLOOKUP($C43,'Proposed Rates'!$B:$J,F$11,FALSE),0)</f>
        <v>0.25</v>
      </c>
      <c r="G43" s="415">
        <f>IF($D43="Monthly",1,IF($D43="per KWH",$F$10,0))</f>
        <v>1</v>
      </c>
      <c r="H43" s="400">
        <f t="shared" si="51"/>
        <v>0.25</v>
      </c>
      <c r="I43" s="128"/>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1"/>
        <v>1.63</v>
      </c>
      <c r="AO43" s="128"/>
      <c r="AP43" s="401">
        <f t="shared" si="21"/>
        <v>2.9999999999999805E-2</v>
      </c>
      <c r="AQ43" s="402">
        <f t="shared" si="22"/>
        <v>1.8749999999999878E-2</v>
      </c>
      <c r="AR43" s="403"/>
    </row>
    <row r="44" spans="1:44" ht="12" customHeight="1">
      <c r="A44" s="52"/>
      <c r="B44" s="320" t="s">
        <v>262</v>
      </c>
      <c r="C44" s="395" t="str">
        <f t="shared" si="49"/>
        <v>Residential.TOU - Off Peak</v>
      </c>
      <c r="D44" s="396" t="s">
        <v>308</v>
      </c>
      <c r="E44" s="320"/>
      <c r="F44" s="430">
        <f>VLOOKUP($B44,'Proposed Rates'!$D$248:$J$254,+F$11-2,FALSE)</f>
        <v>9.8000000000000004E-2</v>
      </c>
      <c r="G44" s="421">
        <f>$F$10*'Proposed Rates'!$K$249</f>
        <v>480</v>
      </c>
      <c r="H44" s="400">
        <f t="shared" si="51"/>
        <v>47.04</v>
      </c>
      <c r="I44" s="128"/>
      <c r="J44" s="430">
        <f>VLOOKUP($B44,'Proposed Rates'!$D$248:$J$254,+J$11-2,FALSE)</f>
        <v>9.8000000000000004E-2</v>
      </c>
      <c r="K44" s="421">
        <f>$F$10*'Proposed Rates'!$K$249</f>
        <v>480</v>
      </c>
      <c r="L44" s="400">
        <f t="shared" si="53"/>
        <v>47.04</v>
      </c>
      <c r="M44" s="128"/>
      <c r="N44" s="401">
        <f t="shared" si="5"/>
        <v>0</v>
      </c>
      <c r="O44" s="402">
        <f t="shared" si="6"/>
        <v>0</v>
      </c>
      <c r="P44" s="52"/>
      <c r="Q44" s="430">
        <f>VLOOKUP($B44,'Proposed Rates'!$D$248:$J$254,+Q$11-2,FALSE)</f>
        <v>9.8000000000000004E-2</v>
      </c>
      <c r="R44" s="421">
        <f>$F$10*'Proposed Rates'!$K$249</f>
        <v>480</v>
      </c>
      <c r="S44" s="400">
        <f t="shared" si="55"/>
        <v>47.04</v>
      </c>
      <c r="T44" s="128"/>
      <c r="U44" s="401">
        <f t="shared" si="9"/>
        <v>0</v>
      </c>
      <c r="V44" s="402">
        <f t="shared" si="10"/>
        <v>0</v>
      </c>
      <c r="W44" s="52"/>
      <c r="X44" s="430">
        <f>VLOOKUP($B44,'Proposed Rates'!$D$248:$J$254,+X$11-2,FALSE)</f>
        <v>9.8000000000000004E-2</v>
      </c>
      <c r="Y44" s="421">
        <f>$F$10*'Proposed Rates'!$K$249</f>
        <v>480</v>
      </c>
      <c r="Z44" s="400">
        <f t="shared" si="57"/>
        <v>47.04</v>
      </c>
      <c r="AA44" s="128"/>
      <c r="AB44" s="401">
        <f t="shared" si="13"/>
        <v>0</v>
      </c>
      <c r="AC44" s="402">
        <f t="shared" si="14"/>
        <v>0</v>
      </c>
      <c r="AD44" s="52"/>
      <c r="AE44" s="430">
        <f>VLOOKUP($B44,'Proposed Rates'!$D$248:$J$254,+AE$11-2,FALSE)</f>
        <v>9.8000000000000004E-2</v>
      </c>
      <c r="AF44" s="421">
        <f>$F$10*'Proposed Rates'!$K$249</f>
        <v>480</v>
      </c>
      <c r="AG44" s="400">
        <f t="shared" si="59"/>
        <v>47.04</v>
      </c>
      <c r="AH44" s="128"/>
      <c r="AI44" s="401">
        <f t="shared" si="17"/>
        <v>0</v>
      </c>
      <c r="AJ44" s="402">
        <f t="shared" si="18"/>
        <v>0</v>
      </c>
      <c r="AK44" s="52"/>
      <c r="AL44" s="430">
        <f>VLOOKUP($B44,'Proposed Rates'!$D$248:$J$254,+AL$11-2,FALSE)</f>
        <v>9.8000000000000004E-2</v>
      </c>
      <c r="AM44" s="421">
        <f>$F$10*'Proposed Rates'!$K$249</f>
        <v>480</v>
      </c>
      <c r="AN44" s="400">
        <f t="shared" si="61"/>
        <v>47.04</v>
      </c>
      <c r="AO44" s="128"/>
      <c r="AP44" s="401">
        <f t="shared" si="21"/>
        <v>0</v>
      </c>
      <c r="AQ44" s="402">
        <f t="shared" si="22"/>
        <v>0</v>
      </c>
      <c r="AR44" s="403"/>
    </row>
    <row r="45" spans="1:44" ht="12" customHeight="1">
      <c r="A45" s="52"/>
      <c r="B45" s="320" t="s">
        <v>263</v>
      </c>
      <c r="C45" s="395" t="str">
        <f t="shared" si="49"/>
        <v>Residential.TOU - Mid Peak</v>
      </c>
      <c r="D45" s="396" t="s">
        <v>308</v>
      </c>
      <c r="E45" s="320"/>
      <c r="F45" s="430">
        <f>VLOOKUP($B45,'Proposed Rates'!$D$248:$J$254,+F$11-2,FALSE)</f>
        <v>0.157</v>
      </c>
      <c r="G45" s="421">
        <f>$F$10*'Proposed Rates'!$K$250</f>
        <v>135</v>
      </c>
      <c r="H45" s="400">
        <f t="shared" si="51"/>
        <v>21.195</v>
      </c>
      <c r="I45" s="128"/>
      <c r="J45" s="430">
        <f>VLOOKUP($B45,'Proposed Rates'!$D$248:$J$254,+J$11-2,FALSE)</f>
        <v>0.157</v>
      </c>
      <c r="K45" s="421">
        <f>$F$10*'Proposed Rates'!$K$250</f>
        <v>135</v>
      </c>
      <c r="L45" s="400">
        <f t="shared" si="53"/>
        <v>21.195</v>
      </c>
      <c r="M45" s="128"/>
      <c r="N45" s="401">
        <f t="shared" si="5"/>
        <v>0</v>
      </c>
      <c r="O45" s="402">
        <f t="shared" si="6"/>
        <v>0</v>
      </c>
      <c r="P45" s="52"/>
      <c r="Q45" s="430">
        <f>VLOOKUP($B45,'Proposed Rates'!$D$248:$J$254,+Q$11-2,FALSE)</f>
        <v>0.157</v>
      </c>
      <c r="R45" s="421">
        <f>$F$10*'Proposed Rates'!$K$250</f>
        <v>135</v>
      </c>
      <c r="S45" s="400">
        <f t="shared" si="55"/>
        <v>21.195</v>
      </c>
      <c r="T45" s="128"/>
      <c r="U45" s="401">
        <f t="shared" si="9"/>
        <v>0</v>
      </c>
      <c r="V45" s="402">
        <f t="shared" si="10"/>
        <v>0</v>
      </c>
      <c r="W45" s="52"/>
      <c r="X45" s="430">
        <f>VLOOKUP($B45,'Proposed Rates'!$D$248:$J$254,+X$11-2,FALSE)</f>
        <v>0.157</v>
      </c>
      <c r="Y45" s="421">
        <f>$F$10*'Proposed Rates'!$K$250</f>
        <v>135</v>
      </c>
      <c r="Z45" s="400">
        <f t="shared" si="57"/>
        <v>21.195</v>
      </c>
      <c r="AA45" s="128"/>
      <c r="AB45" s="401">
        <f t="shared" si="13"/>
        <v>0</v>
      </c>
      <c r="AC45" s="402">
        <f t="shared" si="14"/>
        <v>0</v>
      </c>
      <c r="AD45" s="52"/>
      <c r="AE45" s="430">
        <f>VLOOKUP($B45,'Proposed Rates'!$D$248:$J$254,+AE$11-2,FALSE)</f>
        <v>0.157</v>
      </c>
      <c r="AF45" s="421">
        <f>$F$10*'Proposed Rates'!$K$250</f>
        <v>135</v>
      </c>
      <c r="AG45" s="400">
        <f t="shared" si="59"/>
        <v>21.195</v>
      </c>
      <c r="AH45" s="128"/>
      <c r="AI45" s="401">
        <f t="shared" si="17"/>
        <v>0</v>
      </c>
      <c r="AJ45" s="402">
        <f t="shared" si="18"/>
        <v>0</v>
      </c>
      <c r="AK45" s="52"/>
      <c r="AL45" s="430">
        <f>VLOOKUP($B45,'Proposed Rates'!$D$248:$J$254,+AL$11-2,FALSE)</f>
        <v>0.157</v>
      </c>
      <c r="AM45" s="421">
        <f>$F$10*'Proposed Rates'!$K$250</f>
        <v>135</v>
      </c>
      <c r="AN45" s="400">
        <f t="shared" si="61"/>
        <v>21.195</v>
      </c>
      <c r="AO45" s="128"/>
      <c r="AP45" s="401">
        <f t="shared" si="21"/>
        <v>0</v>
      </c>
      <c r="AQ45" s="402">
        <f t="shared" si="22"/>
        <v>0</v>
      </c>
      <c r="AR45" s="403"/>
    </row>
    <row r="46" spans="1:44" ht="12" customHeight="1">
      <c r="A46" s="52"/>
      <c r="B46" s="52" t="s">
        <v>264</v>
      </c>
      <c r="C46" s="395" t="str">
        <f t="shared" si="49"/>
        <v>Residential.TOU - On Peak</v>
      </c>
      <c r="D46" s="396" t="s">
        <v>308</v>
      </c>
      <c r="E46" s="320"/>
      <c r="F46" s="430">
        <f>VLOOKUP($B46,'Proposed Rates'!$D$248:$J$254,+F$11-2,FALSE)</f>
        <v>0.20300000000000001</v>
      </c>
      <c r="G46" s="421">
        <f>$F$10*'Proposed Rates'!$K$251</f>
        <v>135</v>
      </c>
      <c r="H46" s="400">
        <f t="shared" si="51"/>
        <v>27.405000000000001</v>
      </c>
      <c r="I46" s="128"/>
      <c r="J46" s="430">
        <f>VLOOKUP($B46,'Proposed Rates'!$D$248:$J$254,+J$11-2,FALSE)</f>
        <v>0.20300000000000001</v>
      </c>
      <c r="K46" s="421">
        <f>$F$10*'Proposed Rates'!$K$251</f>
        <v>135</v>
      </c>
      <c r="L46" s="400">
        <f t="shared" si="53"/>
        <v>27.405000000000001</v>
      </c>
      <c r="M46" s="128"/>
      <c r="N46" s="401">
        <f t="shared" si="5"/>
        <v>0</v>
      </c>
      <c r="O46" s="402">
        <f t="shared" si="6"/>
        <v>0</v>
      </c>
      <c r="P46" s="52"/>
      <c r="Q46" s="430">
        <f>VLOOKUP($B46,'Proposed Rates'!$D$248:$J$254,+Q$11-2,FALSE)</f>
        <v>0.20300000000000001</v>
      </c>
      <c r="R46" s="421">
        <f>$F$10*'Proposed Rates'!$K$251</f>
        <v>135</v>
      </c>
      <c r="S46" s="400">
        <f t="shared" si="55"/>
        <v>27.405000000000001</v>
      </c>
      <c r="T46" s="128"/>
      <c r="U46" s="401">
        <f t="shared" si="9"/>
        <v>0</v>
      </c>
      <c r="V46" s="402">
        <f t="shared" si="10"/>
        <v>0</v>
      </c>
      <c r="W46" s="52"/>
      <c r="X46" s="430">
        <f>VLOOKUP($B46,'Proposed Rates'!$D$248:$J$254,+X$11-2,FALSE)</f>
        <v>0.20300000000000001</v>
      </c>
      <c r="Y46" s="421">
        <f>$F$10*'Proposed Rates'!$K$251</f>
        <v>135</v>
      </c>
      <c r="Z46" s="400">
        <f t="shared" si="57"/>
        <v>27.405000000000001</v>
      </c>
      <c r="AA46" s="128"/>
      <c r="AB46" s="401">
        <f t="shared" si="13"/>
        <v>0</v>
      </c>
      <c r="AC46" s="402">
        <f t="shared" si="14"/>
        <v>0</v>
      </c>
      <c r="AD46" s="52"/>
      <c r="AE46" s="430">
        <f>VLOOKUP($B46,'Proposed Rates'!$D$248:$J$254,+AE$11-2,FALSE)</f>
        <v>0.20300000000000001</v>
      </c>
      <c r="AF46" s="421">
        <f>$F$10*'Proposed Rates'!$K$251</f>
        <v>135</v>
      </c>
      <c r="AG46" s="400">
        <f t="shared" si="59"/>
        <v>27.405000000000001</v>
      </c>
      <c r="AH46" s="128"/>
      <c r="AI46" s="401">
        <f t="shared" si="17"/>
        <v>0</v>
      </c>
      <c r="AJ46" s="402">
        <f t="shared" si="18"/>
        <v>0</v>
      </c>
      <c r="AK46" s="52"/>
      <c r="AL46" s="430">
        <f>VLOOKUP($B46,'Proposed Rates'!$D$248:$J$254,+AL$11-2,FALSE)</f>
        <v>0.20300000000000001</v>
      </c>
      <c r="AM46" s="421">
        <f>$F$10*'Proposed Rates'!$K$251</f>
        <v>135</v>
      </c>
      <c r="AN46" s="400">
        <f t="shared" si="61"/>
        <v>27.405000000000001</v>
      </c>
      <c r="AO46" s="128"/>
      <c r="AP46" s="401">
        <f t="shared" si="21"/>
        <v>0</v>
      </c>
      <c r="AQ46" s="402">
        <f t="shared" si="22"/>
        <v>0</v>
      </c>
      <c r="AR46" s="403"/>
    </row>
    <row r="47" spans="1:44" ht="12" customHeight="1">
      <c r="A47" s="52"/>
      <c r="B47" s="320" t="s">
        <v>265</v>
      </c>
      <c r="C47" s="395" t="str">
        <f t="shared" si="49"/>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1"/>
        <v>72</v>
      </c>
      <c r="I47" s="128"/>
      <c r="J47" s="430">
        <f>VLOOKUP($B47,'Proposed Rates'!$D$248:$J$254,+J$11-2,FALSE)</f>
        <v>0.12</v>
      </c>
      <c r="K47" s="431">
        <f>IF(AND($S$2=1, $F$10&gt;=600), 600, IF(AND($S$2=1, AND($F$10&lt;600, $F$10&gt;=0)), $F$10, IF(AND($S$2=2, $F$10&gt;=1000), 1000, IF(AND($S$2=2, AND($F$10&lt;1000, $F$10&gt;=0)), $F$10))))</f>
        <v>600</v>
      </c>
      <c r="L47" s="400">
        <f t="shared" si="53"/>
        <v>72</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600</v>
      </c>
      <c r="S47" s="400">
        <f t="shared" si="55"/>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7"/>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59"/>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1"/>
        <v>72</v>
      </c>
      <c r="AO47" s="128"/>
      <c r="AP47" s="401">
        <f t="shared" si="21"/>
        <v>0</v>
      </c>
      <c r="AQ47" s="402">
        <f t="shared" si="22"/>
        <v>0</v>
      </c>
      <c r="AR47" s="403"/>
    </row>
    <row r="48" spans="1:44" ht="12" customHeight="1">
      <c r="A48" s="52"/>
      <c r="B48" s="320" t="s">
        <v>266</v>
      </c>
      <c r="C48" s="395" t="str">
        <f t="shared" si="49"/>
        <v>Residential.Energy - RPP - Tier 2</v>
      </c>
      <c r="D48" s="396" t="s">
        <v>308</v>
      </c>
      <c r="E48" s="320"/>
      <c r="F48" s="430">
        <f>VLOOKUP($B48,'Proposed Rates'!$D$248:$J$254,+F$11-2,FALSE)</f>
        <v>0.14199999999999999</v>
      </c>
      <c r="G48" s="433">
        <f>IF(AND($S$2=1, $F$10&gt;=600), $F$10-600, IF(AND($S$2=1, AND($F$10&lt;600, $F$10&gt;=0)), 0, IF(AND($S$2=2, $F$10&gt;=1000), $F$10-1000, IF(AND($S$2=2, AND($F$10&lt;1000, $F$10&gt;=0)), 0))))</f>
        <v>150</v>
      </c>
      <c r="H48" s="400">
        <f t="shared" si="51"/>
        <v>21.299999999999997</v>
      </c>
      <c r="I48" s="128"/>
      <c r="J48" s="430">
        <f>VLOOKUP($B48,'Proposed Rates'!$D$248:$J$254,+J$11-2,FALSE)</f>
        <v>0.14199999999999999</v>
      </c>
      <c r="K48" s="433">
        <f>IF(AND($S$2=1, $F$10&gt;=600), $F$10-600, IF(AND($S$2=1, AND($F$10&lt;600, $F$10&gt;=0)), 0, IF(AND($S$2=2, $F$10&gt;=1000), $F$10-1000, IF(AND($S$2=2, AND($F$10&lt;1000, $F$10&gt;=0)), 0))))</f>
        <v>150</v>
      </c>
      <c r="L48" s="400">
        <f t="shared" si="53"/>
        <v>21.299999999999997</v>
      </c>
      <c r="M48" s="128"/>
      <c r="N48" s="401">
        <f t="shared" si="5"/>
        <v>0</v>
      </c>
      <c r="O48" s="402">
        <f t="shared" si="6"/>
        <v>0</v>
      </c>
      <c r="P48" s="52"/>
      <c r="Q48" s="430">
        <f>VLOOKUP($B48,'Proposed Rates'!$D$248:$J$254,+Q$11-2,FALSE)</f>
        <v>0.14199999999999999</v>
      </c>
      <c r="R48" s="433">
        <f>IF(AND($S$2=1, $F$10&gt;=600), $F$10-600, IF(AND($S$2=1, AND($F$10&lt;600, $F$10&gt;=0)), 0, IF(AND($S$2=2, $F$10&gt;=1000), $F$10-1000, IF(AND($S$2=2, AND($F$10&lt;1000, $F$10&gt;=0)), 0))))</f>
        <v>150</v>
      </c>
      <c r="S48" s="400">
        <f t="shared" si="55"/>
        <v>21.299999999999997</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150</v>
      </c>
      <c r="Z48" s="400">
        <f t="shared" si="57"/>
        <v>21.299999999999997</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150</v>
      </c>
      <c r="AG48" s="400">
        <f t="shared" si="59"/>
        <v>21.299999999999997</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150</v>
      </c>
      <c r="AN48" s="400">
        <f t="shared" si="61"/>
        <v>21.299999999999997</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154.09542950000002</v>
      </c>
      <c r="I50" s="482"/>
      <c r="J50" s="445"/>
      <c r="K50" s="446"/>
      <c r="L50" s="447">
        <f>SUM(L41:L46,L40)</f>
        <v>162.52673099999998</v>
      </c>
      <c r="M50" s="449"/>
      <c r="N50" s="448">
        <f t="shared" ref="N50:N54" si="62">L50-H50</f>
        <v>8.4313014999999609</v>
      </c>
      <c r="O50" s="450">
        <f t="shared" ref="O50:O54" si="63">IF((H50)=0,"",(N50/H50))</f>
        <v>5.4714805801556625E-2</v>
      </c>
      <c r="P50" s="52"/>
      <c r="Q50" s="446"/>
      <c r="R50" s="446"/>
      <c r="S50" s="448">
        <f>SUM(S41:S46,S40)</f>
        <v>166.34673099999998</v>
      </c>
      <c r="T50" s="449"/>
      <c r="U50" s="448">
        <f t="shared" ref="U50:U54" si="64">S50-L50</f>
        <v>3.8199999999999932</v>
      </c>
      <c r="V50" s="450">
        <f t="shared" ref="V50:V54" si="65">IF((L50)=0,"",(U50/L50))</f>
        <v>2.3503825964480845E-2</v>
      </c>
      <c r="W50" s="52"/>
      <c r="X50" s="446"/>
      <c r="Y50" s="446"/>
      <c r="Z50" s="448">
        <f>SUM(Z41:Z46,Z40)</f>
        <v>170.33447999999999</v>
      </c>
      <c r="AA50" s="449"/>
      <c r="AB50" s="448">
        <f t="shared" ref="AB50:AB54" si="66">Z50-S50</f>
        <v>3.987749000000008</v>
      </c>
      <c r="AC50" s="450">
        <f t="shared" ref="AC50:AC54" si="67">IF((S50)=0,"",(AB50/S50))</f>
        <v>2.3972511969592047E-2</v>
      </c>
      <c r="AD50" s="52"/>
      <c r="AE50" s="446"/>
      <c r="AF50" s="446"/>
      <c r="AG50" s="448">
        <f>SUM(AG41:AG46,AG40)</f>
        <v>173.45447999999999</v>
      </c>
      <c r="AH50" s="449"/>
      <c r="AI50" s="448">
        <f t="shared" ref="AI50:AI54" si="68">AG50-Z50</f>
        <v>3.1200000000000045</v>
      </c>
      <c r="AJ50" s="450">
        <f t="shared" ref="AJ50:AJ54" si="69">IF((Z50)=0,"",(AI50/Z50))</f>
        <v>1.8316902132791933E-2</v>
      </c>
      <c r="AK50" s="52"/>
      <c r="AL50" s="446"/>
      <c r="AM50" s="446"/>
      <c r="AN50" s="448">
        <f>SUM(AN41:AN46,AN40)</f>
        <v>176.41447999999997</v>
      </c>
      <c r="AO50" s="449"/>
      <c r="AP50" s="448">
        <f t="shared" ref="AP50:AP54" si="70">AN50-AG50</f>
        <v>2.9599999999999795</v>
      </c>
      <c r="AQ50" s="450">
        <f t="shared" ref="AQ50:AQ54" si="71">IF((AG50)=0,"",(AP50/AG50))</f>
        <v>1.7064995957440706E-2</v>
      </c>
      <c r="AR50" s="451"/>
    </row>
    <row r="51" spans="1:44" ht="12" customHeight="1">
      <c r="A51" s="52"/>
      <c r="B51" s="452" t="s">
        <v>316</v>
      </c>
      <c r="C51" s="320"/>
      <c r="D51" s="320"/>
      <c r="E51" s="320"/>
      <c r="F51" s="445">
        <v>0.13</v>
      </c>
      <c r="G51" s="128"/>
      <c r="H51" s="490">
        <f>H50*F51</f>
        <v>20.032405835000002</v>
      </c>
      <c r="I51" s="417"/>
      <c r="J51" s="445">
        <v>0.13</v>
      </c>
      <c r="K51" s="417"/>
      <c r="L51" s="400">
        <f>L50*J51</f>
        <v>21.128475029999997</v>
      </c>
      <c r="M51" s="128"/>
      <c r="N51" s="401">
        <f t="shared" si="62"/>
        <v>1.0960691949999948</v>
      </c>
      <c r="O51" s="402">
        <f t="shared" si="63"/>
        <v>5.4714805801556618E-2</v>
      </c>
      <c r="P51" s="52"/>
      <c r="Q51" s="453">
        <v>0.13</v>
      </c>
      <c r="R51" s="417"/>
      <c r="S51" s="400">
        <f>S50*Q51</f>
        <v>21.625075029999998</v>
      </c>
      <c r="T51" s="128"/>
      <c r="U51" s="401">
        <f t="shared" si="64"/>
        <v>0.49660000000000082</v>
      </c>
      <c r="V51" s="402">
        <f t="shared" si="65"/>
        <v>2.3503825964480925E-2</v>
      </c>
      <c r="W51" s="52"/>
      <c r="X51" s="453">
        <v>0.13</v>
      </c>
      <c r="Y51" s="417"/>
      <c r="Z51" s="400">
        <f>Z50*X51</f>
        <v>22.1434824</v>
      </c>
      <c r="AA51" s="128"/>
      <c r="AB51" s="401">
        <f t="shared" si="66"/>
        <v>0.51840737000000203</v>
      </c>
      <c r="AC51" s="402">
        <f t="shared" si="67"/>
        <v>2.3972511969592093E-2</v>
      </c>
      <c r="AD51" s="52"/>
      <c r="AE51" s="453">
        <v>0.13</v>
      </c>
      <c r="AF51" s="417"/>
      <c r="AG51" s="400">
        <f>AG50*AE51</f>
        <v>22.5490824</v>
      </c>
      <c r="AH51" s="128"/>
      <c r="AI51" s="401">
        <f t="shared" si="68"/>
        <v>0.40559999999999974</v>
      </c>
      <c r="AJ51" s="402">
        <f t="shared" si="69"/>
        <v>1.8316902132791892E-2</v>
      </c>
      <c r="AK51" s="52"/>
      <c r="AL51" s="453">
        <v>0.13</v>
      </c>
      <c r="AM51" s="417"/>
      <c r="AN51" s="400">
        <f>AN50*AL51</f>
        <v>22.933882399999998</v>
      </c>
      <c r="AO51" s="128"/>
      <c r="AP51" s="401">
        <f t="shared" si="70"/>
        <v>0.38479999999999848</v>
      </c>
      <c r="AQ51" s="402">
        <f t="shared" si="71"/>
        <v>1.7064995957440755E-2</v>
      </c>
      <c r="AR51" s="403"/>
    </row>
    <row r="52" spans="1:44" ht="12" customHeight="1">
      <c r="A52" s="52"/>
      <c r="B52" s="454" t="s">
        <v>351</v>
      </c>
      <c r="C52" s="320"/>
      <c r="D52" s="320"/>
      <c r="E52" s="320"/>
      <c r="F52" s="455"/>
      <c r="G52" s="128"/>
      <c r="H52" s="490">
        <f>H50+H51</f>
        <v>174.12783533500001</v>
      </c>
      <c r="I52" s="417"/>
      <c r="J52" s="455"/>
      <c r="K52" s="417"/>
      <c r="L52" s="400">
        <f>L50+L51</f>
        <v>183.65520602999999</v>
      </c>
      <c r="M52" s="128"/>
      <c r="N52" s="401">
        <f t="shared" si="62"/>
        <v>9.5273706949999735</v>
      </c>
      <c r="O52" s="402">
        <f t="shared" si="63"/>
        <v>5.4714805801556729E-2</v>
      </c>
      <c r="P52" s="52"/>
      <c r="Q52" s="417"/>
      <c r="R52" s="417"/>
      <c r="S52" s="400">
        <f>S50+S51</f>
        <v>187.97180602999998</v>
      </c>
      <c r="T52" s="128"/>
      <c r="U52" s="401">
        <f t="shared" si="64"/>
        <v>4.316599999999994</v>
      </c>
      <c r="V52" s="402">
        <f t="shared" si="65"/>
        <v>2.3503825964480852E-2</v>
      </c>
      <c r="W52" s="52"/>
      <c r="X52" s="417"/>
      <c r="Y52" s="417"/>
      <c r="Z52" s="400">
        <f>Z50+Z51</f>
        <v>192.4779624</v>
      </c>
      <c r="AA52" s="128"/>
      <c r="AB52" s="401">
        <f t="shared" si="66"/>
        <v>4.5061563700000136</v>
      </c>
      <c r="AC52" s="402">
        <f t="shared" si="67"/>
        <v>2.3972511969592072E-2</v>
      </c>
      <c r="AD52" s="52"/>
      <c r="AE52" s="417"/>
      <c r="AF52" s="417"/>
      <c r="AG52" s="400">
        <f>AG50+AG51</f>
        <v>196.00356239999999</v>
      </c>
      <c r="AH52" s="128"/>
      <c r="AI52" s="401">
        <f t="shared" si="68"/>
        <v>3.5255999999999972</v>
      </c>
      <c r="AJ52" s="402">
        <f t="shared" si="69"/>
        <v>1.8316902132791892E-2</v>
      </c>
      <c r="AK52" s="52"/>
      <c r="AL52" s="417"/>
      <c r="AM52" s="417"/>
      <c r="AN52" s="400">
        <f>AN50+AN51</f>
        <v>199.34836239999996</v>
      </c>
      <c r="AO52" s="128"/>
      <c r="AP52" s="401">
        <f t="shared" si="70"/>
        <v>3.3447999999999638</v>
      </c>
      <c r="AQ52" s="402">
        <f t="shared" si="71"/>
        <v>1.706499595744064E-2</v>
      </c>
      <c r="AR52" s="403"/>
    </row>
    <row r="53" spans="1:44" ht="12" customHeight="1">
      <c r="A53" s="52"/>
      <c r="B53" s="628" t="s">
        <v>273</v>
      </c>
      <c r="C53" s="615"/>
      <c r="D53" s="615"/>
      <c r="E53" s="320"/>
      <c r="F53" s="456">
        <f>'Proposed Rates'!E286</f>
        <v>0.23499999999999999</v>
      </c>
      <c r="G53" s="128"/>
      <c r="H53" s="492">
        <f>F53*H50</f>
        <v>36.212425932500004</v>
      </c>
      <c r="I53" s="417"/>
      <c r="J53" s="456">
        <f>'Proposed Rates'!F286</f>
        <v>0.23499999999999999</v>
      </c>
      <c r="K53" s="417"/>
      <c r="L53" s="457">
        <f>J53*L50</f>
        <v>38.193781784999992</v>
      </c>
      <c r="M53" s="128"/>
      <c r="N53" s="457">
        <f t="shared" si="62"/>
        <v>1.9813558524999877</v>
      </c>
      <c r="O53" s="459">
        <f t="shared" si="63"/>
        <v>5.4714805801556542E-2</v>
      </c>
      <c r="P53" s="52"/>
      <c r="Q53" s="458">
        <f>'Proposed Rates'!G286</f>
        <v>0.23499999999999999</v>
      </c>
      <c r="R53" s="417"/>
      <c r="S53" s="457">
        <f>Q53*S50</f>
        <v>39.091481784999992</v>
      </c>
      <c r="T53" s="128"/>
      <c r="U53" s="457">
        <f t="shared" si="64"/>
        <v>0.89770000000000039</v>
      </c>
      <c r="V53" s="459">
        <f t="shared" si="65"/>
        <v>2.3503825964480897E-2</v>
      </c>
      <c r="W53" s="52"/>
      <c r="X53" s="458">
        <f>'Proposed Rates'!H286</f>
        <v>0.23499999999999999</v>
      </c>
      <c r="Y53" s="417"/>
      <c r="Z53" s="457">
        <f>X53*Z50</f>
        <v>40.028602799999994</v>
      </c>
      <c r="AA53" s="128"/>
      <c r="AB53" s="457">
        <f t="shared" si="66"/>
        <v>0.93712101500000244</v>
      </c>
      <c r="AC53" s="459">
        <f t="shared" si="67"/>
        <v>2.3972511969592065E-2</v>
      </c>
      <c r="AD53" s="52"/>
      <c r="AE53" s="458">
        <f>'Proposed Rates'!I286</f>
        <v>0.23499999999999999</v>
      </c>
      <c r="AF53" s="417"/>
      <c r="AG53" s="457">
        <f>AE53*AG50</f>
        <v>40.761802799999998</v>
      </c>
      <c r="AH53" s="128"/>
      <c r="AI53" s="457">
        <f t="shared" si="68"/>
        <v>0.73320000000000363</v>
      </c>
      <c r="AJ53" s="459">
        <f t="shared" si="69"/>
        <v>1.8316902132791999E-2</v>
      </c>
      <c r="AK53" s="52"/>
      <c r="AL53" s="458">
        <f>'Proposed Rates'!J286</f>
        <v>0.23499999999999999</v>
      </c>
      <c r="AM53" s="417"/>
      <c r="AN53" s="457">
        <f>AL53*AN50</f>
        <v>41.45740279999999</v>
      </c>
      <c r="AO53" s="128"/>
      <c r="AP53" s="457">
        <f t="shared" si="70"/>
        <v>0.69559999999999178</v>
      </c>
      <c r="AQ53" s="459">
        <f t="shared" si="71"/>
        <v>1.7064995957440623E-2</v>
      </c>
      <c r="AR53" s="460"/>
    </row>
    <row r="54" spans="1:44" ht="12" customHeight="1">
      <c r="A54" s="52"/>
      <c r="B54" s="627" t="s">
        <v>318</v>
      </c>
      <c r="C54" s="613"/>
      <c r="D54" s="613"/>
      <c r="E54" s="461"/>
      <c r="F54" s="462"/>
      <c r="G54" s="493"/>
      <c r="H54" s="494">
        <f>H52-H53</f>
        <v>137.91540940250002</v>
      </c>
      <c r="I54" s="463"/>
      <c r="J54" s="462"/>
      <c r="K54" s="463"/>
      <c r="L54" s="464">
        <f>L52-L53</f>
        <v>145.46142424499999</v>
      </c>
      <c r="M54" s="465"/>
      <c r="N54" s="466">
        <f t="shared" si="62"/>
        <v>7.5460148424999716</v>
      </c>
      <c r="O54" s="467">
        <f t="shared" si="63"/>
        <v>5.4714805801556674E-2</v>
      </c>
      <c r="P54" s="52"/>
      <c r="Q54" s="463"/>
      <c r="R54" s="463"/>
      <c r="S54" s="464">
        <f>S52-S53</f>
        <v>148.880324245</v>
      </c>
      <c r="T54" s="465"/>
      <c r="U54" s="466">
        <f t="shared" si="64"/>
        <v>3.4189000000000078</v>
      </c>
      <c r="V54" s="467">
        <f t="shared" si="65"/>
        <v>2.3503825964480939E-2</v>
      </c>
      <c r="W54" s="52"/>
      <c r="X54" s="463"/>
      <c r="Y54" s="463"/>
      <c r="Z54" s="464">
        <f>Z52-Z53</f>
        <v>152.44935960000001</v>
      </c>
      <c r="AA54" s="465"/>
      <c r="AB54" s="466">
        <f t="shared" si="66"/>
        <v>3.5690353550000111</v>
      </c>
      <c r="AC54" s="467">
        <f t="shared" si="67"/>
        <v>2.3972511969592072E-2</v>
      </c>
      <c r="AD54" s="52"/>
      <c r="AE54" s="463"/>
      <c r="AF54" s="463"/>
      <c r="AG54" s="464">
        <f>AG52-AG53</f>
        <v>155.24175959999999</v>
      </c>
      <c r="AH54" s="465"/>
      <c r="AI54" s="466">
        <f t="shared" si="68"/>
        <v>2.7923999999999864</v>
      </c>
      <c r="AJ54" s="467">
        <f t="shared" si="69"/>
        <v>1.8316902132791815E-2</v>
      </c>
      <c r="AK54" s="52"/>
      <c r="AL54" s="463"/>
      <c r="AM54" s="463"/>
      <c r="AN54" s="464">
        <f>AN52-AN53</f>
        <v>157.89095959999997</v>
      </c>
      <c r="AO54" s="465"/>
      <c r="AP54" s="466">
        <f t="shared" si="70"/>
        <v>2.6491999999999791</v>
      </c>
      <c r="AQ54" s="467">
        <f t="shared" si="71"/>
        <v>1.7064995957440689E-2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151.75542949999999</v>
      </c>
      <c r="I56" s="482"/>
      <c r="J56" s="445"/>
      <c r="K56" s="446"/>
      <c r="L56" s="447">
        <f>SUM(L47:L48,L40,L41:L43)</f>
        <v>160.18673100000001</v>
      </c>
      <c r="M56" s="449"/>
      <c r="N56" s="448">
        <f t="shared" ref="N56:N60" si="72">L56-H56</f>
        <v>8.4313015000000178</v>
      </c>
      <c r="O56" s="450">
        <f t="shared" ref="O56:O60" si="73">IF((H56)=0,"",(N56/H56))</f>
        <v>5.5558483329257211E-2</v>
      </c>
      <c r="P56" s="52"/>
      <c r="Q56" s="446"/>
      <c r="R56" s="446"/>
      <c r="S56" s="448">
        <f>SUM(S47:S48,S40,S41:S43)</f>
        <v>164.006731</v>
      </c>
      <c r="T56" s="449"/>
      <c r="U56" s="448">
        <f t="shared" ref="U56:U60" si="74">S56-L56</f>
        <v>3.8199999999999932</v>
      </c>
      <c r="V56" s="450">
        <f t="shared" ref="V56:V60" si="75">IF((L56)=0,"",(U56/L56))</f>
        <v>2.3847168714617149E-2</v>
      </c>
      <c r="W56" s="52"/>
      <c r="X56" s="446"/>
      <c r="Y56" s="446"/>
      <c r="Z56" s="448">
        <f>SUM(Z47:Z48,Z40,Z41:Z43)</f>
        <v>167.99448000000001</v>
      </c>
      <c r="AA56" s="449"/>
      <c r="AB56" s="448">
        <f t="shared" ref="AB56:AB60" si="76">Z56-S56</f>
        <v>3.987749000000008</v>
      </c>
      <c r="AC56" s="450">
        <f t="shared" ref="AC56:AC60" si="77">IF((S56)=0,"",(AB56/S56))</f>
        <v>2.4314544748776243E-2</v>
      </c>
      <c r="AD56" s="52"/>
      <c r="AE56" s="446"/>
      <c r="AF56" s="446"/>
      <c r="AG56" s="448">
        <f>SUM(AG47:AG48,AG40,AG41:AG43)</f>
        <v>171.11447999999999</v>
      </c>
      <c r="AH56" s="449"/>
      <c r="AI56" s="448">
        <f t="shared" ref="AI56:AI60" si="78">AG56-Z56</f>
        <v>3.1199999999999761</v>
      </c>
      <c r="AJ56" s="450">
        <f t="shared" ref="AJ56:AJ60" si="79">IF((Z56)=0,"",(AI56/Z56))</f>
        <v>1.8572038795560283E-2</v>
      </c>
      <c r="AK56" s="52"/>
      <c r="AL56" s="446"/>
      <c r="AM56" s="446"/>
      <c r="AN56" s="448">
        <f>SUM(AN47:AN48,AN40,AN41:AN43)</f>
        <v>174.07447999999999</v>
      </c>
      <c r="AO56" s="449"/>
      <c r="AP56" s="448">
        <f t="shared" ref="AP56:AP60" si="80">AN56-AG56</f>
        <v>2.960000000000008</v>
      </c>
      <c r="AQ56" s="450">
        <f t="shared" ref="AQ56:AQ60" si="81">IF((AG56)=0,"",(AP56/AG56))</f>
        <v>1.729836072318373E-2</v>
      </c>
      <c r="AR56" s="451"/>
    </row>
    <row r="57" spans="1:44" ht="12" customHeight="1">
      <c r="A57" s="52"/>
      <c r="B57" s="452" t="s">
        <v>316</v>
      </c>
      <c r="C57" s="320"/>
      <c r="D57" s="320"/>
      <c r="E57" s="320"/>
      <c r="F57" s="445">
        <v>0.13</v>
      </c>
      <c r="G57" s="489"/>
      <c r="H57" s="490">
        <f>H56*F57</f>
        <v>19.728205835000001</v>
      </c>
      <c r="I57" s="417"/>
      <c r="J57" s="445">
        <v>0.13</v>
      </c>
      <c r="K57" s="453"/>
      <c r="L57" s="400">
        <f>L56*J57</f>
        <v>20.824275030000003</v>
      </c>
      <c r="M57" s="128"/>
      <c r="N57" s="401">
        <f t="shared" si="72"/>
        <v>1.0960691950000019</v>
      </c>
      <c r="O57" s="402">
        <f t="shared" si="73"/>
        <v>5.5558483329257183E-2</v>
      </c>
      <c r="P57" s="52"/>
      <c r="Q57" s="445">
        <v>0.13</v>
      </c>
      <c r="R57" s="453"/>
      <c r="S57" s="400">
        <f>S56*Q57</f>
        <v>21.32087503</v>
      </c>
      <c r="T57" s="128"/>
      <c r="U57" s="401">
        <f t="shared" si="74"/>
        <v>0.49659999999999727</v>
      </c>
      <c r="V57" s="402">
        <f t="shared" si="75"/>
        <v>2.3847168714617058E-2</v>
      </c>
      <c r="W57" s="52"/>
      <c r="X57" s="445">
        <v>0.13</v>
      </c>
      <c r="Y57" s="453"/>
      <c r="Z57" s="400">
        <f>Z56*X57</f>
        <v>21.839282400000002</v>
      </c>
      <c r="AA57" s="128"/>
      <c r="AB57" s="401">
        <f t="shared" si="76"/>
        <v>0.51840737000000203</v>
      </c>
      <c r="AC57" s="402">
        <f t="shared" si="77"/>
        <v>2.4314544748776291E-2</v>
      </c>
      <c r="AD57" s="52"/>
      <c r="AE57" s="445">
        <v>0.13</v>
      </c>
      <c r="AF57" s="453"/>
      <c r="AG57" s="400">
        <f>AG56*AE57</f>
        <v>22.244882399999998</v>
      </c>
      <c r="AH57" s="128"/>
      <c r="AI57" s="401">
        <f t="shared" si="78"/>
        <v>0.40559999999999619</v>
      </c>
      <c r="AJ57" s="402">
        <f t="shared" si="79"/>
        <v>1.8572038795560249E-2</v>
      </c>
      <c r="AK57" s="52"/>
      <c r="AL57" s="445">
        <v>0.13</v>
      </c>
      <c r="AM57" s="453"/>
      <c r="AN57" s="400">
        <f>AN56*AL57</f>
        <v>22.6296824</v>
      </c>
      <c r="AO57" s="128"/>
      <c r="AP57" s="401">
        <f t="shared" si="80"/>
        <v>0.38480000000000203</v>
      </c>
      <c r="AQ57" s="402">
        <f t="shared" si="81"/>
        <v>1.7298360723183775E-2</v>
      </c>
      <c r="AR57" s="403"/>
    </row>
    <row r="58" spans="1:44" ht="12" customHeight="1">
      <c r="A58" s="52"/>
      <c r="B58" s="454" t="s">
        <v>352</v>
      </c>
      <c r="C58" s="320"/>
      <c r="D58" s="320"/>
      <c r="E58" s="320"/>
      <c r="F58" s="455"/>
      <c r="G58" s="128"/>
      <c r="H58" s="490">
        <f>H56+H57</f>
        <v>171.483635335</v>
      </c>
      <c r="I58" s="417"/>
      <c r="J58" s="455"/>
      <c r="K58" s="417"/>
      <c r="L58" s="400">
        <f>L56+L57</f>
        <v>181.01100603</v>
      </c>
      <c r="M58" s="128"/>
      <c r="N58" s="401">
        <f t="shared" si="72"/>
        <v>9.5273706950000019</v>
      </c>
      <c r="O58" s="402">
        <f t="shared" si="73"/>
        <v>5.55584833292571E-2</v>
      </c>
      <c r="P58" s="52"/>
      <c r="Q58" s="417"/>
      <c r="R58" s="417"/>
      <c r="S58" s="400">
        <f>S56+S57</f>
        <v>185.32760603</v>
      </c>
      <c r="T58" s="128"/>
      <c r="U58" s="401">
        <f t="shared" si="74"/>
        <v>4.316599999999994</v>
      </c>
      <c r="V58" s="402">
        <f t="shared" si="75"/>
        <v>2.3847168714617159E-2</v>
      </c>
      <c r="W58" s="52"/>
      <c r="X58" s="417"/>
      <c r="Y58" s="417"/>
      <c r="Z58" s="400">
        <f>Z56+Z57</f>
        <v>189.83376240000001</v>
      </c>
      <c r="AA58" s="128"/>
      <c r="AB58" s="401">
        <f t="shared" si="76"/>
        <v>4.5061563700000136</v>
      </c>
      <c r="AC58" s="402">
        <f t="shared" si="77"/>
        <v>2.4314544748776267E-2</v>
      </c>
      <c r="AD58" s="52"/>
      <c r="AE58" s="417"/>
      <c r="AF58" s="417"/>
      <c r="AG58" s="400">
        <f>AG56+AG57</f>
        <v>193.35936239999998</v>
      </c>
      <c r="AH58" s="128"/>
      <c r="AI58" s="401">
        <f t="shared" si="78"/>
        <v>3.5255999999999688</v>
      </c>
      <c r="AJ58" s="402">
        <f t="shared" si="79"/>
        <v>1.8572038795560259E-2</v>
      </c>
      <c r="AK58" s="52"/>
      <c r="AL58" s="417"/>
      <c r="AM58" s="417"/>
      <c r="AN58" s="400">
        <f>AN56+AN57</f>
        <v>196.7041624</v>
      </c>
      <c r="AO58" s="128"/>
      <c r="AP58" s="401">
        <f t="shared" si="80"/>
        <v>3.3448000000000206</v>
      </c>
      <c r="AQ58" s="402">
        <f t="shared" si="81"/>
        <v>1.7298360723183793E-2</v>
      </c>
      <c r="AR58" s="403"/>
    </row>
    <row r="59" spans="1:44" ht="12" customHeight="1">
      <c r="A59" s="52"/>
      <c r="B59" s="628" t="s">
        <v>273</v>
      </c>
      <c r="C59" s="615"/>
      <c r="D59" s="615"/>
      <c r="E59" s="320"/>
      <c r="F59" s="456">
        <f>F53</f>
        <v>0.23499999999999999</v>
      </c>
      <c r="G59" s="128"/>
      <c r="H59" s="492">
        <f>F59*H56</f>
        <v>35.662525932499996</v>
      </c>
      <c r="I59" s="417"/>
      <c r="J59" s="456">
        <f>J53</f>
        <v>0.23499999999999999</v>
      </c>
      <c r="K59" s="417"/>
      <c r="L59" s="457">
        <f>J59*L56</f>
        <v>37.643881784999998</v>
      </c>
      <c r="M59" s="128"/>
      <c r="N59" s="457">
        <f t="shared" si="72"/>
        <v>1.9813558525000019</v>
      </c>
      <c r="O59" s="459">
        <f t="shared" si="73"/>
        <v>5.5558483329257155E-2</v>
      </c>
      <c r="P59" s="52"/>
      <c r="Q59" s="458">
        <f>Q53</f>
        <v>0.23499999999999999</v>
      </c>
      <c r="R59" s="417"/>
      <c r="S59" s="457">
        <f>Q59*S56</f>
        <v>38.541581784999998</v>
      </c>
      <c r="T59" s="128"/>
      <c r="U59" s="457">
        <f t="shared" si="74"/>
        <v>0.89770000000000039</v>
      </c>
      <c r="V59" s="459">
        <f t="shared" si="75"/>
        <v>2.3847168714617204E-2</v>
      </c>
      <c r="W59" s="52"/>
      <c r="X59" s="458">
        <f>X53</f>
        <v>0.23499999999999999</v>
      </c>
      <c r="Y59" s="417"/>
      <c r="Z59" s="457">
        <f>X59*Z56</f>
        <v>39.478702800000001</v>
      </c>
      <c r="AA59" s="128"/>
      <c r="AB59" s="457">
        <f t="shared" si="76"/>
        <v>0.93712101500000244</v>
      </c>
      <c r="AC59" s="459">
        <f t="shared" si="77"/>
        <v>2.431454474877626E-2</v>
      </c>
      <c r="AD59" s="52"/>
      <c r="AE59" s="458">
        <f>AE53</f>
        <v>0.23499999999999999</v>
      </c>
      <c r="AF59" s="417"/>
      <c r="AG59" s="457">
        <f>AE59*AG56</f>
        <v>40.211902799999997</v>
      </c>
      <c r="AH59" s="128"/>
      <c r="AI59" s="457">
        <f t="shared" si="78"/>
        <v>0.73319999999999652</v>
      </c>
      <c r="AJ59" s="459">
        <f t="shared" si="79"/>
        <v>1.8572038795560335E-2</v>
      </c>
      <c r="AK59" s="52"/>
      <c r="AL59" s="458">
        <f>AL53</f>
        <v>0.23499999999999999</v>
      </c>
      <c r="AM59" s="417"/>
      <c r="AN59" s="457">
        <f>AL59*AN56</f>
        <v>40.907502799999996</v>
      </c>
      <c r="AO59" s="128"/>
      <c r="AP59" s="457">
        <f t="shared" si="80"/>
        <v>0.69559999999999889</v>
      </c>
      <c r="AQ59" s="459">
        <f t="shared" si="81"/>
        <v>1.7298360723183658E-2</v>
      </c>
      <c r="AR59" s="460"/>
    </row>
    <row r="60" spans="1:44" ht="12" customHeight="1">
      <c r="A60" s="52"/>
      <c r="B60" s="627" t="s">
        <v>321</v>
      </c>
      <c r="C60" s="613"/>
      <c r="D60" s="613"/>
      <c r="E60" s="461"/>
      <c r="F60" s="469"/>
      <c r="G60" s="495"/>
      <c r="H60" s="496">
        <f>H58-H59</f>
        <v>135.82110940250001</v>
      </c>
      <c r="I60" s="470"/>
      <c r="J60" s="469"/>
      <c r="K60" s="470"/>
      <c r="L60" s="471">
        <f>L58-L59</f>
        <v>143.36712424500001</v>
      </c>
      <c r="M60" s="472"/>
      <c r="N60" s="473">
        <f t="shared" si="72"/>
        <v>7.5460148425</v>
      </c>
      <c r="O60" s="474">
        <f t="shared" si="73"/>
        <v>5.5558483329257086E-2</v>
      </c>
      <c r="P60" s="52"/>
      <c r="Q60" s="470"/>
      <c r="R60" s="470"/>
      <c r="S60" s="471">
        <f>S58-S59</f>
        <v>146.78602424499999</v>
      </c>
      <c r="T60" s="472"/>
      <c r="U60" s="473">
        <f t="shared" si="74"/>
        <v>3.4188999999999794</v>
      </c>
      <c r="V60" s="474">
        <f t="shared" si="75"/>
        <v>2.3847168714617048E-2</v>
      </c>
      <c r="W60" s="52"/>
      <c r="X60" s="470"/>
      <c r="Y60" s="470"/>
      <c r="Z60" s="471">
        <f>Z58-Z59</f>
        <v>150.3550596</v>
      </c>
      <c r="AA60" s="472"/>
      <c r="AB60" s="473">
        <f t="shared" si="76"/>
        <v>3.5690353550000111</v>
      </c>
      <c r="AC60" s="474">
        <f t="shared" si="77"/>
        <v>2.4314544748776271E-2</v>
      </c>
      <c r="AD60" s="52"/>
      <c r="AE60" s="470"/>
      <c r="AF60" s="470"/>
      <c r="AG60" s="471">
        <f>AG58-AG59</f>
        <v>153.14745959999999</v>
      </c>
      <c r="AH60" s="472"/>
      <c r="AI60" s="473">
        <f t="shared" si="78"/>
        <v>2.7923999999999864</v>
      </c>
      <c r="AJ60" s="474">
        <f t="shared" si="79"/>
        <v>1.8572038795560335E-2</v>
      </c>
      <c r="AK60" s="52"/>
      <c r="AL60" s="470"/>
      <c r="AM60" s="470"/>
      <c r="AN60" s="471">
        <f>AN58-AN59</f>
        <v>155.7966596</v>
      </c>
      <c r="AO60" s="472"/>
      <c r="AP60" s="473">
        <f t="shared" si="80"/>
        <v>2.6492000000000075</v>
      </c>
      <c r="AQ60" s="474">
        <f t="shared" si="81"/>
        <v>1.7298360723183734E-2</v>
      </c>
      <c r="AR60" s="468"/>
    </row>
    <row r="61" spans="1:44" ht="12" customHeight="1">
      <c r="A61" s="52"/>
      <c r="B61" s="503"/>
      <c r="C61" s="504"/>
      <c r="D61" s="504"/>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479" t="s">
        <v>353</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E00-000000000000}">
      <formula1>"TOU,non-TOU"</formula1>
    </dataValidation>
    <dataValidation type="list" allowBlank="1" showErrorMessage="1" sqref="E15:E28 E30:E36 E38:E39 E41:E49 E55 E61" xr:uid="{00000000-0002-0000-0E00-000001000000}">
      <formula1>#REF!</formula1>
    </dataValidation>
    <dataValidation type="list" allowBlank="1" showInputMessage="1" showErrorMessage="1" prompt="Select Charge Unit - monthly, per kWh, per kW" sqref="D15:D28 D30:D36 D38:D39 D41:D49 D55 D61" xr:uid="{00000000-0002-0000-0E00-000002000000}">
      <formula1>"Monthly,per kWh,per kW"</formula1>
    </dataValidation>
  </dataValidations>
  <pageMargins left="0.74803149606299213" right="0.74803149606299213" top="0.98425196850393704" bottom="0.98425196850393704"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 min="45" max="45" width="12.42578125" customWidth="1"/>
  </cols>
  <sheetData>
    <row r="1" spans="1:45" ht="15"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c r="AS1" s="3"/>
    </row>
    <row r="2" spans="1:45" ht="18.75"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75"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5"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75" customHeight="1">
      <c r="A10" s="52"/>
      <c r="B10" s="52"/>
      <c r="C10" s="52"/>
      <c r="D10" s="306" t="s">
        <v>297</v>
      </c>
      <c r="E10" s="306"/>
      <c r="F10" s="386">
        <v>1000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row>
    <row r="16" spans="1:45"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1000</v>
      </c>
      <c r="H17" s="400">
        <f t="shared" si="2"/>
        <v>0</v>
      </c>
      <c r="I17" s="128"/>
      <c r="J17" s="397">
        <f>IFERROR(VLOOKUP($C17,'Proposed Rates'!$B:$J,J$11,FALSE),0)</f>
        <v>0</v>
      </c>
      <c r="K17" s="398">
        <f t="shared" si="3"/>
        <v>1000</v>
      </c>
      <c r="L17" s="400">
        <f t="shared" si="4"/>
        <v>0</v>
      </c>
      <c r="M17" s="128"/>
      <c r="N17" s="401">
        <f t="shared" si="5"/>
        <v>0</v>
      </c>
      <c r="O17" s="402" t="str">
        <f t="shared" si="6"/>
        <v/>
      </c>
      <c r="P17" s="52"/>
      <c r="Q17" s="397">
        <f>IFERROR(VLOOKUP($C17,'Proposed Rates'!$B:$J,Q$11,FALSE),0)</f>
        <v>0</v>
      </c>
      <c r="R17" s="398">
        <f t="shared" si="7"/>
        <v>1000</v>
      </c>
      <c r="S17" s="400">
        <f t="shared" si="8"/>
        <v>0</v>
      </c>
      <c r="T17" s="128"/>
      <c r="U17" s="401">
        <f t="shared" si="9"/>
        <v>0</v>
      </c>
      <c r="V17" s="402" t="str">
        <f t="shared" si="10"/>
        <v/>
      </c>
      <c r="W17" s="52"/>
      <c r="X17" s="397">
        <f>IFERROR(VLOOKUP($C17,'Proposed Rates'!$B:$J,X$11,FALSE),0)</f>
        <v>0</v>
      </c>
      <c r="Y17" s="398">
        <f t="shared" si="11"/>
        <v>1000</v>
      </c>
      <c r="Z17" s="400">
        <f t="shared" si="12"/>
        <v>0</v>
      </c>
      <c r="AA17" s="128"/>
      <c r="AB17" s="401">
        <f t="shared" si="13"/>
        <v>0</v>
      </c>
      <c r="AC17" s="402" t="str">
        <f t="shared" si="14"/>
        <v/>
      </c>
      <c r="AD17" s="52"/>
      <c r="AE17" s="397">
        <f>IFERROR(VLOOKUP($C17,'Proposed Rates'!$B:$J,AE$11,FALSE),0)</f>
        <v>0</v>
      </c>
      <c r="AF17" s="398">
        <f t="shared" si="15"/>
        <v>1000</v>
      </c>
      <c r="AG17" s="400">
        <f t="shared" si="16"/>
        <v>0</v>
      </c>
      <c r="AH17" s="128"/>
      <c r="AI17" s="401">
        <f t="shared" si="17"/>
        <v>0</v>
      </c>
      <c r="AJ17" s="402" t="str">
        <f t="shared" si="18"/>
        <v/>
      </c>
      <c r="AK17" s="52"/>
      <c r="AL17" s="397">
        <f>IFERROR(VLOOKUP($C17,'Proposed Rates'!$B:$J,AL$11,FALSE),0)</f>
        <v>0</v>
      </c>
      <c r="AM17" s="398">
        <f t="shared" si="19"/>
        <v>1000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75" customHeight="1">
      <c r="A19" s="52"/>
      <c r="B19" s="320" t="s">
        <v>59</v>
      </c>
      <c r="C19" s="395" t="str">
        <f t="shared" si="0"/>
        <v>Residential.Distribution Volumetric Rate</v>
      </c>
      <c r="D19" s="396" t="s">
        <v>308</v>
      </c>
      <c r="E19" s="320"/>
      <c r="F19" s="397">
        <f>IFERROR(VLOOKUP($C19,'Proposed Rates'!$B:$J,F$11,FALSE),0)</f>
        <v>0</v>
      </c>
      <c r="G19" s="398">
        <f t="shared" si="1"/>
        <v>1000</v>
      </c>
      <c r="H19" s="400">
        <f t="shared" si="2"/>
        <v>0</v>
      </c>
      <c r="I19" s="128"/>
      <c r="J19" s="397">
        <f>IFERROR(VLOOKUP($C19,'Proposed Rates'!$B:$J,J$11,FALSE),0)</f>
        <v>0</v>
      </c>
      <c r="K19" s="398">
        <f t="shared" si="3"/>
        <v>1000</v>
      </c>
      <c r="L19" s="400">
        <f t="shared" si="4"/>
        <v>0</v>
      </c>
      <c r="M19" s="128"/>
      <c r="N19" s="401">
        <f t="shared" si="5"/>
        <v>0</v>
      </c>
      <c r="O19" s="402" t="str">
        <f t="shared" si="6"/>
        <v/>
      </c>
      <c r="P19" s="52"/>
      <c r="Q19" s="397">
        <f>IFERROR(VLOOKUP($C19,'Proposed Rates'!$B:$J,Q$11,FALSE),0)</f>
        <v>0</v>
      </c>
      <c r="R19" s="398">
        <f t="shared" si="7"/>
        <v>1000</v>
      </c>
      <c r="S19" s="400">
        <f t="shared" si="8"/>
        <v>0</v>
      </c>
      <c r="T19" s="128"/>
      <c r="U19" s="401">
        <f t="shared" si="9"/>
        <v>0</v>
      </c>
      <c r="V19" s="402" t="str">
        <f t="shared" si="10"/>
        <v/>
      </c>
      <c r="W19" s="52"/>
      <c r="X19" s="397">
        <f>IFERROR(VLOOKUP($C19,'Proposed Rates'!$B:$J,X$11,FALSE),0)</f>
        <v>0</v>
      </c>
      <c r="Y19" s="398">
        <f t="shared" si="11"/>
        <v>1000</v>
      </c>
      <c r="Z19" s="400">
        <f t="shared" si="12"/>
        <v>0</v>
      </c>
      <c r="AA19" s="128"/>
      <c r="AB19" s="401">
        <f t="shared" si="13"/>
        <v>0</v>
      </c>
      <c r="AC19" s="402" t="str">
        <f t="shared" si="14"/>
        <v/>
      </c>
      <c r="AD19" s="52"/>
      <c r="AE19" s="397">
        <f>IFERROR(VLOOKUP($C19,'Proposed Rates'!$B:$J,AE$11,FALSE),0)</f>
        <v>0</v>
      </c>
      <c r="AF19" s="398">
        <f t="shared" si="15"/>
        <v>1000</v>
      </c>
      <c r="AG19" s="400">
        <f t="shared" si="16"/>
        <v>0</v>
      </c>
      <c r="AH19" s="128"/>
      <c r="AI19" s="401">
        <f t="shared" si="17"/>
        <v>0</v>
      </c>
      <c r="AJ19" s="402" t="str">
        <f t="shared" si="18"/>
        <v/>
      </c>
      <c r="AK19" s="52"/>
      <c r="AL19" s="397">
        <f>IFERROR(VLOOKUP($C19,'Proposed Rates'!$B:$J,AL$11,FALSE),0)</f>
        <v>0</v>
      </c>
      <c r="AM19" s="398">
        <f t="shared" si="19"/>
        <v>1000</v>
      </c>
      <c r="AN19" s="400">
        <f t="shared" si="20"/>
        <v>0</v>
      </c>
      <c r="AO19" s="128"/>
      <c r="AP19" s="401">
        <f t="shared" si="21"/>
        <v>0</v>
      </c>
      <c r="AQ19" s="402" t="str">
        <f t="shared" si="22"/>
        <v/>
      </c>
      <c r="AR19" s="403"/>
    </row>
    <row r="20" spans="1:44" ht="12.75" customHeight="1">
      <c r="A20" s="52"/>
      <c r="B20" s="320" t="s">
        <v>309</v>
      </c>
      <c r="C20" s="395" t="str">
        <f t="shared" si="0"/>
        <v>Residential.Smart Meter Disposition Rider</v>
      </c>
      <c r="D20" s="396" t="s">
        <v>308</v>
      </c>
      <c r="E20" s="320"/>
      <c r="F20" s="397">
        <f>IFERROR(VLOOKUP($C20,'Proposed Rates'!$B:$J,F$11,FALSE),0)</f>
        <v>0</v>
      </c>
      <c r="G20" s="398">
        <f t="shared" si="1"/>
        <v>1000</v>
      </c>
      <c r="H20" s="400">
        <f t="shared" si="2"/>
        <v>0</v>
      </c>
      <c r="I20" s="128"/>
      <c r="J20" s="397">
        <f>IFERROR(VLOOKUP($C20,'Proposed Rates'!$B:$J,J$11,FALSE),0)</f>
        <v>0</v>
      </c>
      <c r="K20" s="398">
        <f t="shared" si="3"/>
        <v>1000</v>
      </c>
      <c r="L20" s="400">
        <f t="shared" si="4"/>
        <v>0</v>
      </c>
      <c r="M20" s="128"/>
      <c r="N20" s="401">
        <f t="shared" si="5"/>
        <v>0</v>
      </c>
      <c r="O20" s="402" t="str">
        <f t="shared" si="6"/>
        <v/>
      </c>
      <c r="P20" s="52"/>
      <c r="Q20" s="397">
        <f>IFERROR(VLOOKUP($C20,'Proposed Rates'!$B:$J,Q$11,FALSE),0)</f>
        <v>0</v>
      </c>
      <c r="R20" s="398">
        <f t="shared" si="7"/>
        <v>1000</v>
      </c>
      <c r="S20" s="400">
        <f t="shared" si="8"/>
        <v>0</v>
      </c>
      <c r="T20" s="128"/>
      <c r="U20" s="401">
        <f t="shared" si="9"/>
        <v>0</v>
      </c>
      <c r="V20" s="402" t="str">
        <f t="shared" si="10"/>
        <v/>
      </c>
      <c r="W20" s="52"/>
      <c r="X20" s="397">
        <f>IFERROR(VLOOKUP($C20,'Proposed Rates'!$B:$J,X$11,FALSE),0)</f>
        <v>0</v>
      </c>
      <c r="Y20" s="398">
        <f t="shared" si="11"/>
        <v>1000</v>
      </c>
      <c r="Z20" s="400">
        <f t="shared" si="12"/>
        <v>0</v>
      </c>
      <c r="AA20" s="128"/>
      <c r="AB20" s="401">
        <f t="shared" si="13"/>
        <v>0</v>
      </c>
      <c r="AC20" s="402" t="str">
        <f t="shared" si="14"/>
        <v/>
      </c>
      <c r="AD20" s="52"/>
      <c r="AE20" s="397">
        <f>IFERROR(VLOOKUP($C20,'Proposed Rates'!$B:$J,AE$11,FALSE),0)</f>
        <v>0</v>
      </c>
      <c r="AF20" s="398">
        <f t="shared" si="15"/>
        <v>1000</v>
      </c>
      <c r="AG20" s="400">
        <f t="shared" si="16"/>
        <v>0</v>
      </c>
      <c r="AH20" s="128"/>
      <c r="AI20" s="401">
        <f t="shared" si="17"/>
        <v>0</v>
      </c>
      <c r="AJ20" s="402" t="str">
        <f t="shared" si="18"/>
        <v/>
      </c>
      <c r="AK20" s="52"/>
      <c r="AL20" s="397">
        <f>IFERROR(VLOOKUP($C20,'Proposed Rates'!$B:$J,AL$11,FALSE),0)</f>
        <v>0</v>
      </c>
      <c r="AM20" s="398">
        <f t="shared" si="19"/>
        <v>1000</v>
      </c>
      <c r="AN20" s="400">
        <f t="shared" si="20"/>
        <v>0</v>
      </c>
      <c r="AO20" s="128"/>
      <c r="AP20" s="401">
        <f t="shared" si="21"/>
        <v>0</v>
      </c>
      <c r="AQ20" s="402" t="str">
        <f t="shared" si="22"/>
        <v/>
      </c>
      <c r="AR20" s="403"/>
    </row>
    <row r="21" spans="1:4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75" customHeight="1">
      <c r="A22" s="52"/>
      <c r="B22" s="40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75" customHeight="1">
      <c r="A26" s="52"/>
      <c r="B26" s="40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75"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1000</v>
      </c>
      <c r="H30" s="400">
        <f t="shared" ref="H30:H36" si="25">G30*F30</f>
        <v>-0.2</v>
      </c>
      <c r="I30" s="128"/>
      <c r="J30" s="414">
        <f>IFERROR(VLOOKUP($C30,'Proposed Rates'!$B:$J,J$11,FALSE),0)</f>
        <v>-5.9999999999999995E-4</v>
      </c>
      <c r="K30" s="415">
        <f t="shared" ref="K30:K33" si="26">IF($D30="Monthly",1,IF($D30="per KWH",$F$10,0))</f>
        <v>1000</v>
      </c>
      <c r="L30" s="416">
        <f t="shared" ref="L30:L36" si="27">K30*J30</f>
        <v>-0.6</v>
      </c>
      <c r="M30" s="128"/>
      <c r="N30" s="401">
        <f t="shared" si="5"/>
        <v>-0.39999999999999997</v>
      </c>
      <c r="O30" s="402">
        <f t="shared" si="6"/>
        <v>1.9999999999999998</v>
      </c>
      <c r="P30" s="52"/>
      <c r="Q30" s="414">
        <f>IFERROR(VLOOKUP($C30,'Proposed Rates'!$B:$J,Q$11,FALSE),0)</f>
        <v>0</v>
      </c>
      <c r="R30" s="415">
        <f t="shared" ref="R30:R33" si="28">IF($D30="Monthly",1,IF($D30="per KWH",$F$10,0))</f>
        <v>1000</v>
      </c>
      <c r="S30" s="400">
        <f t="shared" ref="S30:S36" si="29">R30*Q30</f>
        <v>0</v>
      </c>
      <c r="T30" s="128"/>
      <c r="U30" s="401">
        <f t="shared" si="9"/>
        <v>0.6</v>
      </c>
      <c r="V30" s="402">
        <f t="shared" si="10"/>
        <v>-1</v>
      </c>
      <c r="W30" s="52"/>
      <c r="X30" s="414">
        <f>IFERROR(VLOOKUP($C30,'Proposed Rates'!$B:$J,X$11,FALSE),0)</f>
        <v>0</v>
      </c>
      <c r="Y30" s="415">
        <f t="shared" ref="Y30:Y33" si="30">IF($D30="Monthly",1,IF($D30="per KWH",$F$10,0))</f>
        <v>1000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1000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1000</v>
      </c>
      <c r="AN30" s="400">
        <f t="shared" ref="AN30:AN36" si="35">AM30*AL30</f>
        <v>0</v>
      </c>
      <c r="AO30" s="128"/>
      <c r="AP30" s="401">
        <f t="shared" si="21"/>
        <v>0</v>
      </c>
      <c r="AQ30" s="402" t="str">
        <f t="shared" si="22"/>
        <v/>
      </c>
      <c r="AR30" s="403"/>
    </row>
    <row r="31" spans="1:44" ht="12.75" customHeight="1">
      <c r="A31" s="52"/>
      <c r="B31" s="404" t="s">
        <v>236</v>
      </c>
      <c r="C31" s="395" t="str">
        <f t="shared" si="23"/>
        <v>Residential.DVA Disposition Rate Rider Group 1 - 2024</v>
      </c>
      <c r="D31" s="396" t="s">
        <v>308</v>
      </c>
      <c r="E31" s="320"/>
      <c r="F31" s="414">
        <f>IFERROR(VLOOKUP($C31,'Proposed Rates'!$B:$J,F$11,FALSE),0)</f>
        <v>0</v>
      </c>
      <c r="G31" s="415">
        <f t="shared" si="24"/>
        <v>1000</v>
      </c>
      <c r="H31" s="400">
        <f t="shared" si="25"/>
        <v>0</v>
      </c>
      <c r="I31" s="485"/>
      <c r="J31" s="414">
        <f>IFERROR(VLOOKUP($C31,'Proposed Rates'!$B:$J,J$11,FALSE),0)</f>
        <v>0</v>
      </c>
      <c r="K31" s="415">
        <f t="shared" si="26"/>
        <v>1000</v>
      </c>
      <c r="L31" s="416">
        <f t="shared" si="27"/>
        <v>0</v>
      </c>
      <c r="M31" s="417"/>
      <c r="N31" s="401">
        <f t="shared" si="5"/>
        <v>0</v>
      </c>
      <c r="O31" s="402" t="str">
        <f t="shared" si="6"/>
        <v/>
      </c>
      <c r="P31" s="52"/>
      <c r="Q31" s="414">
        <f>IFERROR(VLOOKUP($C31,'Proposed Rates'!$B:$J,Q$11,FALSE),0)</f>
        <v>0</v>
      </c>
      <c r="R31" s="415">
        <f t="shared" si="28"/>
        <v>1000</v>
      </c>
      <c r="S31" s="498">
        <f t="shared" si="29"/>
        <v>0</v>
      </c>
      <c r="T31" s="417"/>
      <c r="U31" s="401">
        <f t="shared" si="9"/>
        <v>0</v>
      </c>
      <c r="V31" s="402" t="str">
        <f t="shared" si="10"/>
        <v/>
      </c>
      <c r="W31" s="52"/>
      <c r="X31" s="414">
        <f>IFERROR(VLOOKUP($C31,'Proposed Rates'!$B:$J,X$11,FALSE),0)</f>
        <v>0</v>
      </c>
      <c r="Y31" s="415">
        <f t="shared" si="30"/>
        <v>1000</v>
      </c>
      <c r="Z31" s="498">
        <f t="shared" si="31"/>
        <v>0</v>
      </c>
      <c r="AA31" s="417"/>
      <c r="AB31" s="401">
        <f t="shared" si="13"/>
        <v>0</v>
      </c>
      <c r="AC31" s="402" t="str">
        <f t="shared" si="14"/>
        <v/>
      </c>
      <c r="AD31" s="52"/>
      <c r="AE31" s="414">
        <f>IFERROR(VLOOKUP($C31,'Proposed Rates'!$B:$J,AE$11,FALSE),0)</f>
        <v>0</v>
      </c>
      <c r="AF31" s="415">
        <f t="shared" si="32"/>
        <v>1000</v>
      </c>
      <c r="AG31" s="498">
        <f t="shared" si="33"/>
        <v>0</v>
      </c>
      <c r="AH31" s="417"/>
      <c r="AI31" s="401">
        <f t="shared" si="17"/>
        <v>0</v>
      </c>
      <c r="AJ31" s="402" t="str">
        <f t="shared" si="18"/>
        <v/>
      </c>
      <c r="AK31" s="52"/>
      <c r="AL31" s="414">
        <f>IFERROR(VLOOKUP($C31,'Proposed Rates'!$B:$J,AL$11,FALSE),0)</f>
        <v>0</v>
      </c>
      <c r="AM31" s="415">
        <f t="shared" si="34"/>
        <v>1000</v>
      </c>
      <c r="AN31" s="498">
        <f t="shared" si="35"/>
        <v>0</v>
      </c>
      <c r="AO31" s="417"/>
      <c r="AP31" s="401">
        <f t="shared" si="21"/>
        <v>0</v>
      </c>
      <c r="AQ31" s="402" t="str">
        <f t="shared" si="22"/>
        <v/>
      </c>
      <c r="AR31" s="403"/>
    </row>
    <row r="32" spans="1:44" ht="12.75" customHeight="1">
      <c r="A32" s="52"/>
      <c r="B32" s="404" t="s">
        <v>244</v>
      </c>
      <c r="C32" s="395" t="str">
        <f t="shared" si="23"/>
        <v>Residential.CBR Class B Rate Riders</v>
      </c>
      <c r="D32" s="396" t="s">
        <v>308</v>
      </c>
      <c r="E32" s="320"/>
      <c r="F32" s="414">
        <f>IFERROR(VLOOKUP($C32,'Proposed Rates'!$B:$J,F$11,FALSE),0)</f>
        <v>2.0000000000000001E-4</v>
      </c>
      <c r="G32" s="415">
        <f t="shared" si="24"/>
        <v>1000</v>
      </c>
      <c r="H32" s="400">
        <f t="shared" si="25"/>
        <v>0.2</v>
      </c>
      <c r="I32" s="485"/>
      <c r="J32" s="414">
        <f>IFERROR(VLOOKUP($C32,'Proposed Rates'!$B:$J,J$11,FALSE),0)</f>
        <v>4.0000000000000002E-4</v>
      </c>
      <c r="K32" s="415">
        <f t="shared" si="26"/>
        <v>1000</v>
      </c>
      <c r="L32" s="416">
        <f t="shared" si="27"/>
        <v>0.4</v>
      </c>
      <c r="M32" s="417"/>
      <c r="N32" s="401">
        <f t="shared" si="5"/>
        <v>0.2</v>
      </c>
      <c r="O32" s="402">
        <f t="shared" si="6"/>
        <v>1</v>
      </c>
      <c r="P32" s="52"/>
      <c r="Q32" s="414">
        <f>IFERROR(VLOOKUP($C32,'Proposed Rates'!$B:$J,Q$11,FALSE),0)</f>
        <v>0</v>
      </c>
      <c r="R32" s="415">
        <f t="shared" si="28"/>
        <v>1000</v>
      </c>
      <c r="S32" s="400">
        <f t="shared" si="29"/>
        <v>0</v>
      </c>
      <c r="T32" s="417"/>
      <c r="U32" s="401">
        <f t="shared" si="9"/>
        <v>-0.4</v>
      </c>
      <c r="V32" s="402">
        <f t="shared" si="10"/>
        <v>-1</v>
      </c>
      <c r="W32" s="52"/>
      <c r="X32" s="414">
        <f>IFERROR(VLOOKUP($C32,'Proposed Rates'!$B:$J,X$11,FALSE),0)</f>
        <v>0</v>
      </c>
      <c r="Y32" s="415">
        <f t="shared" si="30"/>
        <v>1000</v>
      </c>
      <c r="Z32" s="400">
        <f t="shared" si="31"/>
        <v>0</v>
      </c>
      <c r="AA32" s="417"/>
      <c r="AB32" s="401">
        <f t="shared" si="13"/>
        <v>0</v>
      </c>
      <c r="AC32" s="402" t="str">
        <f t="shared" si="14"/>
        <v/>
      </c>
      <c r="AD32" s="52"/>
      <c r="AE32" s="414">
        <f>IFERROR(VLOOKUP($C32,'Proposed Rates'!$B:$J,AE$11,FALSE),0)</f>
        <v>0</v>
      </c>
      <c r="AF32" s="415">
        <f t="shared" si="32"/>
        <v>1000</v>
      </c>
      <c r="AG32" s="400">
        <f t="shared" si="33"/>
        <v>0</v>
      </c>
      <c r="AH32" s="417"/>
      <c r="AI32" s="401">
        <f t="shared" si="17"/>
        <v>0</v>
      </c>
      <c r="AJ32" s="402" t="str">
        <f t="shared" si="18"/>
        <v/>
      </c>
      <c r="AK32" s="52"/>
      <c r="AL32" s="414">
        <f>IFERROR(VLOOKUP($C32,'Proposed Rates'!$B:$J,AL$11,FALSE),0)</f>
        <v>0</v>
      </c>
      <c r="AM32" s="415">
        <f t="shared" si="34"/>
        <v>1000</v>
      </c>
      <c r="AN32" s="400">
        <f t="shared" si="35"/>
        <v>0</v>
      </c>
      <c r="AO32" s="417"/>
      <c r="AP32" s="401">
        <f t="shared" si="21"/>
        <v>0</v>
      </c>
      <c r="AQ32" s="402" t="str">
        <f t="shared" si="22"/>
        <v/>
      </c>
      <c r="AR32" s="403"/>
    </row>
    <row r="33" spans="1:44" ht="12.75" customHeight="1">
      <c r="A33" s="52"/>
      <c r="B33" s="404" t="s">
        <v>311</v>
      </c>
      <c r="C33" s="395" t="str">
        <f t="shared" si="23"/>
        <v>Residential.GA Disposition Rate Rider-NonRPP</v>
      </c>
      <c r="D33" s="396" t="s">
        <v>308</v>
      </c>
      <c r="E33" s="320"/>
      <c r="F33" s="414">
        <f>IFERROR(VLOOKUP($C33,'Proposed Rates'!$B:$J,F$11,FALSE),0)</f>
        <v>0</v>
      </c>
      <c r="G33" s="415">
        <f t="shared" si="24"/>
        <v>1000</v>
      </c>
      <c r="H33" s="400">
        <f t="shared" si="25"/>
        <v>0</v>
      </c>
      <c r="I33" s="485"/>
      <c r="J33" s="414">
        <f>IFERROR(VLOOKUP($C33,'Proposed Rates'!$B:$J,J$11,FALSE),0)</f>
        <v>0</v>
      </c>
      <c r="K33" s="415">
        <f t="shared" si="26"/>
        <v>1000</v>
      </c>
      <c r="L33" s="416">
        <f t="shared" si="27"/>
        <v>0</v>
      </c>
      <c r="M33" s="417"/>
      <c r="N33" s="401">
        <f t="shared" si="5"/>
        <v>0</v>
      </c>
      <c r="O33" s="402" t="str">
        <f t="shared" si="6"/>
        <v/>
      </c>
      <c r="P33" s="52"/>
      <c r="Q33" s="414">
        <f>IFERROR(VLOOKUP($C33,'Proposed Rates'!$B:$J,Q$11,FALSE),0)</f>
        <v>0</v>
      </c>
      <c r="R33" s="415">
        <f t="shared" si="28"/>
        <v>1000</v>
      </c>
      <c r="S33" s="400">
        <f t="shared" si="29"/>
        <v>0</v>
      </c>
      <c r="T33" s="417"/>
      <c r="U33" s="401">
        <f t="shared" si="9"/>
        <v>0</v>
      </c>
      <c r="V33" s="402" t="str">
        <f t="shared" si="10"/>
        <v/>
      </c>
      <c r="W33" s="52"/>
      <c r="X33" s="414">
        <f>IFERROR(VLOOKUP($C33,'Proposed Rates'!$B:$J,X$11,FALSE),0)</f>
        <v>0</v>
      </c>
      <c r="Y33" s="415">
        <f t="shared" si="30"/>
        <v>1000</v>
      </c>
      <c r="Z33" s="400">
        <f t="shared" si="31"/>
        <v>0</v>
      </c>
      <c r="AA33" s="417"/>
      <c r="AB33" s="401">
        <f t="shared" si="13"/>
        <v>0</v>
      </c>
      <c r="AC33" s="402" t="str">
        <f t="shared" si="14"/>
        <v/>
      </c>
      <c r="AD33" s="52"/>
      <c r="AE33" s="414">
        <f>IFERROR(VLOOKUP($C33,'Proposed Rates'!$B:$J,AE$11,FALSE),0)</f>
        <v>0</v>
      </c>
      <c r="AF33" s="415">
        <f t="shared" si="32"/>
        <v>1000</v>
      </c>
      <c r="AG33" s="400">
        <f t="shared" si="33"/>
        <v>0</v>
      </c>
      <c r="AH33" s="417"/>
      <c r="AI33" s="401">
        <f t="shared" si="17"/>
        <v>0</v>
      </c>
      <c r="AJ33" s="402" t="str">
        <f t="shared" si="18"/>
        <v/>
      </c>
      <c r="AK33" s="52"/>
      <c r="AL33" s="414">
        <f>IFERROR(VLOOKUP($C33,'Proposed Rates'!$B:$J,AL$11,FALSE),0)</f>
        <v>0</v>
      </c>
      <c r="AM33" s="415">
        <f t="shared" si="34"/>
        <v>1000</v>
      </c>
      <c r="AN33" s="400">
        <f t="shared" si="35"/>
        <v>0</v>
      </c>
      <c r="AO33" s="417"/>
      <c r="AP33" s="401">
        <f t="shared" si="21"/>
        <v>0</v>
      </c>
      <c r="AQ33" s="402" t="str">
        <f t="shared" si="22"/>
        <v/>
      </c>
      <c r="AR33" s="403"/>
    </row>
    <row r="34" spans="1:44" ht="12.75" customHeight="1">
      <c r="A34" s="52"/>
      <c r="B34" s="320" t="s">
        <v>269</v>
      </c>
      <c r="C34" s="395" t="str">
        <f t="shared" si="23"/>
        <v>Residential.Low Voltage Service Charge</v>
      </c>
      <c r="D34" s="396" t="s">
        <v>308</v>
      </c>
      <c r="E34" s="320"/>
      <c r="F34" s="418">
        <f>IFERROR(VLOOKUP($C34,'Proposed Rates'!$B:$J,F$11,FALSE),0)</f>
        <v>5.0000000000000002E-5</v>
      </c>
      <c r="G34" s="419">
        <f>$F$10*(1+F$63)</f>
        <v>1033.8</v>
      </c>
      <c r="H34" s="400">
        <f t="shared" si="25"/>
        <v>5.169E-2</v>
      </c>
      <c r="I34" s="128"/>
      <c r="J34" s="418">
        <f>IFERROR(VLOOKUP($C34,'Proposed Rates'!$B:$J,J$11,FALSE),0)</f>
        <v>6.9999999999999994E-5</v>
      </c>
      <c r="K34" s="419">
        <f>$F$10*(1+J$63)</f>
        <v>1033.1999999999998</v>
      </c>
      <c r="L34" s="416">
        <f t="shared" si="27"/>
        <v>7.2323999999999986E-2</v>
      </c>
      <c r="M34" s="128"/>
      <c r="N34" s="401">
        <f t="shared" si="5"/>
        <v>2.0633999999999986E-2</v>
      </c>
      <c r="O34" s="402">
        <f t="shared" si="6"/>
        <v>0.3991874637260589</v>
      </c>
      <c r="P34" s="52"/>
      <c r="Q34" s="418">
        <f>IFERROR(VLOOKUP($C34,'Proposed Rates'!$B:$J,Q$11,FALSE),0)</f>
        <v>6.9999999999999994E-5</v>
      </c>
      <c r="R34" s="419">
        <f>$F$10*(1+Q$63)</f>
        <v>1033.1999999999998</v>
      </c>
      <c r="S34" s="400">
        <f t="shared" si="29"/>
        <v>7.2323999999999986E-2</v>
      </c>
      <c r="T34" s="128"/>
      <c r="U34" s="401">
        <f t="shared" si="9"/>
        <v>0</v>
      </c>
      <c r="V34" s="402">
        <f t="shared" si="10"/>
        <v>0</v>
      </c>
      <c r="W34" s="52"/>
      <c r="X34" s="418">
        <f>IFERROR(VLOOKUP($C34,'Proposed Rates'!$B:$J,X$11,FALSE),0)</f>
        <v>8.0000000000000007E-5</v>
      </c>
      <c r="Y34" s="419">
        <f>$F$10*(1+X$63)</f>
        <v>1033.1999999999998</v>
      </c>
      <c r="Z34" s="400">
        <f t="shared" si="31"/>
        <v>8.2655999999999993E-2</v>
      </c>
      <c r="AA34" s="128"/>
      <c r="AB34" s="401">
        <f t="shared" si="13"/>
        <v>1.0332000000000008E-2</v>
      </c>
      <c r="AC34" s="402">
        <f t="shared" si="14"/>
        <v>0.14285714285714299</v>
      </c>
      <c r="AD34" s="52"/>
      <c r="AE34" s="418">
        <f>IFERROR(VLOOKUP($C34,'Proposed Rates'!$B:$J,AE$11,FALSE),0)</f>
        <v>8.0000000000000007E-5</v>
      </c>
      <c r="AF34" s="419">
        <f>$F$10*(1+AE$63)</f>
        <v>1033.1999999999998</v>
      </c>
      <c r="AG34" s="400">
        <f t="shared" si="33"/>
        <v>8.2655999999999993E-2</v>
      </c>
      <c r="AH34" s="128"/>
      <c r="AI34" s="401">
        <f t="shared" si="17"/>
        <v>0</v>
      </c>
      <c r="AJ34" s="402">
        <f t="shared" si="18"/>
        <v>0</v>
      </c>
      <c r="AK34" s="52"/>
      <c r="AL34" s="418">
        <f>IFERROR(VLOOKUP($C34,'Proposed Rates'!$B:$J,AL$11,FALSE),0)</f>
        <v>8.0000000000000007E-5</v>
      </c>
      <c r="AM34" s="419">
        <f>$F$10*(1+AL$63)</f>
        <v>1033.1999999999998</v>
      </c>
      <c r="AN34" s="400">
        <f t="shared" si="35"/>
        <v>8.2655999999999993E-2</v>
      </c>
      <c r="AO34" s="128"/>
      <c r="AP34" s="401">
        <f t="shared" si="21"/>
        <v>0</v>
      </c>
      <c r="AQ34" s="402">
        <f t="shared" si="22"/>
        <v>0</v>
      </c>
      <c r="AR34" s="403"/>
    </row>
    <row r="35" spans="1:44" ht="12.75"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33.799999999999955</v>
      </c>
      <c r="H35" s="400">
        <f t="shared" si="25"/>
        <v>4.3101759999999949</v>
      </c>
      <c r="I35" s="128"/>
      <c r="J35" s="420">
        <f>'Proposed Rates'!$K$249*J$44+'Proposed Rates'!$K$250*J$45+'Proposed Rates'!$K$251*J$46</f>
        <v>0.12752000000000002</v>
      </c>
      <c r="K35" s="421">
        <f>$F$10*(1+J$63)-$F$10</f>
        <v>33.199999999999818</v>
      </c>
      <c r="L35" s="416">
        <f t="shared" si="27"/>
        <v>4.2336639999999779</v>
      </c>
      <c r="M35" s="128"/>
      <c r="N35" s="401">
        <f t="shared" si="5"/>
        <v>-7.6512000000017011E-2</v>
      </c>
      <c r="O35" s="402">
        <f t="shared" si="6"/>
        <v>-1.7751479289944794E-2</v>
      </c>
      <c r="P35" s="52"/>
      <c r="Q35" s="420">
        <f>'Proposed Rates'!$K$249*Q$44+'Proposed Rates'!$K$250*Q$45+'Proposed Rates'!$K$251*Q$46</f>
        <v>0.12752000000000002</v>
      </c>
      <c r="R35" s="421">
        <f>$F$10*(1+Q$63)-$F$10</f>
        <v>33.199999999999818</v>
      </c>
      <c r="S35" s="400">
        <f t="shared" si="29"/>
        <v>4.2336639999999779</v>
      </c>
      <c r="T35" s="128"/>
      <c r="U35" s="401">
        <f t="shared" si="9"/>
        <v>0</v>
      </c>
      <c r="V35" s="402">
        <f t="shared" si="10"/>
        <v>0</v>
      </c>
      <c r="W35" s="52"/>
      <c r="X35" s="420">
        <f>'Proposed Rates'!$K$249*X$44+'Proposed Rates'!$K$250*X$45+'Proposed Rates'!$K$251*X$46</f>
        <v>0.12752000000000002</v>
      </c>
      <c r="Y35" s="421">
        <f>$F$10*(1+X$63)-$F$10</f>
        <v>33.199999999999818</v>
      </c>
      <c r="Z35" s="400">
        <f t="shared" si="31"/>
        <v>4.2336639999999779</v>
      </c>
      <c r="AA35" s="128"/>
      <c r="AB35" s="401">
        <f t="shared" si="13"/>
        <v>0</v>
      </c>
      <c r="AC35" s="402">
        <f t="shared" si="14"/>
        <v>0</v>
      </c>
      <c r="AD35" s="52"/>
      <c r="AE35" s="420">
        <f>'Proposed Rates'!$K$249*AE$44+'Proposed Rates'!$K$250*AE$45+'Proposed Rates'!$K$251*AE$46</f>
        <v>0.12752000000000002</v>
      </c>
      <c r="AF35" s="421">
        <f>$F$10*(1+AE$63)-$F$10</f>
        <v>33.199999999999818</v>
      </c>
      <c r="AG35" s="400">
        <f t="shared" si="33"/>
        <v>4.2336639999999779</v>
      </c>
      <c r="AH35" s="128"/>
      <c r="AI35" s="401">
        <f t="shared" si="17"/>
        <v>0</v>
      </c>
      <c r="AJ35" s="402">
        <f t="shared" si="18"/>
        <v>0</v>
      </c>
      <c r="AK35" s="52"/>
      <c r="AL35" s="420">
        <f>'Proposed Rates'!$K$249*AL$44+'Proposed Rates'!$K$250*AL$45+'Proposed Rates'!$K$251*AL$46</f>
        <v>0.12752000000000002</v>
      </c>
      <c r="AM35" s="421">
        <f>$F$10*(1+AL$63)-$F$10</f>
        <v>33.199999999999818</v>
      </c>
      <c r="AN35" s="400">
        <f t="shared" si="35"/>
        <v>4.2336639999999779</v>
      </c>
      <c r="AO35" s="128"/>
      <c r="AP35" s="401">
        <f t="shared" si="21"/>
        <v>0</v>
      </c>
      <c r="AQ35" s="402">
        <f t="shared" si="22"/>
        <v>0</v>
      </c>
      <c r="AR35" s="403"/>
    </row>
    <row r="36" spans="1:4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16">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row>
    <row r="37" spans="1:44" ht="12.75" customHeight="1">
      <c r="A37" s="52"/>
      <c r="B37" s="405" t="s">
        <v>313</v>
      </c>
      <c r="C37" s="422"/>
      <c r="D37" s="422"/>
      <c r="E37" s="422"/>
      <c r="F37" s="423"/>
      <c r="G37" s="424"/>
      <c r="H37" s="409">
        <f>SUM(H30:H36)+H29</f>
        <v>39.291865999999992</v>
      </c>
      <c r="I37" s="425"/>
      <c r="J37" s="423"/>
      <c r="K37" s="424"/>
      <c r="L37" s="409">
        <f>SUM(L30:L36)+L29</f>
        <v>45.015987999999979</v>
      </c>
      <c r="M37" s="425"/>
      <c r="N37" s="411">
        <f t="shared" si="5"/>
        <v>5.7241219999999871</v>
      </c>
      <c r="O37" s="412">
        <f t="shared" si="6"/>
        <v>0.1456821114069764</v>
      </c>
      <c r="P37" s="52"/>
      <c r="Q37" s="423"/>
      <c r="R37" s="424"/>
      <c r="S37" s="409">
        <f>SUM(S30:S36)+S29</f>
        <v>48.855987999999982</v>
      </c>
      <c r="T37" s="425"/>
      <c r="U37" s="411">
        <f t="shared" si="9"/>
        <v>3.8400000000000034</v>
      </c>
      <c r="V37" s="412">
        <f t="shared" si="10"/>
        <v>8.5303026115965852E-2</v>
      </c>
      <c r="W37" s="52"/>
      <c r="X37" s="423"/>
      <c r="Y37" s="424"/>
      <c r="Z37" s="409">
        <f>SUM(Z30:Z36)+Z29</f>
        <v>52.816319999999976</v>
      </c>
      <c r="AA37" s="425"/>
      <c r="AB37" s="411">
        <f t="shared" si="13"/>
        <v>3.960331999999994</v>
      </c>
      <c r="AC37" s="412">
        <f t="shared" si="14"/>
        <v>8.1061342982153908E-2</v>
      </c>
      <c r="AD37" s="52"/>
      <c r="AE37" s="423"/>
      <c r="AF37" s="424"/>
      <c r="AG37" s="409">
        <f>SUM(AG30:AG36)+AG29</f>
        <v>55.90631999999998</v>
      </c>
      <c r="AH37" s="425"/>
      <c r="AI37" s="411">
        <f t="shared" si="17"/>
        <v>3.0900000000000034</v>
      </c>
      <c r="AJ37" s="412">
        <f t="shared" si="18"/>
        <v>5.8504644019121456E-2</v>
      </c>
      <c r="AK37" s="52"/>
      <c r="AL37" s="423"/>
      <c r="AM37" s="424"/>
      <c r="AN37" s="409">
        <f>SUM(AN30:AN36)+AN29</f>
        <v>58.836319999999979</v>
      </c>
      <c r="AO37" s="425"/>
      <c r="AP37" s="411">
        <f t="shared" si="21"/>
        <v>2.9299999999999997</v>
      </c>
      <c r="AQ37" s="412">
        <f t="shared" si="22"/>
        <v>5.2409101511242395E-2</v>
      </c>
      <c r="AR37" s="413"/>
    </row>
    <row r="38" spans="1:44" ht="12.75"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1033.8</v>
      </c>
      <c r="H38" s="400">
        <f t="shared" ref="H38:H39" si="38">G38*F38</f>
        <v>13.025879999999999</v>
      </c>
      <c r="I38" s="128"/>
      <c r="J38" s="414">
        <f>IFERROR(VLOOKUP($C38,'Proposed Rates'!$B:$J,J$11,FALSE),0)</f>
        <v>1.38E-2</v>
      </c>
      <c r="K38" s="419">
        <f t="shared" ref="K38:K39" si="39">$F$10*(1+J$63)</f>
        <v>1033.1999999999998</v>
      </c>
      <c r="L38" s="400">
        <f t="shared" ref="L38:L39" si="40">K38*J38</f>
        <v>14.258159999999997</v>
      </c>
      <c r="M38" s="128"/>
      <c r="N38" s="401">
        <f t="shared" si="5"/>
        <v>1.2322799999999976</v>
      </c>
      <c r="O38" s="402">
        <f t="shared" si="6"/>
        <v>9.4602437608821643E-2</v>
      </c>
      <c r="P38" s="52"/>
      <c r="Q38" s="414">
        <f>IFERROR(VLOOKUP($C38,'Proposed Rates'!$B:$J,Q$11,FALSE),0)</f>
        <v>1.38E-2</v>
      </c>
      <c r="R38" s="419">
        <f t="shared" ref="R38:R39" si="41">$F$10*(1+Q$63)</f>
        <v>1033.1999999999998</v>
      </c>
      <c r="S38" s="400">
        <f t="shared" ref="S38:S39" si="42">R38*Q38</f>
        <v>14.258159999999997</v>
      </c>
      <c r="T38" s="128"/>
      <c r="U38" s="401">
        <f t="shared" si="9"/>
        <v>0</v>
      </c>
      <c r="V38" s="402">
        <f t="shared" si="10"/>
        <v>0</v>
      </c>
      <c r="W38" s="52"/>
      <c r="X38" s="414">
        <f>IFERROR(VLOOKUP($C38,'Proposed Rates'!$B:$J,X$11,FALSE),0)</f>
        <v>1.38E-2</v>
      </c>
      <c r="Y38" s="419">
        <f t="shared" ref="Y38:Y39" si="43">$F$10*(1+X$63)</f>
        <v>1033.1999999999998</v>
      </c>
      <c r="Z38" s="400">
        <f t="shared" ref="Z38:Z39" si="44">Y38*X38</f>
        <v>14.258159999999997</v>
      </c>
      <c r="AA38" s="128"/>
      <c r="AB38" s="401">
        <f t="shared" si="13"/>
        <v>0</v>
      </c>
      <c r="AC38" s="402">
        <f t="shared" si="14"/>
        <v>0</v>
      </c>
      <c r="AD38" s="52"/>
      <c r="AE38" s="414">
        <f>IFERROR(VLOOKUP($C38,'Proposed Rates'!$B:$J,AE$11,FALSE),0)</f>
        <v>1.38E-2</v>
      </c>
      <c r="AF38" s="419">
        <f t="shared" ref="AF38:AF39" si="45">$F$10*(1+AE$63)</f>
        <v>1033.1999999999998</v>
      </c>
      <c r="AG38" s="400">
        <f t="shared" ref="AG38:AG39" si="46">AF38*AE38</f>
        <v>14.258159999999997</v>
      </c>
      <c r="AH38" s="128"/>
      <c r="AI38" s="401">
        <f t="shared" si="17"/>
        <v>0</v>
      </c>
      <c r="AJ38" s="402">
        <f t="shared" si="18"/>
        <v>0</v>
      </c>
      <c r="AK38" s="52"/>
      <c r="AL38" s="414">
        <f>IFERROR(VLOOKUP($C38,'Proposed Rates'!$B:$J,AL$11,FALSE),0)</f>
        <v>1.38E-2</v>
      </c>
      <c r="AM38" s="419">
        <f t="shared" ref="AM38:AM39" si="47">$F$10*(1+AL$63)</f>
        <v>1033.1999999999998</v>
      </c>
      <c r="AN38" s="400">
        <f t="shared" ref="AN38:AN39" si="48">AM38*AL38</f>
        <v>14.258159999999997</v>
      </c>
      <c r="AO38" s="128"/>
      <c r="AP38" s="401">
        <f t="shared" si="21"/>
        <v>0</v>
      </c>
      <c r="AQ38" s="402">
        <f t="shared" si="22"/>
        <v>0</v>
      </c>
      <c r="AR38" s="403"/>
    </row>
    <row r="39" spans="1:44" ht="12.75" customHeight="1">
      <c r="A39" s="52"/>
      <c r="B39" s="128" t="s">
        <v>256</v>
      </c>
      <c r="C39" s="395" t="str">
        <f t="shared" si="36"/>
        <v>Residential.RTSR - Line and Transformation Connection</v>
      </c>
      <c r="D39" s="426" t="s">
        <v>308</v>
      </c>
      <c r="E39" s="128"/>
      <c r="F39" s="414">
        <f>IFERROR(VLOOKUP($C39,'Proposed Rates'!$B:$J,F$11,FALSE),0)</f>
        <v>7.1999999999999998E-3</v>
      </c>
      <c r="G39" s="419">
        <f t="shared" si="37"/>
        <v>1033.8</v>
      </c>
      <c r="H39" s="400">
        <f t="shared" si="38"/>
        <v>7.4433599999999993</v>
      </c>
      <c r="I39" s="128"/>
      <c r="J39" s="414">
        <f>IFERROR(VLOOKUP($C39,'Proposed Rates'!$B:$J,J$11,FALSE),0)</f>
        <v>7.7999999999999996E-3</v>
      </c>
      <c r="K39" s="419">
        <f t="shared" si="39"/>
        <v>1033.1999999999998</v>
      </c>
      <c r="L39" s="400">
        <f t="shared" si="40"/>
        <v>8.058959999999999</v>
      </c>
      <c r="M39" s="128"/>
      <c r="N39" s="401">
        <f t="shared" si="5"/>
        <v>0.6155999999999997</v>
      </c>
      <c r="O39" s="402">
        <f t="shared" si="6"/>
        <v>8.2704585026117203E-2</v>
      </c>
      <c r="P39" s="52"/>
      <c r="Q39" s="414">
        <f>IFERROR(VLOOKUP($C39,'Proposed Rates'!$B:$J,Q$11,FALSE),0)</f>
        <v>7.7999999999999996E-3</v>
      </c>
      <c r="R39" s="419">
        <f t="shared" si="41"/>
        <v>1033.1999999999998</v>
      </c>
      <c r="S39" s="400">
        <f t="shared" si="42"/>
        <v>8.058959999999999</v>
      </c>
      <c r="T39" s="128"/>
      <c r="U39" s="401">
        <f t="shared" si="9"/>
        <v>0</v>
      </c>
      <c r="V39" s="402">
        <f t="shared" si="10"/>
        <v>0</v>
      </c>
      <c r="W39" s="52"/>
      <c r="X39" s="414">
        <f>IFERROR(VLOOKUP($C39,'Proposed Rates'!$B:$J,X$11,FALSE),0)</f>
        <v>7.7999999999999996E-3</v>
      </c>
      <c r="Y39" s="419">
        <f t="shared" si="43"/>
        <v>1033.1999999999998</v>
      </c>
      <c r="Z39" s="400">
        <f t="shared" si="44"/>
        <v>8.058959999999999</v>
      </c>
      <c r="AA39" s="128"/>
      <c r="AB39" s="401">
        <f t="shared" si="13"/>
        <v>0</v>
      </c>
      <c r="AC39" s="402">
        <f t="shared" si="14"/>
        <v>0</v>
      </c>
      <c r="AD39" s="52"/>
      <c r="AE39" s="414">
        <f>IFERROR(VLOOKUP($C39,'Proposed Rates'!$B:$J,AE$11,FALSE),0)</f>
        <v>7.7999999999999996E-3</v>
      </c>
      <c r="AF39" s="419">
        <f t="shared" si="45"/>
        <v>1033.1999999999998</v>
      </c>
      <c r="AG39" s="400">
        <f t="shared" si="46"/>
        <v>8.058959999999999</v>
      </c>
      <c r="AH39" s="128"/>
      <c r="AI39" s="401">
        <f t="shared" si="17"/>
        <v>0</v>
      </c>
      <c r="AJ39" s="402">
        <f t="shared" si="18"/>
        <v>0</v>
      </c>
      <c r="AK39" s="52"/>
      <c r="AL39" s="414">
        <f>IFERROR(VLOOKUP($C39,'Proposed Rates'!$B:$J,AL$11,FALSE),0)</f>
        <v>7.7999999999999996E-3</v>
      </c>
      <c r="AM39" s="419">
        <f t="shared" si="47"/>
        <v>1033.1999999999998</v>
      </c>
      <c r="AN39" s="400">
        <f t="shared" si="48"/>
        <v>8.058959999999999</v>
      </c>
      <c r="AO39" s="128"/>
      <c r="AP39" s="401">
        <f t="shared" si="21"/>
        <v>0</v>
      </c>
      <c r="AQ39" s="402">
        <f t="shared" si="22"/>
        <v>0</v>
      </c>
      <c r="AR39" s="403"/>
    </row>
    <row r="40" spans="1:44" ht="12.75" customHeight="1">
      <c r="A40" s="52"/>
      <c r="B40" s="405" t="s">
        <v>314</v>
      </c>
      <c r="C40" s="427"/>
      <c r="D40" s="427"/>
      <c r="E40" s="427"/>
      <c r="F40" s="428"/>
      <c r="G40" s="429"/>
      <c r="H40" s="409">
        <f>SUM(H37:H39)</f>
        <v>59.761105999999991</v>
      </c>
      <c r="I40" s="410"/>
      <c r="J40" s="428"/>
      <c r="K40" s="429"/>
      <c r="L40" s="409">
        <f>SUM(L37:L39)</f>
        <v>67.333107999999982</v>
      </c>
      <c r="M40" s="410"/>
      <c r="N40" s="411">
        <f t="shared" si="5"/>
        <v>7.5720019999999906</v>
      </c>
      <c r="O40" s="412">
        <f t="shared" si="6"/>
        <v>0.12670451580999842</v>
      </c>
      <c r="P40" s="52"/>
      <c r="Q40" s="428"/>
      <c r="R40" s="429"/>
      <c r="S40" s="409">
        <f>SUM(S37:S39)</f>
        <v>71.173107999999985</v>
      </c>
      <c r="T40" s="410"/>
      <c r="U40" s="411">
        <f t="shared" si="9"/>
        <v>3.8400000000000034</v>
      </c>
      <c r="V40" s="412">
        <f t="shared" si="10"/>
        <v>5.7029893822813059E-2</v>
      </c>
      <c r="W40" s="52"/>
      <c r="X40" s="428"/>
      <c r="Y40" s="429"/>
      <c r="Z40" s="409">
        <f>SUM(Z37:Z39)</f>
        <v>75.133439999999965</v>
      </c>
      <c r="AA40" s="410"/>
      <c r="AB40" s="411">
        <f t="shared" si="13"/>
        <v>3.9603319999999798</v>
      </c>
      <c r="AC40" s="412">
        <f t="shared" si="14"/>
        <v>5.5643656871075246E-2</v>
      </c>
      <c r="AD40" s="52"/>
      <c r="AE40" s="428"/>
      <c r="AF40" s="429"/>
      <c r="AG40" s="409">
        <f>SUM(AG37:AG39)</f>
        <v>78.223439999999968</v>
      </c>
      <c r="AH40" s="410"/>
      <c r="AI40" s="411">
        <f t="shared" si="17"/>
        <v>3.0900000000000034</v>
      </c>
      <c r="AJ40" s="412">
        <f t="shared" si="18"/>
        <v>4.1126827149136319E-2</v>
      </c>
      <c r="AK40" s="52"/>
      <c r="AL40" s="428"/>
      <c r="AM40" s="429"/>
      <c r="AN40" s="409">
        <f>SUM(AN37:AN39)</f>
        <v>81.153439999999975</v>
      </c>
      <c r="AO40" s="410"/>
      <c r="AP40" s="411">
        <f t="shared" si="21"/>
        <v>2.9300000000000068</v>
      </c>
      <c r="AQ40" s="412">
        <f t="shared" si="22"/>
        <v>3.7456803229313461E-2</v>
      </c>
      <c r="AR40" s="413"/>
    </row>
    <row r="41" spans="1:44" ht="12.75" customHeight="1">
      <c r="A41" s="52"/>
      <c r="B41" s="320" t="s">
        <v>257</v>
      </c>
      <c r="C41" s="395" t="str">
        <f t="shared" ref="C41:C48" si="49">D$6&amp;"."&amp;B41</f>
        <v>Residential.Wholesale Market Service Charge (WMSC)</v>
      </c>
      <c r="D41" s="396" t="s">
        <v>308</v>
      </c>
      <c r="E41" s="320"/>
      <c r="F41" s="414">
        <f>IFERROR(VLOOKUP($C41,'Proposed Rates'!$B:$J,F$11,FALSE),0)</f>
        <v>4.4999999999999997E-3</v>
      </c>
      <c r="G41" s="419">
        <f t="shared" ref="G41:G42" si="50">$F$10*(1+F$63)</f>
        <v>1033.8</v>
      </c>
      <c r="H41" s="400">
        <f t="shared" ref="H41:H48" si="51">G41*F41</f>
        <v>4.652099999999999</v>
      </c>
      <c r="I41" s="128"/>
      <c r="J41" s="414">
        <f>IFERROR(VLOOKUP($C41,'Proposed Rates'!$B:$J,J$11,FALSE),0)</f>
        <v>4.4999999999999997E-3</v>
      </c>
      <c r="K41" s="419">
        <f t="shared" ref="K41:K42" si="52">$F$10*(1+J$63)</f>
        <v>1033.1999999999998</v>
      </c>
      <c r="L41" s="400">
        <f t="shared" ref="L41:L48" si="53">K41*J41</f>
        <v>4.6493999999999991</v>
      </c>
      <c r="M41" s="128"/>
      <c r="N41" s="401">
        <f t="shared" si="5"/>
        <v>-2.6999999999999247E-3</v>
      </c>
      <c r="O41" s="402">
        <f t="shared" si="6"/>
        <v>-5.8038305281484176E-4</v>
      </c>
      <c r="P41" s="52"/>
      <c r="Q41" s="414">
        <f>IFERROR(VLOOKUP($C41,'Proposed Rates'!$B:$J,Q$11,FALSE),0)</f>
        <v>4.4999999999999997E-3</v>
      </c>
      <c r="R41" s="419">
        <f t="shared" ref="R41:R42" si="54">$F$10*(1+Q$63)</f>
        <v>1033.1999999999998</v>
      </c>
      <c r="S41" s="400">
        <f t="shared" ref="S41:S48" si="55">R41*Q41</f>
        <v>4.6493999999999991</v>
      </c>
      <c r="T41" s="128"/>
      <c r="U41" s="401">
        <f t="shared" si="9"/>
        <v>0</v>
      </c>
      <c r="V41" s="402">
        <f t="shared" si="10"/>
        <v>0</v>
      </c>
      <c r="W41" s="52"/>
      <c r="X41" s="414">
        <f>IFERROR(VLOOKUP($C41,'Proposed Rates'!$B:$J,X$11,FALSE),0)</f>
        <v>4.4999999999999997E-3</v>
      </c>
      <c r="Y41" s="419">
        <f t="shared" ref="Y41:Y42" si="56">$F$10*(1+X$63)</f>
        <v>1033.1999999999998</v>
      </c>
      <c r="Z41" s="400">
        <f t="shared" ref="Z41:Z48" si="57">Y41*X41</f>
        <v>4.6493999999999991</v>
      </c>
      <c r="AA41" s="128"/>
      <c r="AB41" s="401">
        <f t="shared" si="13"/>
        <v>0</v>
      </c>
      <c r="AC41" s="402">
        <f t="shared" si="14"/>
        <v>0</v>
      </c>
      <c r="AD41" s="52"/>
      <c r="AE41" s="414">
        <f>IFERROR(VLOOKUP($C41,'Proposed Rates'!$B:$J,AE$11,FALSE),0)</f>
        <v>4.4999999999999997E-3</v>
      </c>
      <c r="AF41" s="419">
        <f t="shared" ref="AF41:AF42" si="58">$F$10*(1+AE$63)</f>
        <v>1033.1999999999998</v>
      </c>
      <c r="AG41" s="400">
        <f t="shared" ref="AG41:AG48" si="59">AF41*AE41</f>
        <v>4.6493999999999991</v>
      </c>
      <c r="AH41" s="128"/>
      <c r="AI41" s="401">
        <f t="shared" si="17"/>
        <v>0</v>
      </c>
      <c r="AJ41" s="402">
        <f t="shared" si="18"/>
        <v>0</v>
      </c>
      <c r="AK41" s="52"/>
      <c r="AL41" s="414">
        <f>IFERROR(VLOOKUP($C41,'Proposed Rates'!$B:$J,AL$11,FALSE),0)</f>
        <v>4.4999999999999997E-3</v>
      </c>
      <c r="AM41" s="419">
        <f t="shared" ref="AM41:AM42" si="60">$F$10*(1+AL$63)</f>
        <v>1033.1999999999998</v>
      </c>
      <c r="AN41" s="400">
        <f t="shared" ref="AN41:AN48" si="61">AM41*AL41</f>
        <v>4.6493999999999991</v>
      </c>
      <c r="AO41" s="128"/>
      <c r="AP41" s="401">
        <f t="shared" si="21"/>
        <v>0</v>
      </c>
      <c r="AQ41" s="402">
        <f t="shared" si="22"/>
        <v>0</v>
      </c>
      <c r="AR41" s="403"/>
    </row>
    <row r="42" spans="1:44" ht="12.75" customHeight="1">
      <c r="A42" s="52"/>
      <c r="B42" s="320" t="s">
        <v>258</v>
      </c>
      <c r="C42" s="395" t="str">
        <f t="shared" si="49"/>
        <v>Residential.Rural and Remote Rate Protection (RRRP)</v>
      </c>
      <c r="D42" s="396" t="s">
        <v>308</v>
      </c>
      <c r="E42" s="320"/>
      <c r="F42" s="414">
        <f>IFERROR(VLOOKUP($C42,'Proposed Rates'!$B:$J,F$11,FALSE),0)</f>
        <v>1.5E-3</v>
      </c>
      <c r="G42" s="419">
        <f t="shared" si="50"/>
        <v>1033.8</v>
      </c>
      <c r="H42" s="400">
        <f t="shared" si="51"/>
        <v>1.5507</v>
      </c>
      <c r="I42" s="128"/>
      <c r="J42" s="414">
        <f>IFERROR(VLOOKUP($C42,'Proposed Rates'!$B:$J,J$11,FALSE),0)</f>
        <v>1.5E-3</v>
      </c>
      <c r="K42" s="419">
        <f t="shared" si="52"/>
        <v>1033.1999999999998</v>
      </c>
      <c r="L42" s="400">
        <f t="shared" si="53"/>
        <v>1.5497999999999998</v>
      </c>
      <c r="M42" s="128"/>
      <c r="N42" s="401">
        <f t="shared" si="5"/>
        <v>-9.0000000000012292E-4</v>
      </c>
      <c r="O42" s="402">
        <f t="shared" si="6"/>
        <v>-5.8038305281493706E-4</v>
      </c>
      <c r="P42" s="52"/>
      <c r="Q42" s="414">
        <f>IFERROR(VLOOKUP($C42,'Proposed Rates'!$B:$J,Q$11,FALSE),0)</f>
        <v>1.5E-3</v>
      </c>
      <c r="R42" s="419">
        <f t="shared" si="54"/>
        <v>1033.1999999999998</v>
      </c>
      <c r="S42" s="400">
        <f t="shared" si="55"/>
        <v>1.5497999999999998</v>
      </c>
      <c r="T42" s="128"/>
      <c r="U42" s="401">
        <f t="shared" si="9"/>
        <v>0</v>
      </c>
      <c r="V42" s="402">
        <f t="shared" si="10"/>
        <v>0</v>
      </c>
      <c r="W42" s="52"/>
      <c r="X42" s="414">
        <f>IFERROR(VLOOKUP($C42,'Proposed Rates'!$B:$J,X$11,FALSE),0)</f>
        <v>1.5E-3</v>
      </c>
      <c r="Y42" s="419">
        <f t="shared" si="56"/>
        <v>1033.1999999999998</v>
      </c>
      <c r="Z42" s="400">
        <f t="shared" si="57"/>
        <v>1.5497999999999998</v>
      </c>
      <c r="AA42" s="128"/>
      <c r="AB42" s="401">
        <f t="shared" si="13"/>
        <v>0</v>
      </c>
      <c r="AC42" s="402">
        <f t="shared" si="14"/>
        <v>0</v>
      </c>
      <c r="AD42" s="52"/>
      <c r="AE42" s="414">
        <f>IFERROR(VLOOKUP($C42,'Proposed Rates'!$B:$J,AE$11,FALSE),0)</f>
        <v>1.5E-3</v>
      </c>
      <c r="AF42" s="419">
        <f t="shared" si="58"/>
        <v>1033.1999999999998</v>
      </c>
      <c r="AG42" s="400">
        <f t="shared" si="59"/>
        <v>1.5497999999999998</v>
      </c>
      <c r="AH42" s="128"/>
      <c r="AI42" s="401">
        <f t="shared" si="17"/>
        <v>0</v>
      </c>
      <c r="AJ42" s="402">
        <f t="shared" si="18"/>
        <v>0</v>
      </c>
      <c r="AK42" s="52"/>
      <c r="AL42" s="414">
        <f>IFERROR(VLOOKUP($C42,'Proposed Rates'!$B:$J,AL$11,FALSE),0)</f>
        <v>1.5E-3</v>
      </c>
      <c r="AM42" s="419">
        <f t="shared" si="60"/>
        <v>1033.1999999999998</v>
      </c>
      <c r="AN42" s="400">
        <f t="shared" si="61"/>
        <v>1.5497999999999998</v>
      </c>
      <c r="AO42" s="128"/>
      <c r="AP42" s="401">
        <f t="shared" si="21"/>
        <v>0</v>
      </c>
      <c r="AQ42" s="402">
        <f t="shared" si="22"/>
        <v>0</v>
      </c>
      <c r="AR42" s="403"/>
    </row>
    <row r="43" spans="1:44" ht="12.75" customHeight="1">
      <c r="A43" s="52"/>
      <c r="B43" s="320" t="s">
        <v>260</v>
      </c>
      <c r="C43" s="395" t="str">
        <f t="shared" si="49"/>
        <v>Residential.Standard Supply Service Charge</v>
      </c>
      <c r="D43" s="396" t="s">
        <v>306</v>
      </c>
      <c r="E43" s="320"/>
      <c r="F43" s="414">
        <f>IFERROR(VLOOKUP($C43,'Proposed Rates'!$B:$J,F$11,FALSE),0)</f>
        <v>0.25</v>
      </c>
      <c r="G43" s="415">
        <f>IF($D43="Monthly",1,IF($D43="per KWH",$F$10,0))</f>
        <v>1</v>
      </c>
      <c r="H43" s="400">
        <f t="shared" si="51"/>
        <v>0.25</v>
      </c>
      <c r="I43" s="128"/>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1"/>
        <v>1.63</v>
      </c>
      <c r="AO43" s="128"/>
      <c r="AP43" s="401">
        <f t="shared" si="21"/>
        <v>2.9999999999999805E-2</v>
      </c>
      <c r="AQ43" s="402">
        <f t="shared" si="22"/>
        <v>1.8749999999999878E-2</v>
      </c>
      <c r="AR43" s="403"/>
    </row>
    <row r="44" spans="1:44" ht="12.75" customHeight="1">
      <c r="A44" s="52"/>
      <c r="B44" s="320" t="s">
        <v>262</v>
      </c>
      <c r="C44" s="395" t="str">
        <f t="shared" si="49"/>
        <v>Residential.TOU - Off Peak</v>
      </c>
      <c r="D44" s="396" t="s">
        <v>308</v>
      </c>
      <c r="E44" s="320"/>
      <c r="F44" s="430">
        <f>VLOOKUP($B44,'Proposed Rates'!$D$248:$J$254,+F$11-2,FALSE)</f>
        <v>9.8000000000000004E-2</v>
      </c>
      <c r="G44" s="421">
        <f>$F$10*'Proposed Rates'!$K$249</f>
        <v>640</v>
      </c>
      <c r="H44" s="400">
        <f t="shared" si="51"/>
        <v>62.72</v>
      </c>
      <c r="I44" s="128"/>
      <c r="J44" s="430">
        <f>VLOOKUP($B44,'Proposed Rates'!$D$248:$J$254,+J$11-2,FALSE)</f>
        <v>9.8000000000000004E-2</v>
      </c>
      <c r="K44" s="421">
        <f>$F$10*'Proposed Rates'!$K$249</f>
        <v>640</v>
      </c>
      <c r="L44" s="400">
        <f t="shared" si="53"/>
        <v>62.72</v>
      </c>
      <c r="M44" s="128"/>
      <c r="N44" s="401">
        <f t="shared" si="5"/>
        <v>0</v>
      </c>
      <c r="O44" s="402">
        <f t="shared" si="6"/>
        <v>0</v>
      </c>
      <c r="P44" s="52"/>
      <c r="Q44" s="430">
        <f>VLOOKUP($B44,'Proposed Rates'!$D$248:$J$254,+Q$11-2,FALSE)</f>
        <v>9.8000000000000004E-2</v>
      </c>
      <c r="R44" s="421">
        <f>$F$10*'Proposed Rates'!$K$249</f>
        <v>640</v>
      </c>
      <c r="S44" s="400">
        <f t="shared" si="55"/>
        <v>62.72</v>
      </c>
      <c r="T44" s="128"/>
      <c r="U44" s="401">
        <f t="shared" si="9"/>
        <v>0</v>
      </c>
      <c r="V44" s="402">
        <f t="shared" si="10"/>
        <v>0</v>
      </c>
      <c r="W44" s="52"/>
      <c r="X44" s="430">
        <f>VLOOKUP($B44,'Proposed Rates'!$D$248:$J$254,+X$11-2,FALSE)</f>
        <v>9.8000000000000004E-2</v>
      </c>
      <c r="Y44" s="421">
        <f>$F$10*'Proposed Rates'!$K$249</f>
        <v>640</v>
      </c>
      <c r="Z44" s="400">
        <f t="shared" si="57"/>
        <v>62.72</v>
      </c>
      <c r="AA44" s="128"/>
      <c r="AB44" s="401">
        <f t="shared" si="13"/>
        <v>0</v>
      </c>
      <c r="AC44" s="402">
        <f t="shared" si="14"/>
        <v>0</v>
      </c>
      <c r="AD44" s="52"/>
      <c r="AE44" s="430">
        <f>VLOOKUP($B44,'Proposed Rates'!$D$248:$J$254,+AE$11-2,FALSE)</f>
        <v>9.8000000000000004E-2</v>
      </c>
      <c r="AF44" s="421">
        <f>$F$10*'Proposed Rates'!$K$249</f>
        <v>640</v>
      </c>
      <c r="AG44" s="400">
        <f t="shared" si="59"/>
        <v>62.72</v>
      </c>
      <c r="AH44" s="128"/>
      <c r="AI44" s="401">
        <f t="shared" si="17"/>
        <v>0</v>
      </c>
      <c r="AJ44" s="402">
        <f t="shared" si="18"/>
        <v>0</v>
      </c>
      <c r="AK44" s="52"/>
      <c r="AL44" s="430">
        <f>VLOOKUP($B44,'Proposed Rates'!$D$248:$J$254,+AL$11-2,FALSE)</f>
        <v>9.8000000000000004E-2</v>
      </c>
      <c r="AM44" s="421">
        <f>$F$10*'Proposed Rates'!$K$249</f>
        <v>640</v>
      </c>
      <c r="AN44" s="400">
        <f t="shared" si="61"/>
        <v>62.72</v>
      </c>
      <c r="AO44" s="128"/>
      <c r="AP44" s="401">
        <f t="shared" si="21"/>
        <v>0</v>
      </c>
      <c r="AQ44" s="402">
        <f t="shared" si="22"/>
        <v>0</v>
      </c>
      <c r="AR44" s="403"/>
    </row>
    <row r="45" spans="1:44" ht="12.75" customHeight="1">
      <c r="A45" s="52"/>
      <c r="B45" s="320" t="s">
        <v>263</v>
      </c>
      <c r="C45" s="395" t="str">
        <f t="shared" si="49"/>
        <v>Residential.TOU - Mid Peak</v>
      </c>
      <c r="D45" s="396" t="s">
        <v>308</v>
      </c>
      <c r="E45" s="320"/>
      <c r="F45" s="430">
        <f>VLOOKUP($B45,'Proposed Rates'!$D$248:$J$254,+F$11-2,FALSE)</f>
        <v>0.157</v>
      </c>
      <c r="G45" s="421">
        <f>$F$10*'Proposed Rates'!$K$250</f>
        <v>180</v>
      </c>
      <c r="H45" s="400">
        <f t="shared" si="51"/>
        <v>28.26</v>
      </c>
      <c r="I45" s="128"/>
      <c r="J45" s="430">
        <f>VLOOKUP($B45,'Proposed Rates'!$D$248:$J$254,+J$11-2,FALSE)</f>
        <v>0.157</v>
      </c>
      <c r="K45" s="421">
        <f>$F$10*'Proposed Rates'!$K$250</f>
        <v>180</v>
      </c>
      <c r="L45" s="400">
        <f t="shared" si="53"/>
        <v>28.26</v>
      </c>
      <c r="M45" s="128"/>
      <c r="N45" s="401">
        <f t="shared" si="5"/>
        <v>0</v>
      </c>
      <c r="O45" s="402">
        <f t="shared" si="6"/>
        <v>0</v>
      </c>
      <c r="P45" s="52"/>
      <c r="Q45" s="430">
        <f>VLOOKUP($B45,'Proposed Rates'!$D$248:$J$254,+Q$11-2,FALSE)</f>
        <v>0.157</v>
      </c>
      <c r="R45" s="421">
        <f>$F$10*'Proposed Rates'!$K$250</f>
        <v>180</v>
      </c>
      <c r="S45" s="400">
        <f t="shared" si="55"/>
        <v>28.26</v>
      </c>
      <c r="T45" s="128"/>
      <c r="U45" s="401">
        <f t="shared" si="9"/>
        <v>0</v>
      </c>
      <c r="V45" s="402">
        <f t="shared" si="10"/>
        <v>0</v>
      </c>
      <c r="W45" s="52"/>
      <c r="X45" s="430">
        <f>VLOOKUP($B45,'Proposed Rates'!$D$248:$J$254,+X$11-2,FALSE)</f>
        <v>0.157</v>
      </c>
      <c r="Y45" s="421">
        <f>$F$10*'Proposed Rates'!$K$250</f>
        <v>180</v>
      </c>
      <c r="Z45" s="400">
        <f t="shared" si="57"/>
        <v>28.26</v>
      </c>
      <c r="AA45" s="128"/>
      <c r="AB45" s="401">
        <f t="shared" si="13"/>
        <v>0</v>
      </c>
      <c r="AC45" s="402">
        <f t="shared" si="14"/>
        <v>0</v>
      </c>
      <c r="AD45" s="52"/>
      <c r="AE45" s="430">
        <f>VLOOKUP($B45,'Proposed Rates'!$D$248:$J$254,+AE$11-2,FALSE)</f>
        <v>0.157</v>
      </c>
      <c r="AF45" s="421">
        <f>$F$10*'Proposed Rates'!$K$250</f>
        <v>180</v>
      </c>
      <c r="AG45" s="400">
        <f t="shared" si="59"/>
        <v>28.26</v>
      </c>
      <c r="AH45" s="128"/>
      <c r="AI45" s="401">
        <f t="shared" si="17"/>
        <v>0</v>
      </c>
      <c r="AJ45" s="402">
        <f t="shared" si="18"/>
        <v>0</v>
      </c>
      <c r="AK45" s="52"/>
      <c r="AL45" s="430">
        <f>VLOOKUP($B45,'Proposed Rates'!$D$248:$J$254,+AL$11-2,FALSE)</f>
        <v>0.157</v>
      </c>
      <c r="AM45" s="421">
        <f>$F$10*'Proposed Rates'!$K$250</f>
        <v>180</v>
      </c>
      <c r="AN45" s="400">
        <f t="shared" si="61"/>
        <v>28.26</v>
      </c>
      <c r="AO45" s="128"/>
      <c r="AP45" s="401">
        <f t="shared" si="21"/>
        <v>0</v>
      </c>
      <c r="AQ45" s="402">
        <f t="shared" si="22"/>
        <v>0</v>
      </c>
      <c r="AR45" s="403"/>
    </row>
    <row r="46" spans="1:44" ht="12.75" customHeight="1">
      <c r="A46" s="52"/>
      <c r="B46" s="52" t="s">
        <v>264</v>
      </c>
      <c r="C46" s="395" t="str">
        <f t="shared" si="49"/>
        <v>Residential.TOU - On Peak</v>
      </c>
      <c r="D46" s="396" t="s">
        <v>308</v>
      </c>
      <c r="E46" s="320"/>
      <c r="F46" s="430">
        <f>VLOOKUP($B46,'Proposed Rates'!$D$248:$J$254,+F$11-2,FALSE)</f>
        <v>0.20300000000000001</v>
      </c>
      <c r="G46" s="421">
        <f>$F$10*'Proposed Rates'!$K$251</f>
        <v>180</v>
      </c>
      <c r="H46" s="400">
        <f t="shared" si="51"/>
        <v>36.54</v>
      </c>
      <c r="I46" s="128"/>
      <c r="J46" s="430">
        <f>VLOOKUP($B46,'Proposed Rates'!$D$248:$J$254,+J$11-2,FALSE)</f>
        <v>0.20300000000000001</v>
      </c>
      <c r="K46" s="421">
        <f>$F$10*'Proposed Rates'!$K$251</f>
        <v>180</v>
      </c>
      <c r="L46" s="400">
        <f t="shared" si="53"/>
        <v>36.54</v>
      </c>
      <c r="M46" s="128"/>
      <c r="N46" s="401">
        <f t="shared" si="5"/>
        <v>0</v>
      </c>
      <c r="O46" s="402">
        <f t="shared" si="6"/>
        <v>0</v>
      </c>
      <c r="P46" s="52"/>
      <c r="Q46" s="430">
        <f>VLOOKUP($B46,'Proposed Rates'!$D$248:$J$254,+Q$11-2,FALSE)</f>
        <v>0.20300000000000001</v>
      </c>
      <c r="R46" s="421">
        <f>$F$10*'Proposed Rates'!$K$251</f>
        <v>180</v>
      </c>
      <c r="S46" s="400">
        <f t="shared" si="55"/>
        <v>36.54</v>
      </c>
      <c r="T46" s="128"/>
      <c r="U46" s="401">
        <f t="shared" si="9"/>
        <v>0</v>
      </c>
      <c r="V46" s="402">
        <f t="shared" si="10"/>
        <v>0</v>
      </c>
      <c r="W46" s="52"/>
      <c r="X46" s="430">
        <f>VLOOKUP($B46,'Proposed Rates'!$D$248:$J$254,+X$11-2,FALSE)</f>
        <v>0.20300000000000001</v>
      </c>
      <c r="Y46" s="421">
        <f>$F$10*'Proposed Rates'!$K$251</f>
        <v>180</v>
      </c>
      <c r="Z46" s="400">
        <f t="shared" si="57"/>
        <v>36.54</v>
      </c>
      <c r="AA46" s="128"/>
      <c r="AB46" s="401">
        <f t="shared" si="13"/>
        <v>0</v>
      </c>
      <c r="AC46" s="402">
        <f t="shared" si="14"/>
        <v>0</v>
      </c>
      <c r="AD46" s="52"/>
      <c r="AE46" s="430">
        <f>VLOOKUP($B46,'Proposed Rates'!$D$248:$J$254,+AE$11-2,FALSE)</f>
        <v>0.20300000000000001</v>
      </c>
      <c r="AF46" s="421">
        <f>$F$10*'Proposed Rates'!$K$251</f>
        <v>180</v>
      </c>
      <c r="AG46" s="400">
        <f t="shared" si="59"/>
        <v>36.54</v>
      </c>
      <c r="AH46" s="128"/>
      <c r="AI46" s="401">
        <f t="shared" si="17"/>
        <v>0</v>
      </c>
      <c r="AJ46" s="402">
        <f t="shared" si="18"/>
        <v>0</v>
      </c>
      <c r="AK46" s="52"/>
      <c r="AL46" s="430">
        <f>VLOOKUP($B46,'Proposed Rates'!$D$248:$J$254,+AL$11-2,FALSE)</f>
        <v>0.20300000000000001</v>
      </c>
      <c r="AM46" s="421">
        <f>$F$10*'Proposed Rates'!$K$251</f>
        <v>180</v>
      </c>
      <c r="AN46" s="400">
        <f t="shared" si="61"/>
        <v>36.54</v>
      </c>
      <c r="AO46" s="128"/>
      <c r="AP46" s="401">
        <f t="shared" si="21"/>
        <v>0</v>
      </c>
      <c r="AQ46" s="402">
        <f t="shared" si="22"/>
        <v>0</v>
      </c>
      <c r="AR46" s="403"/>
    </row>
    <row r="47" spans="1:44" ht="12.75" customHeight="1">
      <c r="A47" s="52"/>
      <c r="B47" s="320" t="s">
        <v>265</v>
      </c>
      <c r="C47" s="395" t="str">
        <f t="shared" si="49"/>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1"/>
        <v>72</v>
      </c>
      <c r="I47" s="128"/>
      <c r="J47" s="430">
        <f>VLOOKUP($B47,'Proposed Rates'!$D$248:$J$254,+J$11-2,FALSE)</f>
        <v>0.12</v>
      </c>
      <c r="K47" s="431">
        <f>IF(AND($S$2=1, $F$10&gt;=600), 600, IF(AND($S$2=1, AND($F$10&lt;600, $F$10&gt;=0)), $F$10, IF(AND($S$2=2, $F$10&gt;=1000), 1000, IF(AND($S$2=2, AND($F$10&lt;1000, $F$10&gt;=0)), $F$10))))</f>
        <v>600</v>
      </c>
      <c r="L47" s="400">
        <f t="shared" si="53"/>
        <v>72</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600</v>
      </c>
      <c r="S47" s="400">
        <f t="shared" si="55"/>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7"/>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59"/>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1"/>
        <v>72</v>
      </c>
      <c r="AO47" s="128"/>
      <c r="AP47" s="401">
        <f t="shared" si="21"/>
        <v>0</v>
      </c>
      <c r="AQ47" s="402">
        <f t="shared" si="22"/>
        <v>0</v>
      </c>
      <c r="AR47" s="403"/>
    </row>
    <row r="48" spans="1:44" ht="12.75" customHeight="1">
      <c r="A48" s="52"/>
      <c r="B48" s="320" t="s">
        <v>266</v>
      </c>
      <c r="C48" s="395" t="str">
        <f t="shared" si="49"/>
        <v>Residential.Energy - RPP - Tier 2</v>
      </c>
      <c r="D48" s="396" t="s">
        <v>308</v>
      </c>
      <c r="E48" s="320"/>
      <c r="F48" s="430">
        <f>VLOOKUP($B48,'Proposed Rates'!$D$248:$J$254,+F$11-2,FALSE)</f>
        <v>0.14199999999999999</v>
      </c>
      <c r="G48" s="433">
        <f>IF(AND($S$2=1, $F$10&gt;=600), $F$10-600, IF(AND($S$2=1, AND($F$10&lt;600, $F$10&gt;=0)), 0, IF(AND($S$2=2, $F$10&gt;=1000), $F$10-1000, IF(AND($S$2=2, AND($F$10&lt;1000, $F$10&gt;=0)), 0))))</f>
        <v>400</v>
      </c>
      <c r="H48" s="400">
        <f t="shared" si="51"/>
        <v>56.8</v>
      </c>
      <c r="I48" s="128"/>
      <c r="J48" s="430">
        <f>VLOOKUP($B48,'Proposed Rates'!$D$248:$J$254,+J$11-2,FALSE)</f>
        <v>0.14199999999999999</v>
      </c>
      <c r="K48" s="433">
        <f>IF(AND($S$2=1, $F$10&gt;=600), $F$10-600, IF(AND($S$2=1, AND($F$10&lt;600, $F$10&gt;=0)), 0, IF(AND($S$2=2, $F$10&gt;=1000), $F$10-1000, IF(AND($S$2=2, AND($F$10&lt;1000, $F$10&gt;=0)), 0))))</f>
        <v>400</v>
      </c>
      <c r="L48" s="400">
        <f t="shared" si="53"/>
        <v>56.8</v>
      </c>
      <c r="M48" s="128"/>
      <c r="N48" s="401">
        <f t="shared" si="5"/>
        <v>0</v>
      </c>
      <c r="O48" s="402">
        <f t="shared" si="6"/>
        <v>0</v>
      </c>
      <c r="P48" s="52"/>
      <c r="Q48" s="430">
        <f>VLOOKUP($B48,'Proposed Rates'!$D$248:$J$254,+Q$11-2,FALSE)</f>
        <v>0.14199999999999999</v>
      </c>
      <c r="R48" s="433">
        <f>IF(AND($S$2=1, $F$10&gt;=600), $F$10-600, IF(AND($S$2=1, AND($F$10&lt;600, $F$10&gt;=0)), 0, IF(AND($S$2=2, $F$10&gt;=1000), $F$10-1000, IF(AND($S$2=2, AND($F$10&lt;1000, $F$10&gt;=0)), 0))))</f>
        <v>400</v>
      </c>
      <c r="S48" s="400">
        <f t="shared" si="55"/>
        <v>56.8</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400</v>
      </c>
      <c r="Z48" s="400">
        <f t="shared" si="57"/>
        <v>56.8</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400</v>
      </c>
      <c r="AG48" s="400">
        <f t="shared" si="59"/>
        <v>56.8</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400</v>
      </c>
      <c r="AN48" s="400">
        <f t="shared" si="61"/>
        <v>56.8</v>
      </c>
      <c r="AO48" s="128"/>
      <c r="AP48" s="401">
        <f t="shared" si="21"/>
        <v>0</v>
      </c>
      <c r="AQ48" s="402">
        <f t="shared" si="22"/>
        <v>0</v>
      </c>
      <c r="AR48" s="403"/>
    </row>
    <row r="49" spans="1:4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75" customHeight="1">
      <c r="A50" s="52"/>
      <c r="B50" s="444" t="s">
        <v>315</v>
      </c>
      <c r="C50" s="320"/>
      <c r="D50" s="320"/>
      <c r="E50" s="320"/>
      <c r="F50" s="445"/>
      <c r="G50" s="489"/>
      <c r="H50" s="447">
        <f>SUM(H41:H46,H40)</f>
        <v>193.73390599999999</v>
      </c>
      <c r="I50" s="482"/>
      <c r="J50" s="445"/>
      <c r="K50" s="446"/>
      <c r="L50" s="447">
        <f>SUM(L41:L46,L40)</f>
        <v>202.56230799999997</v>
      </c>
      <c r="M50" s="449"/>
      <c r="N50" s="448">
        <f t="shared" ref="N50:N54" si="62">L50-H50</f>
        <v>8.8284019999999828</v>
      </c>
      <c r="O50" s="450">
        <f t="shared" ref="O50:O54" si="63">IF((H50)=0,"",(N50/H50))</f>
        <v>4.5569731092914539E-2</v>
      </c>
      <c r="P50" s="52"/>
      <c r="Q50" s="446"/>
      <c r="R50" s="446"/>
      <c r="S50" s="448">
        <f>SUM(S41:S46,S40)</f>
        <v>206.43230799999998</v>
      </c>
      <c r="T50" s="449"/>
      <c r="U50" s="448">
        <f t="shared" ref="U50:U54" si="64">S50-L50</f>
        <v>3.8700000000000045</v>
      </c>
      <c r="V50" s="450">
        <f t="shared" ref="V50:V54" si="65">IF((L50)=0,"",(U50/L50))</f>
        <v>1.9105232548989347E-2</v>
      </c>
      <c r="W50" s="52"/>
      <c r="X50" s="446"/>
      <c r="Y50" s="446"/>
      <c r="Z50" s="448">
        <f>SUM(Z41:Z46,Z40)</f>
        <v>210.42263999999994</v>
      </c>
      <c r="AA50" s="449"/>
      <c r="AB50" s="448">
        <f t="shared" ref="AB50:AB54" si="66">Z50-S50</f>
        <v>3.9903319999999667</v>
      </c>
      <c r="AC50" s="450">
        <f t="shared" ref="AC50:AC54" si="67">IF((S50)=0,"",(AB50/S50))</f>
        <v>1.9329978135011538E-2</v>
      </c>
      <c r="AD50" s="52"/>
      <c r="AE50" s="446"/>
      <c r="AF50" s="446"/>
      <c r="AG50" s="448">
        <f>SUM(AG41:AG46,AG40)</f>
        <v>213.54263999999995</v>
      </c>
      <c r="AH50" s="449"/>
      <c r="AI50" s="448">
        <f t="shared" ref="AI50:AI54" si="68">AG50-Z50</f>
        <v>3.1200000000000045</v>
      </c>
      <c r="AJ50" s="450">
        <f t="shared" ref="AJ50:AJ54" si="69">IF((Z50)=0,"",(AI50/Z50))</f>
        <v>1.4827301853070589E-2</v>
      </c>
      <c r="AK50" s="52"/>
      <c r="AL50" s="446"/>
      <c r="AM50" s="446"/>
      <c r="AN50" s="448">
        <f>SUM(AN41:AN46,AN40)</f>
        <v>216.50263999999999</v>
      </c>
      <c r="AO50" s="449"/>
      <c r="AP50" s="448">
        <f t="shared" ref="AP50:AP54" si="70">AN50-AG50</f>
        <v>2.9600000000000364</v>
      </c>
      <c r="AQ50" s="450">
        <f t="shared" ref="AQ50:AQ54" si="71">IF((AG50)=0,"",(AP50/AG50))</f>
        <v>1.3861400233695888E-2</v>
      </c>
      <c r="AR50" s="451"/>
    </row>
    <row r="51" spans="1:44" ht="12.75" customHeight="1">
      <c r="A51" s="52"/>
      <c r="B51" s="452" t="s">
        <v>316</v>
      </c>
      <c r="C51" s="320"/>
      <c r="D51" s="320"/>
      <c r="E51" s="320"/>
      <c r="F51" s="445">
        <v>0.13</v>
      </c>
      <c r="G51" s="128"/>
      <c r="H51" s="490">
        <f>H50*F51</f>
        <v>25.185407779999998</v>
      </c>
      <c r="I51" s="417"/>
      <c r="J51" s="445">
        <v>0.13</v>
      </c>
      <c r="K51" s="417"/>
      <c r="L51" s="400">
        <f>L50*J51</f>
        <v>26.333100039999998</v>
      </c>
      <c r="M51" s="128"/>
      <c r="N51" s="401">
        <f t="shared" si="62"/>
        <v>1.1476922599999995</v>
      </c>
      <c r="O51" s="402">
        <f t="shared" si="63"/>
        <v>4.5569731092914609E-2</v>
      </c>
      <c r="P51" s="52"/>
      <c r="Q51" s="453">
        <v>0.13</v>
      </c>
      <c r="R51" s="417"/>
      <c r="S51" s="400">
        <f>S50*Q51</f>
        <v>26.836200039999998</v>
      </c>
      <c r="T51" s="128"/>
      <c r="U51" s="401">
        <f t="shared" si="64"/>
        <v>0.50309999999999988</v>
      </c>
      <c r="V51" s="402">
        <f t="shared" si="65"/>
        <v>1.9105232548989319E-2</v>
      </c>
      <c r="W51" s="52"/>
      <c r="X51" s="453">
        <v>0.13</v>
      </c>
      <c r="Y51" s="417"/>
      <c r="Z51" s="400">
        <f>Z50*X51</f>
        <v>27.354943199999994</v>
      </c>
      <c r="AA51" s="128"/>
      <c r="AB51" s="401">
        <f t="shared" si="66"/>
        <v>0.5187431599999961</v>
      </c>
      <c r="AC51" s="402">
        <f t="shared" si="67"/>
        <v>1.9329978135011552E-2</v>
      </c>
      <c r="AD51" s="52"/>
      <c r="AE51" s="453">
        <v>0.13</v>
      </c>
      <c r="AF51" s="417"/>
      <c r="AG51" s="400">
        <f>AG50*AE51</f>
        <v>27.760543199999994</v>
      </c>
      <c r="AH51" s="128"/>
      <c r="AI51" s="401">
        <f t="shared" si="68"/>
        <v>0.40559999999999974</v>
      </c>
      <c r="AJ51" s="402">
        <f t="shared" si="69"/>
        <v>1.4827301853070556E-2</v>
      </c>
      <c r="AK51" s="52"/>
      <c r="AL51" s="453">
        <v>0.13</v>
      </c>
      <c r="AM51" s="417"/>
      <c r="AN51" s="400">
        <f>AN50*AL51</f>
        <v>28.145343199999999</v>
      </c>
      <c r="AO51" s="128"/>
      <c r="AP51" s="401">
        <f t="shared" si="70"/>
        <v>0.38480000000000558</v>
      </c>
      <c r="AQ51" s="402">
        <f t="shared" si="71"/>
        <v>1.386140023369592E-2</v>
      </c>
      <c r="AR51" s="403"/>
    </row>
    <row r="52" spans="1:44" ht="12.75" customHeight="1">
      <c r="A52" s="52"/>
      <c r="B52" s="454" t="s">
        <v>354</v>
      </c>
      <c r="C52" s="320"/>
      <c r="D52" s="320"/>
      <c r="E52" s="320"/>
      <c r="F52" s="455"/>
      <c r="G52" s="128"/>
      <c r="H52" s="490">
        <f>H50+H51</f>
        <v>218.91931377999998</v>
      </c>
      <c r="I52" s="417"/>
      <c r="J52" s="455"/>
      <c r="K52" s="417"/>
      <c r="L52" s="400">
        <f>L50+L51</f>
        <v>228.89540803999998</v>
      </c>
      <c r="M52" s="128"/>
      <c r="N52" s="401">
        <f t="shared" si="62"/>
        <v>9.9760942599999964</v>
      </c>
      <c r="O52" s="402">
        <f t="shared" si="63"/>
        <v>4.5569731092914616E-2</v>
      </c>
      <c r="P52" s="52"/>
      <c r="Q52" s="417"/>
      <c r="R52" s="417"/>
      <c r="S52" s="400">
        <f>S50+S51</f>
        <v>233.26850803999997</v>
      </c>
      <c r="T52" s="128"/>
      <c r="U52" s="401">
        <f t="shared" si="64"/>
        <v>4.3730999999999938</v>
      </c>
      <c r="V52" s="402">
        <f t="shared" si="65"/>
        <v>1.9105232548989295E-2</v>
      </c>
      <c r="W52" s="52"/>
      <c r="X52" s="417"/>
      <c r="Y52" s="417"/>
      <c r="Z52" s="400">
        <f>Z50+Z51</f>
        <v>237.77758319999992</v>
      </c>
      <c r="AA52" s="128"/>
      <c r="AB52" s="401">
        <f t="shared" si="66"/>
        <v>4.5090751599999521</v>
      </c>
      <c r="AC52" s="402">
        <f t="shared" si="67"/>
        <v>1.9329978135011493E-2</v>
      </c>
      <c r="AD52" s="52"/>
      <c r="AE52" s="417"/>
      <c r="AF52" s="417"/>
      <c r="AG52" s="400">
        <f>AG50+AG51</f>
        <v>241.30318319999995</v>
      </c>
      <c r="AH52" s="128"/>
      <c r="AI52" s="401">
        <f t="shared" si="68"/>
        <v>3.5256000000000256</v>
      </c>
      <c r="AJ52" s="402">
        <f t="shared" si="69"/>
        <v>1.4827301853070676E-2</v>
      </c>
      <c r="AK52" s="52"/>
      <c r="AL52" s="417"/>
      <c r="AM52" s="417"/>
      <c r="AN52" s="400">
        <f>AN50+AN51</f>
        <v>244.6479832</v>
      </c>
      <c r="AO52" s="128"/>
      <c r="AP52" s="401">
        <f t="shared" si="70"/>
        <v>3.3448000000000491</v>
      </c>
      <c r="AQ52" s="402">
        <f t="shared" si="71"/>
        <v>1.3861400233695921E-2</v>
      </c>
      <c r="AR52" s="403"/>
    </row>
    <row r="53" spans="1:44" ht="15.75" customHeight="1">
      <c r="A53" s="52"/>
      <c r="B53" s="628" t="s">
        <v>273</v>
      </c>
      <c r="C53" s="615"/>
      <c r="D53" s="615"/>
      <c r="E53" s="320"/>
      <c r="F53" s="456">
        <f>'Proposed Rates'!E286</f>
        <v>0.23499999999999999</v>
      </c>
      <c r="G53" s="128"/>
      <c r="H53" s="492">
        <f>F53*H50</f>
        <v>45.527467909999999</v>
      </c>
      <c r="I53" s="417"/>
      <c r="J53" s="456">
        <f>'Proposed Rates'!F286</f>
        <v>0.23499999999999999</v>
      </c>
      <c r="K53" s="417"/>
      <c r="L53" s="457">
        <f>J53*L50</f>
        <v>47.602142379999989</v>
      </c>
      <c r="M53" s="128"/>
      <c r="N53" s="457">
        <f t="shared" si="62"/>
        <v>2.0746744699999908</v>
      </c>
      <c r="O53" s="459">
        <f t="shared" si="63"/>
        <v>4.5569731092914428E-2</v>
      </c>
      <c r="P53" s="52"/>
      <c r="Q53" s="458">
        <f>'Proposed Rates'!G286</f>
        <v>0.23499999999999999</v>
      </c>
      <c r="R53" s="417"/>
      <c r="S53" s="457">
        <f>Q53*S50</f>
        <v>48.511592379999989</v>
      </c>
      <c r="T53" s="128"/>
      <c r="U53" s="457">
        <f t="shared" si="64"/>
        <v>0.90944999999999965</v>
      </c>
      <c r="V53" s="459">
        <f t="shared" si="65"/>
        <v>1.9105232548989319E-2</v>
      </c>
      <c r="W53" s="52"/>
      <c r="X53" s="458">
        <f>'Proposed Rates'!H286</f>
        <v>0.23499999999999999</v>
      </c>
      <c r="Y53" s="417"/>
      <c r="Z53" s="457">
        <f>X53*Z50</f>
        <v>49.449320399999984</v>
      </c>
      <c r="AA53" s="128"/>
      <c r="AB53" s="457">
        <f t="shared" si="66"/>
        <v>0.93772801999999444</v>
      </c>
      <c r="AC53" s="459">
        <f t="shared" si="67"/>
        <v>1.9329978135011586E-2</v>
      </c>
      <c r="AD53" s="52"/>
      <c r="AE53" s="458">
        <f>'Proposed Rates'!I286</f>
        <v>0.23499999999999999</v>
      </c>
      <c r="AF53" s="417"/>
      <c r="AG53" s="457">
        <f>AE53*AG50</f>
        <v>50.182520399999987</v>
      </c>
      <c r="AH53" s="128"/>
      <c r="AI53" s="457">
        <f t="shared" si="68"/>
        <v>0.73320000000000363</v>
      </c>
      <c r="AJ53" s="459">
        <f t="shared" si="69"/>
        <v>1.4827301853070641E-2</v>
      </c>
      <c r="AK53" s="52"/>
      <c r="AL53" s="458">
        <f>'Proposed Rates'!J286</f>
        <v>0.23499999999999999</v>
      </c>
      <c r="AM53" s="417"/>
      <c r="AN53" s="457">
        <f>AL53*AN50</f>
        <v>50.878120399999993</v>
      </c>
      <c r="AO53" s="128"/>
      <c r="AP53" s="457">
        <f t="shared" si="70"/>
        <v>0.69560000000000599</v>
      </c>
      <c r="AQ53" s="459">
        <f t="shared" si="71"/>
        <v>1.3861400233695838E-2</v>
      </c>
      <c r="AR53" s="460"/>
    </row>
    <row r="54" spans="1:44" ht="12.75" customHeight="1">
      <c r="A54" s="52"/>
      <c r="B54" s="627" t="s">
        <v>318</v>
      </c>
      <c r="C54" s="613"/>
      <c r="D54" s="613"/>
      <c r="E54" s="461"/>
      <c r="F54" s="462"/>
      <c r="G54" s="493"/>
      <c r="H54" s="494">
        <f>H52-H53</f>
        <v>173.39184587</v>
      </c>
      <c r="I54" s="463"/>
      <c r="J54" s="462"/>
      <c r="K54" s="463"/>
      <c r="L54" s="464">
        <f>L52-L53</f>
        <v>181.29326565999997</v>
      </c>
      <c r="M54" s="465"/>
      <c r="N54" s="466">
        <f t="shared" si="62"/>
        <v>7.9014197899999772</v>
      </c>
      <c r="O54" s="467">
        <f t="shared" si="63"/>
        <v>4.5569731092914498E-2</v>
      </c>
      <c r="P54" s="52"/>
      <c r="Q54" s="463"/>
      <c r="R54" s="463"/>
      <c r="S54" s="464">
        <f>S52-S53</f>
        <v>184.75691565999998</v>
      </c>
      <c r="T54" s="465"/>
      <c r="U54" s="466">
        <f t="shared" si="64"/>
        <v>3.4636500000000012</v>
      </c>
      <c r="V54" s="467">
        <f t="shared" si="65"/>
        <v>1.9105232548989329E-2</v>
      </c>
      <c r="W54" s="52"/>
      <c r="X54" s="463"/>
      <c r="Y54" s="463"/>
      <c r="Z54" s="464">
        <f>Z52-Z53</f>
        <v>188.32826279999995</v>
      </c>
      <c r="AA54" s="465"/>
      <c r="AB54" s="466">
        <f t="shared" si="66"/>
        <v>3.5713471399999719</v>
      </c>
      <c r="AC54" s="467">
        <f t="shared" si="67"/>
        <v>1.9329978135011545E-2</v>
      </c>
      <c r="AD54" s="52"/>
      <c r="AE54" s="463"/>
      <c r="AF54" s="463"/>
      <c r="AG54" s="464">
        <f>AG52-AG53</f>
        <v>191.12066279999996</v>
      </c>
      <c r="AH54" s="465"/>
      <c r="AI54" s="466">
        <f t="shared" si="68"/>
        <v>2.7924000000000149</v>
      </c>
      <c r="AJ54" s="467">
        <f t="shared" si="69"/>
        <v>1.4827301853070646E-2</v>
      </c>
      <c r="AK54" s="52"/>
      <c r="AL54" s="463"/>
      <c r="AM54" s="463"/>
      <c r="AN54" s="464">
        <f>AN52-AN53</f>
        <v>193.7698628</v>
      </c>
      <c r="AO54" s="465"/>
      <c r="AP54" s="466">
        <f t="shared" si="70"/>
        <v>2.649200000000036</v>
      </c>
      <c r="AQ54" s="467">
        <f t="shared" si="71"/>
        <v>1.3861400233695906E-2</v>
      </c>
      <c r="AR54" s="468"/>
    </row>
    <row r="55" spans="1:4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75" customHeight="1">
      <c r="A56" s="52"/>
      <c r="B56" s="444" t="s">
        <v>319</v>
      </c>
      <c r="C56" s="320"/>
      <c r="D56" s="320"/>
      <c r="E56" s="320"/>
      <c r="F56" s="445"/>
      <c r="G56" s="489"/>
      <c r="H56" s="447">
        <f>SUM(H47:H48,H40,H41:H43)</f>
        <v>195.01390599999999</v>
      </c>
      <c r="I56" s="482"/>
      <c r="J56" s="445"/>
      <c r="K56" s="446"/>
      <c r="L56" s="447">
        <f>SUM(L47:L48,L40,L41:L43)</f>
        <v>203.84230799999997</v>
      </c>
      <c r="M56" s="449"/>
      <c r="N56" s="448">
        <f t="shared" ref="N56:N60" si="72">L56-H56</f>
        <v>8.8284019999999828</v>
      </c>
      <c r="O56" s="450">
        <f t="shared" ref="O56:O60" si="73">IF((H56)=0,"",(N56/H56))</f>
        <v>4.5270628034084825E-2</v>
      </c>
      <c r="P56" s="52"/>
      <c r="Q56" s="446"/>
      <c r="R56" s="446"/>
      <c r="S56" s="448">
        <f>SUM(S47:S48,S40,S41:S43)</f>
        <v>207.71230799999998</v>
      </c>
      <c r="T56" s="449"/>
      <c r="U56" s="448">
        <f t="shared" ref="U56:U60" si="74">S56-L56</f>
        <v>3.8700000000000045</v>
      </c>
      <c r="V56" s="450">
        <f t="shared" ref="V56:V60" si="75">IF((L56)=0,"",(U56/L56))</f>
        <v>1.8985263844245745E-2</v>
      </c>
      <c r="W56" s="52"/>
      <c r="X56" s="446"/>
      <c r="Y56" s="446"/>
      <c r="Z56" s="448">
        <f>SUM(Z47:Z48,Z40,Z41:Z43)</f>
        <v>211.70263999999995</v>
      </c>
      <c r="AA56" s="449"/>
      <c r="AB56" s="448">
        <f t="shared" ref="AB56:AB60" si="76">Z56-S56</f>
        <v>3.9903319999999667</v>
      </c>
      <c r="AC56" s="450">
        <f t="shared" ref="AC56:AC60" si="77">IF((S56)=0,"",(AB56/S56))</f>
        <v>1.9210859666534384E-2</v>
      </c>
      <c r="AD56" s="52"/>
      <c r="AE56" s="446"/>
      <c r="AF56" s="446"/>
      <c r="AG56" s="448">
        <f>SUM(AG47:AG48,AG40,AG41:AG43)</f>
        <v>214.82263999999998</v>
      </c>
      <c r="AH56" s="449"/>
      <c r="AI56" s="448">
        <f t="shared" ref="AI56:AI60" si="78">AG56-Z56</f>
        <v>3.120000000000033</v>
      </c>
      <c r="AJ56" s="450">
        <f t="shared" ref="AJ56:AJ60" si="79">IF((Z56)=0,"",(AI56/Z56))</f>
        <v>1.4737652775610326E-2</v>
      </c>
      <c r="AK56" s="52"/>
      <c r="AL56" s="446"/>
      <c r="AM56" s="446"/>
      <c r="AN56" s="448">
        <f>SUM(AN47:AN48,AN40,AN41:AN43)</f>
        <v>217.78263999999999</v>
      </c>
      <c r="AO56" s="449"/>
      <c r="AP56" s="448">
        <f t="shared" ref="AP56:AP60" si="80">AN56-AG56</f>
        <v>2.960000000000008</v>
      </c>
      <c r="AQ56" s="450">
        <f t="shared" ref="AQ56:AQ60" si="81">IF((AG56)=0,"",(AP56/AG56))</f>
        <v>1.3778808416096218E-2</v>
      </c>
      <c r="AR56" s="451"/>
    </row>
    <row r="57" spans="1:44" ht="12.75" customHeight="1">
      <c r="A57" s="52"/>
      <c r="B57" s="452" t="s">
        <v>316</v>
      </c>
      <c r="C57" s="320"/>
      <c r="D57" s="320"/>
      <c r="E57" s="320"/>
      <c r="F57" s="445">
        <v>0.13</v>
      </c>
      <c r="G57" s="489"/>
      <c r="H57" s="490">
        <f>H56*F57</f>
        <v>25.351807780000001</v>
      </c>
      <c r="I57" s="417"/>
      <c r="J57" s="445">
        <v>0.13</v>
      </c>
      <c r="K57" s="453"/>
      <c r="L57" s="400">
        <f>L56*J57</f>
        <v>26.499500039999997</v>
      </c>
      <c r="M57" s="128"/>
      <c r="N57" s="401">
        <f t="shared" si="72"/>
        <v>1.1476922599999959</v>
      </c>
      <c r="O57" s="402">
        <f t="shared" si="73"/>
        <v>4.5270628034084749E-2</v>
      </c>
      <c r="P57" s="52"/>
      <c r="Q57" s="445">
        <v>0.13</v>
      </c>
      <c r="R57" s="453"/>
      <c r="S57" s="400">
        <f>S56*Q57</f>
        <v>27.002600039999997</v>
      </c>
      <c r="T57" s="128"/>
      <c r="U57" s="401">
        <f t="shared" si="74"/>
        <v>0.50309999999999988</v>
      </c>
      <c r="V57" s="402">
        <f t="shared" si="75"/>
        <v>1.8985263844245717E-2</v>
      </c>
      <c r="W57" s="52"/>
      <c r="X57" s="445">
        <v>0.13</v>
      </c>
      <c r="Y57" s="453"/>
      <c r="Z57" s="400">
        <f>Z56*X57</f>
        <v>27.521343199999993</v>
      </c>
      <c r="AA57" s="128"/>
      <c r="AB57" s="401">
        <f t="shared" si="76"/>
        <v>0.5187431599999961</v>
      </c>
      <c r="AC57" s="402">
        <f t="shared" si="77"/>
        <v>1.9210859666534397E-2</v>
      </c>
      <c r="AD57" s="52"/>
      <c r="AE57" s="445">
        <v>0.13</v>
      </c>
      <c r="AF57" s="453"/>
      <c r="AG57" s="400">
        <f>AG56*AE57</f>
        <v>27.926943199999997</v>
      </c>
      <c r="AH57" s="128"/>
      <c r="AI57" s="401">
        <f t="shared" si="78"/>
        <v>0.40560000000000329</v>
      </c>
      <c r="AJ57" s="402">
        <f t="shared" si="79"/>
        <v>1.473765277561029E-2</v>
      </c>
      <c r="AK57" s="52"/>
      <c r="AL57" s="445">
        <v>0.13</v>
      </c>
      <c r="AM57" s="453"/>
      <c r="AN57" s="400">
        <f>AN56*AL57</f>
        <v>28.311743199999999</v>
      </c>
      <c r="AO57" s="128"/>
      <c r="AP57" s="401">
        <f t="shared" si="80"/>
        <v>0.38480000000000203</v>
      </c>
      <c r="AQ57" s="402">
        <f t="shared" si="81"/>
        <v>1.3778808416096255E-2</v>
      </c>
      <c r="AR57" s="403"/>
    </row>
    <row r="58" spans="1:44" ht="12.75" customHeight="1">
      <c r="A58" s="52"/>
      <c r="B58" s="454" t="s">
        <v>355</v>
      </c>
      <c r="C58" s="320"/>
      <c r="D58" s="320"/>
      <c r="E58" s="320"/>
      <c r="F58" s="455"/>
      <c r="G58" s="128"/>
      <c r="H58" s="490">
        <f>H56+H57</f>
        <v>220.36571377999999</v>
      </c>
      <c r="I58" s="417"/>
      <c r="J58" s="455"/>
      <c r="K58" s="417"/>
      <c r="L58" s="400">
        <f>L56+L57</f>
        <v>230.34180803999996</v>
      </c>
      <c r="M58" s="128"/>
      <c r="N58" s="401">
        <f t="shared" si="72"/>
        <v>9.976094259999968</v>
      </c>
      <c r="O58" s="402">
        <f t="shared" si="73"/>
        <v>4.527062803408477E-2</v>
      </c>
      <c r="P58" s="52"/>
      <c r="Q58" s="417"/>
      <c r="R58" s="417"/>
      <c r="S58" s="400">
        <f>S56+S57</f>
        <v>234.71490803999998</v>
      </c>
      <c r="T58" s="128"/>
      <c r="U58" s="401">
        <f t="shared" si="74"/>
        <v>4.3731000000000222</v>
      </c>
      <c r="V58" s="402">
        <f t="shared" si="75"/>
        <v>1.8985263844245818E-2</v>
      </c>
      <c r="W58" s="52"/>
      <c r="X58" s="417"/>
      <c r="Y58" s="417"/>
      <c r="Z58" s="400">
        <f>Z56+Z57</f>
        <v>239.22398319999994</v>
      </c>
      <c r="AA58" s="128"/>
      <c r="AB58" s="401">
        <f t="shared" si="76"/>
        <v>4.5090751599999521</v>
      </c>
      <c r="AC58" s="402">
        <f t="shared" si="77"/>
        <v>1.9210859666534338E-2</v>
      </c>
      <c r="AD58" s="52"/>
      <c r="AE58" s="417"/>
      <c r="AF58" s="417"/>
      <c r="AG58" s="400">
        <f>AG56+AG57</f>
        <v>242.74958319999996</v>
      </c>
      <c r="AH58" s="128"/>
      <c r="AI58" s="401">
        <f t="shared" si="78"/>
        <v>3.5256000000000256</v>
      </c>
      <c r="AJ58" s="402">
        <f t="shared" si="79"/>
        <v>1.4737652775610278E-2</v>
      </c>
      <c r="AK58" s="52"/>
      <c r="AL58" s="417"/>
      <c r="AM58" s="417"/>
      <c r="AN58" s="400">
        <f>AN56+AN57</f>
        <v>246.09438319999998</v>
      </c>
      <c r="AO58" s="128"/>
      <c r="AP58" s="401">
        <f t="shared" si="80"/>
        <v>3.3448000000000206</v>
      </c>
      <c r="AQ58" s="402">
        <f t="shared" si="81"/>
        <v>1.3778808416096269E-2</v>
      </c>
      <c r="AR58" s="403"/>
    </row>
    <row r="59" spans="1:44" ht="15.75" customHeight="1">
      <c r="A59" s="52"/>
      <c r="B59" s="628" t="s">
        <v>273</v>
      </c>
      <c r="C59" s="615"/>
      <c r="D59" s="615"/>
      <c r="E59" s="320"/>
      <c r="F59" s="456">
        <f>F53</f>
        <v>0.23499999999999999</v>
      </c>
      <c r="G59" s="128"/>
      <c r="H59" s="492">
        <f>F59*H56</f>
        <v>45.828267909999994</v>
      </c>
      <c r="I59" s="417"/>
      <c r="J59" s="456">
        <f>J53</f>
        <v>0.23499999999999999</v>
      </c>
      <c r="K59" s="417"/>
      <c r="L59" s="457">
        <f>J59*L56</f>
        <v>47.902942379999992</v>
      </c>
      <c r="M59" s="128"/>
      <c r="N59" s="457">
        <f t="shared" si="72"/>
        <v>2.0746744699999979</v>
      </c>
      <c r="O59" s="459">
        <f t="shared" si="73"/>
        <v>4.5270628034084874E-2</v>
      </c>
      <c r="P59" s="52"/>
      <c r="Q59" s="458">
        <f>Q53</f>
        <v>0.23499999999999999</v>
      </c>
      <c r="R59" s="417"/>
      <c r="S59" s="457">
        <f>Q59*S56</f>
        <v>48.812392379999991</v>
      </c>
      <c r="T59" s="128"/>
      <c r="U59" s="457">
        <f t="shared" si="74"/>
        <v>0.90944999999999965</v>
      </c>
      <c r="V59" s="459">
        <f t="shared" si="75"/>
        <v>1.8985263844245714E-2</v>
      </c>
      <c r="W59" s="52"/>
      <c r="X59" s="458">
        <f>X53</f>
        <v>0.23499999999999999</v>
      </c>
      <c r="Y59" s="417"/>
      <c r="Z59" s="457">
        <f>X59*Z56</f>
        <v>49.750120399999986</v>
      </c>
      <c r="AA59" s="128"/>
      <c r="AB59" s="457">
        <f t="shared" si="76"/>
        <v>0.93772801999999444</v>
      </c>
      <c r="AC59" s="459">
        <f t="shared" si="77"/>
        <v>1.9210859666534432E-2</v>
      </c>
      <c r="AD59" s="52"/>
      <c r="AE59" s="458">
        <f>AE53</f>
        <v>0.23499999999999999</v>
      </c>
      <c r="AF59" s="417"/>
      <c r="AG59" s="457">
        <f>AE59*AG56</f>
        <v>50.48332039999999</v>
      </c>
      <c r="AH59" s="128"/>
      <c r="AI59" s="457">
        <f t="shared" si="78"/>
        <v>0.73320000000000363</v>
      </c>
      <c r="AJ59" s="459">
        <f t="shared" si="79"/>
        <v>1.4737652775610245E-2</v>
      </c>
      <c r="AK59" s="52"/>
      <c r="AL59" s="458">
        <f>AL53</f>
        <v>0.23499999999999999</v>
      </c>
      <c r="AM59" s="417"/>
      <c r="AN59" s="457">
        <f>AL59*AN56</f>
        <v>51.178920399999996</v>
      </c>
      <c r="AO59" s="128"/>
      <c r="AP59" s="457">
        <f t="shared" si="80"/>
        <v>0.69560000000000599</v>
      </c>
      <c r="AQ59" s="459">
        <f t="shared" si="81"/>
        <v>1.3778808416096302E-2</v>
      </c>
      <c r="AR59" s="460"/>
    </row>
    <row r="60" spans="1:44" ht="12.75" customHeight="1">
      <c r="A60" s="52"/>
      <c r="B60" s="627" t="s">
        <v>321</v>
      </c>
      <c r="C60" s="613"/>
      <c r="D60" s="613"/>
      <c r="E60" s="461"/>
      <c r="F60" s="469"/>
      <c r="G60" s="495"/>
      <c r="H60" s="496">
        <f>H58-H59</f>
        <v>174.53744587</v>
      </c>
      <c r="I60" s="470"/>
      <c r="J60" s="469"/>
      <c r="K60" s="470"/>
      <c r="L60" s="471">
        <f>L58-L59</f>
        <v>182.43886565999998</v>
      </c>
      <c r="M60" s="472"/>
      <c r="N60" s="473">
        <f t="shared" si="72"/>
        <v>7.9014197899999772</v>
      </c>
      <c r="O60" s="474">
        <f t="shared" si="73"/>
        <v>4.5270628034084784E-2</v>
      </c>
      <c r="P60" s="52"/>
      <c r="Q60" s="470"/>
      <c r="R60" s="470"/>
      <c r="S60" s="471">
        <f>S58-S59</f>
        <v>185.90251566000001</v>
      </c>
      <c r="T60" s="472"/>
      <c r="U60" s="473">
        <f t="shared" si="74"/>
        <v>3.4636500000000296</v>
      </c>
      <c r="V60" s="474">
        <f t="shared" si="75"/>
        <v>1.8985263844245884E-2</v>
      </c>
      <c r="W60" s="52"/>
      <c r="X60" s="470"/>
      <c r="Y60" s="470"/>
      <c r="Z60" s="471">
        <f>Z58-Z59</f>
        <v>189.47386279999995</v>
      </c>
      <c r="AA60" s="472"/>
      <c r="AB60" s="473">
        <f t="shared" si="76"/>
        <v>3.5713471399999435</v>
      </c>
      <c r="AC60" s="474">
        <f t="shared" si="77"/>
        <v>1.9210859666534238E-2</v>
      </c>
      <c r="AD60" s="52"/>
      <c r="AE60" s="470"/>
      <c r="AF60" s="470"/>
      <c r="AG60" s="471">
        <f>AG58-AG59</f>
        <v>192.26626279999996</v>
      </c>
      <c r="AH60" s="472"/>
      <c r="AI60" s="473">
        <f t="shared" si="78"/>
        <v>2.7924000000000149</v>
      </c>
      <c r="AJ60" s="474">
        <f t="shared" si="79"/>
        <v>1.473765277561025E-2</v>
      </c>
      <c r="AK60" s="52"/>
      <c r="AL60" s="470"/>
      <c r="AM60" s="470"/>
      <c r="AN60" s="471">
        <f>AN58-AN59</f>
        <v>194.9154628</v>
      </c>
      <c r="AO60" s="472"/>
      <c r="AP60" s="473">
        <f t="shared" si="80"/>
        <v>2.649200000000036</v>
      </c>
      <c r="AQ60" s="474">
        <f t="shared" si="81"/>
        <v>1.3778808416096371E-2</v>
      </c>
      <c r="AR60" s="468"/>
    </row>
    <row r="61" spans="1:4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5.75" customHeight="1">
      <c r="A65" s="479" t="s">
        <v>356</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F00-000000000000}">
      <formula1>"TOU,non-TOU"</formula1>
    </dataValidation>
    <dataValidation type="list" allowBlank="1" showErrorMessage="1" sqref="E15:E28 E30:E36 E38:E39 E41:E49 E55 E61" xr:uid="{00000000-0002-0000-0F00-000001000000}">
      <formula1>#REF!</formula1>
    </dataValidation>
    <dataValidation type="list" allowBlank="1" showInputMessage="1" showErrorMessage="1" prompt="Select Charge Unit - monthly, per kWh, per kW" sqref="D15:D28 D30:D36 D38:D39 D41:D49 D55 D61" xr:uid="{00000000-0002-0000-0F00-000002000000}">
      <formula1>"Monthly,per kWh,per kW"</formula1>
    </dataValidation>
  </dataValidations>
  <pageMargins left="0.74803149606299213" right="0.74803149606299213" top="0.98425196850393704" bottom="0.98425196850393704"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1.85546875" customWidth="1"/>
    <col min="4" max="4" width="11.42578125" customWidth="1"/>
    <col min="5" max="5" width="1.42578125" customWidth="1"/>
    <col min="6" max="6" width="10.570312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5"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row>
    <row r="2" spans="1:44" ht="18.75"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4"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75"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75"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75"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75" customHeight="1">
      <c r="A10" s="52"/>
      <c r="B10" s="52"/>
      <c r="C10" s="52"/>
      <c r="D10" s="306" t="s">
        <v>297</v>
      </c>
      <c r="E10" s="306"/>
      <c r="F10" s="386">
        <v>1500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75"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75"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30" si="5">L15-H15</f>
        <v>6.7700000000000031</v>
      </c>
      <c r="O15" s="402">
        <f t="shared" ref="O15:O30"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row>
    <row r="16" spans="1:44" ht="12.75"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1500</v>
      </c>
      <c r="H17" s="400">
        <f t="shared" si="2"/>
        <v>0</v>
      </c>
      <c r="I17" s="128"/>
      <c r="J17" s="397">
        <f>IFERROR(VLOOKUP($C17,'Proposed Rates'!$B:$J,J$11,FALSE),0)</f>
        <v>0</v>
      </c>
      <c r="K17" s="398">
        <f t="shared" si="3"/>
        <v>1500</v>
      </c>
      <c r="L17" s="400">
        <f t="shared" si="4"/>
        <v>0</v>
      </c>
      <c r="M17" s="128"/>
      <c r="N17" s="401">
        <f t="shared" si="5"/>
        <v>0</v>
      </c>
      <c r="O17" s="402" t="str">
        <f t="shared" si="6"/>
        <v/>
      </c>
      <c r="P17" s="52"/>
      <c r="Q17" s="397">
        <f>IFERROR(VLOOKUP($C17,'Proposed Rates'!$B:$J,Q$11,FALSE),0)</f>
        <v>0</v>
      </c>
      <c r="R17" s="398">
        <f t="shared" si="7"/>
        <v>1500</v>
      </c>
      <c r="S17" s="400">
        <f t="shared" si="8"/>
        <v>0</v>
      </c>
      <c r="T17" s="128"/>
      <c r="U17" s="401">
        <f t="shared" si="9"/>
        <v>0</v>
      </c>
      <c r="V17" s="402" t="str">
        <f t="shared" si="10"/>
        <v/>
      </c>
      <c r="W17" s="52"/>
      <c r="X17" s="397">
        <f>IFERROR(VLOOKUP($C17,'Proposed Rates'!$B:$J,X$11,FALSE),0)</f>
        <v>0</v>
      </c>
      <c r="Y17" s="398">
        <f t="shared" si="11"/>
        <v>1500</v>
      </c>
      <c r="Z17" s="400">
        <f t="shared" si="12"/>
        <v>0</v>
      </c>
      <c r="AA17" s="128"/>
      <c r="AB17" s="401">
        <f t="shared" si="13"/>
        <v>0</v>
      </c>
      <c r="AC17" s="402" t="str">
        <f t="shared" si="14"/>
        <v/>
      </c>
      <c r="AD17" s="52"/>
      <c r="AE17" s="397">
        <f>IFERROR(VLOOKUP($C17,'Proposed Rates'!$B:$J,AE$11,FALSE),0)</f>
        <v>0</v>
      </c>
      <c r="AF17" s="398">
        <f t="shared" si="15"/>
        <v>1500</v>
      </c>
      <c r="AG17" s="400">
        <f t="shared" si="16"/>
        <v>0</v>
      </c>
      <c r="AH17" s="128"/>
      <c r="AI17" s="401">
        <f t="shared" si="17"/>
        <v>0</v>
      </c>
      <c r="AJ17" s="402" t="str">
        <f t="shared" si="18"/>
        <v/>
      </c>
      <c r="AK17" s="52"/>
      <c r="AL17" s="397">
        <f>IFERROR(VLOOKUP($C17,'Proposed Rates'!$B:$J,AL$11,FALSE),0)</f>
        <v>0</v>
      </c>
      <c r="AM17" s="398">
        <f t="shared" si="19"/>
        <v>1500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75" customHeight="1">
      <c r="A19" s="52"/>
      <c r="B19" s="320" t="s">
        <v>59</v>
      </c>
      <c r="C19" s="395" t="str">
        <f t="shared" si="0"/>
        <v>Residential.Distribution Volumetric Rate</v>
      </c>
      <c r="D19" s="396" t="s">
        <v>308</v>
      </c>
      <c r="E19" s="320"/>
      <c r="F19" s="397">
        <f>IFERROR(VLOOKUP($C19,'Proposed Rates'!$B:$J,F$11,FALSE),0)</f>
        <v>0</v>
      </c>
      <c r="G19" s="398">
        <f t="shared" si="1"/>
        <v>1500</v>
      </c>
      <c r="H19" s="400">
        <f t="shared" si="2"/>
        <v>0</v>
      </c>
      <c r="I19" s="128"/>
      <c r="J19" s="397">
        <f>IFERROR(VLOOKUP($C19,'Proposed Rates'!$B:$J,J$11,FALSE),0)</f>
        <v>0</v>
      </c>
      <c r="K19" s="398">
        <f t="shared" si="3"/>
        <v>1500</v>
      </c>
      <c r="L19" s="400">
        <f t="shared" si="4"/>
        <v>0</v>
      </c>
      <c r="M19" s="128"/>
      <c r="N19" s="401">
        <f t="shared" si="5"/>
        <v>0</v>
      </c>
      <c r="O19" s="402" t="str">
        <f t="shared" si="6"/>
        <v/>
      </c>
      <c r="P19" s="52"/>
      <c r="Q19" s="397">
        <f>IFERROR(VLOOKUP($C19,'Proposed Rates'!$B:$J,Q$11,FALSE),0)</f>
        <v>0</v>
      </c>
      <c r="R19" s="398">
        <f t="shared" si="7"/>
        <v>1500</v>
      </c>
      <c r="S19" s="400">
        <f t="shared" si="8"/>
        <v>0</v>
      </c>
      <c r="T19" s="128"/>
      <c r="U19" s="401">
        <f t="shared" si="9"/>
        <v>0</v>
      </c>
      <c r="V19" s="402" t="str">
        <f t="shared" si="10"/>
        <v/>
      </c>
      <c r="W19" s="52"/>
      <c r="X19" s="397">
        <f>IFERROR(VLOOKUP($C19,'Proposed Rates'!$B:$J,X$11,FALSE),0)</f>
        <v>0</v>
      </c>
      <c r="Y19" s="398">
        <f t="shared" si="11"/>
        <v>1500</v>
      </c>
      <c r="Z19" s="400">
        <f t="shared" si="12"/>
        <v>0</v>
      </c>
      <c r="AA19" s="128"/>
      <c r="AB19" s="401">
        <f t="shared" si="13"/>
        <v>0</v>
      </c>
      <c r="AC19" s="402" t="str">
        <f t="shared" si="14"/>
        <v/>
      </c>
      <c r="AD19" s="52"/>
      <c r="AE19" s="397">
        <f>IFERROR(VLOOKUP($C19,'Proposed Rates'!$B:$J,AE$11,FALSE),0)</f>
        <v>0</v>
      </c>
      <c r="AF19" s="398">
        <f t="shared" si="15"/>
        <v>1500</v>
      </c>
      <c r="AG19" s="400">
        <f t="shared" si="16"/>
        <v>0</v>
      </c>
      <c r="AH19" s="128"/>
      <c r="AI19" s="401">
        <f t="shared" si="17"/>
        <v>0</v>
      </c>
      <c r="AJ19" s="402" t="str">
        <f t="shared" si="18"/>
        <v/>
      </c>
      <c r="AK19" s="52"/>
      <c r="AL19" s="397">
        <f>IFERROR(VLOOKUP($C19,'Proposed Rates'!$B:$J,AL$11,FALSE),0)</f>
        <v>0</v>
      </c>
      <c r="AM19" s="398">
        <f t="shared" si="19"/>
        <v>1500</v>
      </c>
      <c r="AN19" s="400">
        <f t="shared" si="20"/>
        <v>0</v>
      </c>
      <c r="AO19" s="128"/>
      <c r="AP19" s="401">
        <f t="shared" si="21"/>
        <v>0</v>
      </c>
      <c r="AQ19" s="402" t="str">
        <f t="shared" si="22"/>
        <v/>
      </c>
      <c r="AR19" s="403"/>
    </row>
    <row r="20" spans="1:44" ht="12.75" customHeight="1">
      <c r="A20" s="52"/>
      <c r="B20" s="320" t="s">
        <v>309</v>
      </c>
      <c r="C20" s="395" t="str">
        <f t="shared" si="0"/>
        <v>Residential.Smart Meter Disposition Rider</v>
      </c>
      <c r="D20" s="396" t="s">
        <v>308</v>
      </c>
      <c r="E20" s="320"/>
      <c r="F20" s="397">
        <f>IFERROR(VLOOKUP($C20,'Proposed Rates'!$B:$J,F$11,FALSE),0)</f>
        <v>0</v>
      </c>
      <c r="G20" s="398">
        <f t="shared" si="1"/>
        <v>1500</v>
      </c>
      <c r="H20" s="400">
        <f t="shared" si="2"/>
        <v>0</v>
      </c>
      <c r="I20" s="128"/>
      <c r="J20" s="397">
        <f>IFERROR(VLOOKUP($C20,'Proposed Rates'!$B:$J,J$11,FALSE),0)</f>
        <v>0</v>
      </c>
      <c r="K20" s="398">
        <f t="shared" si="3"/>
        <v>1500</v>
      </c>
      <c r="L20" s="400">
        <f t="shared" si="4"/>
        <v>0</v>
      </c>
      <c r="M20" s="128"/>
      <c r="N20" s="401">
        <f t="shared" si="5"/>
        <v>0</v>
      </c>
      <c r="O20" s="402" t="str">
        <f t="shared" si="6"/>
        <v/>
      </c>
      <c r="P20" s="52"/>
      <c r="Q20" s="397">
        <f>IFERROR(VLOOKUP($C20,'Proposed Rates'!$B:$J,Q$11,FALSE),0)</f>
        <v>0</v>
      </c>
      <c r="R20" s="398">
        <f t="shared" si="7"/>
        <v>1500</v>
      </c>
      <c r="S20" s="400">
        <f t="shared" si="8"/>
        <v>0</v>
      </c>
      <c r="T20" s="128"/>
      <c r="U20" s="401">
        <f t="shared" si="9"/>
        <v>0</v>
      </c>
      <c r="V20" s="402" t="str">
        <f t="shared" si="10"/>
        <v/>
      </c>
      <c r="W20" s="52"/>
      <c r="X20" s="397">
        <f>IFERROR(VLOOKUP($C20,'Proposed Rates'!$B:$J,X$11,FALSE),0)</f>
        <v>0</v>
      </c>
      <c r="Y20" s="398">
        <f t="shared" si="11"/>
        <v>1500</v>
      </c>
      <c r="Z20" s="400">
        <f t="shared" si="12"/>
        <v>0</v>
      </c>
      <c r="AA20" s="128"/>
      <c r="AB20" s="401">
        <f t="shared" si="13"/>
        <v>0</v>
      </c>
      <c r="AC20" s="402" t="str">
        <f t="shared" si="14"/>
        <v/>
      </c>
      <c r="AD20" s="52"/>
      <c r="AE20" s="397">
        <f>IFERROR(VLOOKUP($C20,'Proposed Rates'!$B:$J,AE$11,FALSE),0)</f>
        <v>0</v>
      </c>
      <c r="AF20" s="398">
        <f t="shared" si="15"/>
        <v>1500</v>
      </c>
      <c r="AG20" s="400">
        <f t="shared" si="16"/>
        <v>0</v>
      </c>
      <c r="AH20" s="128"/>
      <c r="AI20" s="401">
        <f t="shared" si="17"/>
        <v>0</v>
      </c>
      <c r="AJ20" s="402" t="str">
        <f t="shared" si="18"/>
        <v/>
      </c>
      <c r="AK20" s="52"/>
      <c r="AL20" s="397">
        <f>IFERROR(VLOOKUP($C20,'Proposed Rates'!$B:$J,AL$11,FALSE),0)</f>
        <v>0</v>
      </c>
      <c r="AM20" s="398">
        <f t="shared" si="19"/>
        <v>1500</v>
      </c>
      <c r="AN20" s="400">
        <f t="shared" si="20"/>
        <v>0</v>
      </c>
      <c r="AO20" s="128"/>
      <c r="AP20" s="401">
        <f t="shared" si="21"/>
        <v>0</v>
      </c>
      <c r="AQ20" s="402" t="str">
        <f t="shared" si="22"/>
        <v/>
      </c>
      <c r="AR20" s="403"/>
    </row>
    <row r="21" spans="1:44" ht="12.75"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75" customHeight="1">
      <c r="A22" s="52"/>
      <c r="B22" s="40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75"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75"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75"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75" customHeight="1">
      <c r="A26" s="52"/>
      <c r="B26" s="40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75"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75"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75"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75"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1500</v>
      </c>
      <c r="H30" s="400">
        <f t="shared" ref="H30:H36" si="25">G30*F30</f>
        <v>-0.3</v>
      </c>
      <c r="I30" s="128"/>
      <c r="J30" s="414">
        <f>IFERROR(VLOOKUP($C30,'Proposed Rates'!$B:$J,J$11,FALSE),0)</f>
        <v>-5.9999999999999995E-4</v>
      </c>
      <c r="K30" s="415">
        <f t="shared" ref="K30:K33" si="26">IF($D30="Monthly",1,IF($D30="per KWH",$F$10,0))</f>
        <v>1500</v>
      </c>
      <c r="L30" s="416">
        <f t="shared" ref="L30:L36" si="27">K30*J30</f>
        <v>-0.89999999999999991</v>
      </c>
      <c r="M30" s="128"/>
      <c r="N30" s="401">
        <f t="shared" si="5"/>
        <v>-0.59999999999999987</v>
      </c>
      <c r="O30" s="402">
        <f t="shared" si="6"/>
        <v>1.9999999999999996</v>
      </c>
      <c r="P30" s="52"/>
      <c r="Q30" s="414">
        <f>IFERROR(VLOOKUP($C30,'Proposed Rates'!$B:$J,Q$11,FALSE),0)</f>
        <v>0</v>
      </c>
      <c r="R30" s="415">
        <f t="shared" ref="R30:R33" si="28">IF($D30="Monthly",1,IF($D30="per KWH",$F$10,0))</f>
        <v>1500</v>
      </c>
      <c r="S30" s="400">
        <f t="shared" ref="S30:S36" si="29">R30*Q30</f>
        <v>0</v>
      </c>
      <c r="T30" s="128"/>
      <c r="U30" s="401">
        <f t="shared" si="9"/>
        <v>0.89999999999999991</v>
      </c>
      <c r="V30" s="402">
        <f t="shared" si="10"/>
        <v>-1</v>
      </c>
      <c r="W30" s="52"/>
      <c r="X30" s="414">
        <f>IFERROR(VLOOKUP($C30,'Proposed Rates'!$B:$J,X$11,FALSE),0)</f>
        <v>0</v>
      </c>
      <c r="Y30" s="415">
        <f t="shared" ref="Y30:Y33" si="30">IF($D30="Monthly",1,IF($D30="per KWH",$F$10,0))</f>
        <v>1500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1500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1500</v>
      </c>
      <c r="AN30" s="400">
        <f t="shared" ref="AN30:AN36" si="35">AM30*AL30</f>
        <v>0</v>
      </c>
      <c r="AO30" s="128"/>
      <c r="AP30" s="401">
        <f t="shared" si="21"/>
        <v>0</v>
      </c>
      <c r="AQ30" s="402" t="str">
        <f t="shared" si="22"/>
        <v/>
      </c>
      <c r="AR30" s="403"/>
    </row>
    <row r="31" spans="1:44" ht="12.75" customHeight="1">
      <c r="A31" s="52"/>
      <c r="B31" s="404" t="s">
        <v>236</v>
      </c>
      <c r="C31" s="395" t="str">
        <f t="shared" si="23"/>
        <v>Residential.DVA Disposition Rate Rider Group 1 - 2024</v>
      </c>
      <c r="D31" s="396" t="s">
        <v>308</v>
      </c>
      <c r="E31" s="320"/>
      <c r="F31" s="414">
        <f>IFERROR(VLOOKUP($C31,'Proposed Rates'!$B:$J,F$11,FALSE),0)</f>
        <v>0</v>
      </c>
      <c r="G31" s="415">
        <f t="shared" si="24"/>
        <v>1500</v>
      </c>
      <c r="H31" s="498">
        <f t="shared" si="25"/>
        <v>0</v>
      </c>
      <c r="I31" s="485"/>
      <c r="J31" s="414">
        <f>IFERROR(VLOOKUP($C31,'Proposed Rates'!$B:$J,J$11,FALSE),0)</f>
        <v>0</v>
      </c>
      <c r="K31" s="415">
        <f t="shared" si="26"/>
        <v>1500</v>
      </c>
      <c r="L31" s="498">
        <f t="shared" si="27"/>
        <v>0</v>
      </c>
      <c r="M31" s="417"/>
      <c r="N31" s="401"/>
      <c r="O31" s="402"/>
      <c r="P31" s="52"/>
      <c r="Q31" s="414">
        <f>IFERROR(VLOOKUP($C31,'Proposed Rates'!$B:$J,Q$11,FALSE),0)</f>
        <v>0</v>
      </c>
      <c r="R31" s="415">
        <f t="shared" si="28"/>
        <v>1500</v>
      </c>
      <c r="S31" s="498">
        <f t="shared" si="29"/>
        <v>0</v>
      </c>
      <c r="T31" s="417"/>
      <c r="U31" s="401">
        <f t="shared" si="9"/>
        <v>0</v>
      </c>
      <c r="V31" s="402" t="str">
        <f t="shared" si="10"/>
        <v/>
      </c>
      <c r="W31" s="52"/>
      <c r="X31" s="414">
        <f>IFERROR(VLOOKUP($C31,'Proposed Rates'!$B:$J,X$11,FALSE),0)</f>
        <v>0</v>
      </c>
      <c r="Y31" s="415">
        <f t="shared" si="30"/>
        <v>1500</v>
      </c>
      <c r="Z31" s="498">
        <f t="shared" si="31"/>
        <v>0</v>
      </c>
      <c r="AA31" s="417"/>
      <c r="AB31" s="401">
        <f t="shared" si="13"/>
        <v>0</v>
      </c>
      <c r="AC31" s="402" t="str">
        <f t="shared" si="14"/>
        <v/>
      </c>
      <c r="AD31" s="52"/>
      <c r="AE31" s="414">
        <f>IFERROR(VLOOKUP($C31,'Proposed Rates'!$B:$J,AE$11,FALSE),0)</f>
        <v>0</v>
      </c>
      <c r="AF31" s="415">
        <f t="shared" si="32"/>
        <v>1500</v>
      </c>
      <c r="AG31" s="498">
        <f t="shared" si="33"/>
        <v>0</v>
      </c>
      <c r="AH31" s="417"/>
      <c r="AI31" s="401">
        <f t="shared" si="17"/>
        <v>0</v>
      </c>
      <c r="AJ31" s="402" t="str">
        <f t="shared" si="18"/>
        <v/>
      </c>
      <c r="AK31" s="52"/>
      <c r="AL31" s="414">
        <f>IFERROR(VLOOKUP($C31,'Proposed Rates'!$B:$J,AL$11,FALSE),0)</f>
        <v>0</v>
      </c>
      <c r="AM31" s="415">
        <f t="shared" si="34"/>
        <v>1500</v>
      </c>
      <c r="AN31" s="498">
        <f t="shared" si="35"/>
        <v>0</v>
      </c>
      <c r="AO31" s="417"/>
      <c r="AP31" s="401">
        <f t="shared" si="21"/>
        <v>0</v>
      </c>
      <c r="AQ31" s="402" t="str">
        <f t="shared" si="22"/>
        <v/>
      </c>
      <c r="AR31" s="403"/>
    </row>
    <row r="32" spans="1:44" ht="12.75" customHeight="1">
      <c r="A32" s="52"/>
      <c r="B32" s="404" t="s">
        <v>244</v>
      </c>
      <c r="C32" s="395" t="str">
        <f t="shared" si="23"/>
        <v>Residential.CBR Class B Rate Riders</v>
      </c>
      <c r="D32" s="396" t="s">
        <v>308</v>
      </c>
      <c r="E32" s="320"/>
      <c r="F32" s="414">
        <f>IFERROR(VLOOKUP($C32,'Proposed Rates'!$B:$J,F$11,FALSE),0)</f>
        <v>2.0000000000000001E-4</v>
      </c>
      <c r="G32" s="415">
        <f t="shared" si="24"/>
        <v>1500</v>
      </c>
      <c r="H32" s="400">
        <f t="shared" si="25"/>
        <v>0.3</v>
      </c>
      <c r="I32" s="485"/>
      <c r="J32" s="414">
        <f>IFERROR(VLOOKUP($C32,'Proposed Rates'!$B:$J,J$11,FALSE),0)</f>
        <v>4.0000000000000002E-4</v>
      </c>
      <c r="K32" s="415">
        <f t="shared" si="26"/>
        <v>1500</v>
      </c>
      <c r="L32" s="400">
        <f t="shared" si="27"/>
        <v>0.6</v>
      </c>
      <c r="M32" s="417"/>
      <c r="N32" s="401">
        <f t="shared" ref="N32:N48" si="36">L32-H32</f>
        <v>0.3</v>
      </c>
      <c r="O32" s="402">
        <f t="shared" ref="O32:O48" si="37">IF((H32)=0,"",(N32/H32))</f>
        <v>1</v>
      </c>
      <c r="P32" s="52"/>
      <c r="Q32" s="414">
        <f>IFERROR(VLOOKUP($C32,'Proposed Rates'!$B:$J,Q$11,FALSE),0)</f>
        <v>0</v>
      </c>
      <c r="R32" s="415">
        <f t="shared" si="28"/>
        <v>1500</v>
      </c>
      <c r="S32" s="400">
        <f t="shared" si="29"/>
        <v>0</v>
      </c>
      <c r="T32" s="417"/>
      <c r="U32" s="401">
        <f t="shared" si="9"/>
        <v>-0.6</v>
      </c>
      <c r="V32" s="402">
        <f t="shared" si="10"/>
        <v>-1</v>
      </c>
      <c r="W32" s="52"/>
      <c r="X32" s="414">
        <f>IFERROR(VLOOKUP($C32,'Proposed Rates'!$B:$J,X$11,FALSE),0)</f>
        <v>0</v>
      </c>
      <c r="Y32" s="415">
        <f t="shared" si="30"/>
        <v>1500</v>
      </c>
      <c r="Z32" s="400">
        <f t="shared" si="31"/>
        <v>0</v>
      </c>
      <c r="AA32" s="417"/>
      <c r="AB32" s="401">
        <f t="shared" si="13"/>
        <v>0</v>
      </c>
      <c r="AC32" s="402" t="str">
        <f t="shared" si="14"/>
        <v/>
      </c>
      <c r="AD32" s="52"/>
      <c r="AE32" s="414">
        <f>IFERROR(VLOOKUP($C32,'Proposed Rates'!$B:$J,AE$11,FALSE),0)</f>
        <v>0</v>
      </c>
      <c r="AF32" s="415">
        <f t="shared" si="32"/>
        <v>1500</v>
      </c>
      <c r="AG32" s="400">
        <f t="shared" si="33"/>
        <v>0</v>
      </c>
      <c r="AH32" s="417"/>
      <c r="AI32" s="401">
        <f t="shared" si="17"/>
        <v>0</v>
      </c>
      <c r="AJ32" s="402" t="str">
        <f t="shared" si="18"/>
        <v/>
      </c>
      <c r="AK32" s="52"/>
      <c r="AL32" s="414">
        <f>IFERROR(VLOOKUP($C32,'Proposed Rates'!$B:$J,AL$11,FALSE),0)</f>
        <v>0</v>
      </c>
      <c r="AM32" s="415">
        <f t="shared" si="34"/>
        <v>1500</v>
      </c>
      <c r="AN32" s="400">
        <f t="shared" si="35"/>
        <v>0</v>
      </c>
      <c r="AO32" s="417"/>
      <c r="AP32" s="401">
        <f t="shared" si="21"/>
        <v>0</v>
      </c>
      <c r="AQ32" s="402" t="str">
        <f t="shared" si="22"/>
        <v/>
      </c>
      <c r="AR32" s="403"/>
    </row>
    <row r="33" spans="1:44" ht="12.75" customHeight="1">
      <c r="A33" s="52"/>
      <c r="B33" s="404" t="s">
        <v>311</v>
      </c>
      <c r="C33" s="395" t="str">
        <f t="shared" si="23"/>
        <v>Residential.GA Disposition Rate Rider-NonRPP</v>
      </c>
      <c r="D33" s="396" t="s">
        <v>308</v>
      </c>
      <c r="E33" s="320"/>
      <c r="F33" s="414">
        <f>IFERROR(VLOOKUP($C33,'Proposed Rates'!$B:$J,F$11,FALSE),0)</f>
        <v>0</v>
      </c>
      <c r="G33" s="415">
        <f t="shared" si="24"/>
        <v>1500</v>
      </c>
      <c r="H33" s="400">
        <f t="shared" si="25"/>
        <v>0</v>
      </c>
      <c r="I33" s="485"/>
      <c r="J33" s="414">
        <f>IFERROR(VLOOKUP($C33,'Proposed Rates'!$B:$J,J$11,FALSE),0)</f>
        <v>0</v>
      </c>
      <c r="K33" s="415">
        <f t="shared" si="26"/>
        <v>1500</v>
      </c>
      <c r="L33" s="400">
        <f t="shared" si="27"/>
        <v>0</v>
      </c>
      <c r="M33" s="417"/>
      <c r="N33" s="401">
        <f t="shared" si="36"/>
        <v>0</v>
      </c>
      <c r="O33" s="402" t="str">
        <f t="shared" si="37"/>
        <v/>
      </c>
      <c r="P33" s="52"/>
      <c r="Q33" s="414">
        <f>IFERROR(VLOOKUP($C33,'Proposed Rates'!$B:$J,Q$11,FALSE),0)</f>
        <v>0</v>
      </c>
      <c r="R33" s="415">
        <f t="shared" si="28"/>
        <v>1500</v>
      </c>
      <c r="S33" s="400">
        <f t="shared" si="29"/>
        <v>0</v>
      </c>
      <c r="T33" s="417"/>
      <c r="U33" s="401">
        <f t="shared" si="9"/>
        <v>0</v>
      </c>
      <c r="V33" s="402" t="str">
        <f t="shared" si="10"/>
        <v/>
      </c>
      <c r="W33" s="52"/>
      <c r="X33" s="414">
        <f>IFERROR(VLOOKUP($C33,'Proposed Rates'!$B:$J,X$11,FALSE),0)</f>
        <v>0</v>
      </c>
      <c r="Y33" s="415">
        <f t="shared" si="30"/>
        <v>1500</v>
      </c>
      <c r="Z33" s="400">
        <f t="shared" si="31"/>
        <v>0</v>
      </c>
      <c r="AA33" s="417"/>
      <c r="AB33" s="401">
        <f t="shared" si="13"/>
        <v>0</v>
      </c>
      <c r="AC33" s="402" t="str">
        <f t="shared" si="14"/>
        <v/>
      </c>
      <c r="AD33" s="52"/>
      <c r="AE33" s="414">
        <f>IFERROR(VLOOKUP($C33,'Proposed Rates'!$B:$J,AE$11,FALSE),0)</f>
        <v>0</v>
      </c>
      <c r="AF33" s="415">
        <f t="shared" si="32"/>
        <v>1500</v>
      </c>
      <c r="AG33" s="400">
        <f t="shared" si="33"/>
        <v>0</v>
      </c>
      <c r="AH33" s="417"/>
      <c r="AI33" s="401">
        <f t="shared" si="17"/>
        <v>0</v>
      </c>
      <c r="AJ33" s="402" t="str">
        <f t="shared" si="18"/>
        <v/>
      </c>
      <c r="AK33" s="52"/>
      <c r="AL33" s="414">
        <f>IFERROR(VLOOKUP($C33,'Proposed Rates'!$B:$J,AL$11,FALSE),0)</f>
        <v>0</v>
      </c>
      <c r="AM33" s="415">
        <f t="shared" si="34"/>
        <v>1500</v>
      </c>
      <c r="AN33" s="400">
        <f t="shared" si="35"/>
        <v>0</v>
      </c>
      <c r="AO33" s="417"/>
      <c r="AP33" s="401">
        <f t="shared" si="21"/>
        <v>0</v>
      </c>
      <c r="AQ33" s="402" t="str">
        <f t="shared" si="22"/>
        <v/>
      </c>
      <c r="AR33" s="403"/>
    </row>
    <row r="34" spans="1:44" ht="12.75" customHeight="1">
      <c r="A34" s="52"/>
      <c r="B34" s="320" t="s">
        <v>269</v>
      </c>
      <c r="C34" s="395" t="str">
        <f t="shared" si="23"/>
        <v>Residential.Low Voltage Service Charge</v>
      </c>
      <c r="D34" s="396" t="s">
        <v>308</v>
      </c>
      <c r="E34" s="320"/>
      <c r="F34" s="418">
        <f>IFERROR(VLOOKUP($C34,'Proposed Rates'!$B:$J,F$11,FALSE),0)</f>
        <v>5.0000000000000002E-5</v>
      </c>
      <c r="G34" s="419">
        <f>$F$10*(1+F$63)</f>
        <v>1550.7</v>
      </c>
      <c r="H34" s="400">
        <f t="shared" si="25"/>
        <v>7.7535000000000007E-2</v>
      </c>
      <c r="I34" s="128"/>
      <c r="J34" s="418">
        <f>IFERROR(VLOOKUP($C34,'Proposed Rates'!$B:$J,J$11,FALSE),0)</f>
        <v>6.9999999999999994E-5</v>
      </c>
      <c r="K34" s="419">
        <f>$F$10*(1+J$63)</f>
        <v>1549.8</v>
      </c>
      <c r="L34" s="400">
        <f t="shared" si="27"/>
        <v>0.10848599999999999</v>
      </c>
      <c r="M34" s="128"/>
      <c r="N34" s="401">
        <f t="shared" si="36"/>
        <v>3.0950999999999979E-2</v>
      </c>
      <c r="O34" s="402">
        <f t="shared" si="37"/>
        <v>0.3991874637260589</v>
      </c>
      <c r="P34" s="52"/>
      <c r="Q34" s="418">
        <f>IFERROR(VLOOKUP($C34,'Proposed Rates'!$B:$J,Q$11,FALSE),0)</f>
        <v>6.9999999999999994E-5</v>
      </c>
      <c r="R34" s="419">
        <f>$F$10*(1+Q$63)</f>
        <v>1549.8</v>
      </c>
      <c r="S34" s="400">
        <f t="shared" si="29"/>
        <v>0.10848599999999999</v>
      </c>
      <c r="T34" s="128"/>
      <c r="U34" s="401">
        <f t="shared" si="9"/>
        <v>0</v>
      </c>
      <c r="V34" s="402">
        <f t="shared" si="10"/>
        <v>0</v>
      </c>
      <c r="W34" s="52"/>
      <c r="X34" s="418">
        <f>IFERROR(VLOOKUP($C34,'Proposed Rates'!$B:$J,X$11,FALSE),0)</f>
        <v>8.0000000000000007E-5</v>
      </c>
      <c r="Y34" s="419">
        <f>$F$10*(1+X$63)</f>
        <v>1549.8</v>
      </c>
      <c r="Z34" s="400">
        <f t="shared" si="31"/>
        <v>0.12398400000000001</v>
      </c>
      <c r="AA34" s="128"/>
      <c r="AB34" s="401">
        <f t="shared" si="13"/>
        <v>1.5498000000000026E-2</v>
      </c>
      <c r="AC34" s="402">
        <f t="shared" si="14"/>
        <v>0.14285714285714313</v>
      </c>
      <c r="AD34" s="52"/>
      <c r="AE34" s="418">
        <f>IFERROR(VLOOKUP($C34,'Proposed Rates'!$B:$J,AE$11,FALSE),0)</f>
        <v>8.0000000000000007E-5</v>
      </c>
      <c r="AF34" s="419">
        <f>$F$10*(1+AE$63)</f>
        <v>1549.8</v>
      </c>
      <c r="AG34" s="400">
        <f t="shared" si="33"/>
        <v>0.12398400000000001</v>
      </c>
      <c r="AH34" s="128"/>
      <c r="AI34" s="401">
        <f t="shared" si="17"/>
        <v>0</v>
      </c>
      <c r="AJ34" s="402">
        <f t="shared" si="18"/>
        <v>0</v>
      </c>
      <c r="AK34" s="52"/>
      <c r="AL34" s="418">
        <f>IFERROR(VLOOKUP($C34,'Proposed Rates'!$B:$J,AL$11,FALSE),0)</f>
        <v>8.0000000000000007E-5</v>
      </c>
      <c r="AM34" s="419">
        <f>$F$10*(1+AL$63)</f>
        <v>1549.8</v>
      </c>
      <c r="AN34" s="400">
        <f t="shared" si="35"/>
        <v>0.12398400000000001</v>
      </c>
      <c r="AO34" s="128"/>
      <c r="AP34" s="401">
        <f t="shared" si="21"/>
        <v>0</v>
      </c>
      <c r="AQ34" s="402">
        <f t="shared" si="22"/>
        <v>0</v>
      </c>
      <c r="AR34" s="403"/>
    </row>
    <row r="35" spans="1:44" ht="12.75"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50.700000000000045</v>
      </c>
      <c r="H35" s="400">
        <f t="shared" si="25"/>
        <v>6.4652640000000066</v>
      </c>
      <c r="I35" s="128"/>
      <c r="J35" s="420">
        <f>'Proposed Rates'!$K$249*J$44+'Proposed Rates'!$K$250*J$45+'Proposed Rates'!$K$251*J$46</f>
        <v>0.12752000000000002</v>
      </c>
      <c r="K35" s="421">
        <f>$F$10*(1+J$63)-$F$10</f>
        <v>49.799999999999955</v>
      </c>
      <c r="L35" s="400">
        <f t="shared" si="27"/>
        <v>6.3504959999999953</v>
      </c>
      <c r="M35" s="128"/>
      <c r="N35" s="401">
        <f t="shared" si="36"/>
        <v>-0.11476800000001131</v>
      </c>
      <c r="O35" s="402">
        <f t="shared" si="37"/>
        <v>-1.775147928994256E-2</v>
      </c>
      <c r="P35" s="52"/>
      <c r="Q35" s="420">
        <f>'Proposed Rates'!$K$249*Q$44+'Proposed Rates'!$K$250*Q$45+'Proposed Rates'!$K$251*Q$46</f>
        <v>0.12752000000000002</v>
      </c>
      <c r="R35" s="421">
        <f>$F$10*(1+Q$63)-$F$10</f>
        <v>49.799999999999955</v>
      </c>
      <c r="S35" s="400">
        <f t="shared" si="29"/>
        <v>6.3504959999999953</v>
      </c>
      <c r="T35" s="128"/>
      <c r="U35" s="401">
        <f t="shared" si="9"/>
        <v>0</v>
      </c>
      <c r="V35" s="402">
        <f t="shared" si="10"/>
        <v>0</v>
      </c>
      <c r="W35" s="52"/>
      <c r="X35" s="420">
        <f>'Proposed Rates'!$K$249*X$44+'Proposed Rates'!$K$250*X$45+'Proposed Rates'!$K$251*X$46</f>
        <v>0.12752000000000002</v>
      </c>
      <c r="Y35" s="421">
        <f>$F$10*(1+X$63)-$F$10</f>
        <v>49.799999999999955</v>
      </c>
      <c r="Z35" s="400">
        <f t="shared" si="31"/>
        <v>6.3504959999999953</v>
      </c>
      <c r="AA35" s="128"/>
      <c r="AB35" s="401">
        <f t="shared" si="13"/>
        <v>0</v>
      </c>
      <c r="AC35" s="402">
        <f t="shared" si="14"/>
        <v>0</v>
      </c>
      <c r="AD35" s="52"/>
      <c r="AE35" s="420">
        <f>'Proposed Rates'!$K$249*AE$44+'Proposed Rates'!$K$250*AE$45+'Proposed Rates'!$K$251*AE$46</f>
        <v>0.12752000000000002</v>
      </c>
      <c r="AF35" s="421">
        <f>$F$10*(1+AE$63)-$F$10</f>
        <v>49.799999999999955</v>
      </c>
      <c r="AG35" s="400">
        <f t="shared" si="33"/>
        <v>6.3504959999999953</v>
      </c>
      <c r="AH35" s="128"/>
      <c r="AI35" s="401">
        <f t="shared" si="17"/>
        <v>0</v>
      </c>
      <c r="AJ35" s="402">
        <f t="shared" si="18"/>
        <v>0</v>
      </c>
      <c r="AK35" s="52"/>
      <c r="AL35" s="420">
        <f>'Proposed Rates'!$K$249*AL$44+'Proposed Rates'!$K$250*AL$45+'Proposed Rates'!$K$251*AL$46</f>
        <v>0.12752000000000002</v>
      </c>
      <c r="AM35" s="421">
        <f>$F$10*(1+AL$63)-$F$10</f>
        <v>49.799999999999955</v>
      </c>
      <c r="AN35" s="400">
        <f t="shared" si="35"/>
        <v>6.3504959999999953</v>
      </c>
      <c r="AO35" s="128"/>
      <c r="AP35" s="401">
        <f t="shared" si="21"/>
        <v>0</v>
      </c>
      <c r="AQ35" s="402">
        <f t="shared" si="22"/>
        <v>0</v>
      </c>
      <c r="AR35" s="403"/>
    </row>
    <row r="36" spans="1:44" ht="12.75"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36"/>
        <v>0</v>
      </c>
      <c r="O36" s="402">
        <f t="shared" si="37"/>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row>
    <row r="37" spans="1:44" ht="12.75" customHeight="1">
      <c r="A37" s="52"/>
      <c r="B37" s="405" t="s">
        <v>313</v>
      </c>
      <c r="C37" s="422"/>
      <c r="D37" s="422"/>
      <c r="E37" s="422"/>
      <c r="F37" s="423"/>
      <c r="G37" s="424"/>
      <c r="H37" s="409">
        <f>SUM(H30:H36)+H29</f>
        <v>41.472799000000002</v>
      </c>
      <c r="I37" s="425"/>
      <c r="J37" s="423"/>
      <c r="K37" s="424"/>
      <c r="L37" s="409">
        <f>SUM(L30:L36)+L29</f>
        <v>47.068981999999998</v>
      </c>
      <c r="M37" s="425"/>
      <c r="N37" s="411">
        <f t="shared" si="36"/>
        <v>5.5961829999999964</v>
      </c>
      <c r="O37" s="412">
        <f t="shared" si="37"/>
        <v>0.1349362265131899</v>
      </c>
      <c r="P37" s="52"/>
      <c r="Q37" s="423"/>
      <c r="R37" s="424"/>
      <c r="S37" s="409">
        <f>SUM(S30:S36)+S29</f>
        <v>51.008981999999996</v>
      </c>
      <c r="T37" s="425"/>
      <c r="U37" s="411">
        <f t="shared" si="9"/>
        <v>3.9399999999999977</v>
      </c>
      <c r="V37" s="412">
        <f t="shared" si="10"/>
        <v>8.3706930394203086E-2</v>
      </c>
      <c r="W37" s="52"/>
      <c r="X37" s="423"/>
      <c r="Y37" s="424"/>
      <c r="Z37" s="409">
        <f>SUM(Z30:Z36)+Z29</f>
        <v>54.974479999999993</v>
      </c>
      <c r="AA37" s="425"/>
      <c r="AB37" s="411">
        <f t="shared" si="13"/>
        <v>3.9654979999999966</v>
      </c>
      <c r="AC37" s="412">
        <f t="shared" si="14"/>
        <v>7.7741171152954924E-2</v>
      </c>
      <c r="AD37" s="52"/>
      <c r="AE37" s="423"/>
      <c r="AF37" s="424"/>
      <c r="AG37" s="409">
        <f>SUM(AG30:AG36)+AG29</f>
        <v>58.064479999999996</v>
      </c>
      <c r="AH37" s="425"/>
      <c r="AI37" s="411">
        <f t="shared" si="17"/>
        <v>3.0900000000000034</v>
      </c>
      <c r="AJ37" s="412">
        <f t="shared" si="18"/>
        <v>5.6207898646790364E-2</v>
      </c>
      <c r="AK37" s="52"/>
      <c r="AL37" s="423"/>
      <c r="AM37" s="424"/>
      <c r="AN37" s="409">
        <f>SUM(AN30:AN36)+AN29</f>
        <v>60.994479999999996</v>
      </c>
      <c r="AO37" s="425"/>
      <c r="AP37" s="411">
        <f t="shared" si="21"/>
        <v>2.9299999999999997</v>
      </c>
      <c r="AQ37" s="412">
        <f t="shared" si="22"/>
        <v>5.0461142509155336E-2</v>
      </c>
      <c r="AR37" s="413"/>
    </row>
    <row r="38" spans="1:44" ht="12.75" customHeight="1">
      <c r="A38" s="52"/>
      <c r="B38" s="128" t="s">
        <v>255</v>
      </c>
      <c r="C38" s="395" t="str">
        <f t="shared" ref="C38:C39" si="38">D$6&amp;"."&amp;B38</f>
        <v>Residential.RTSR - Network</v>
      </c>
      <c r="D38" s="426" t="s">
        <v>308</v>
      </c>
      <c r="E38" s="128"/>
      <c r="F38" s="414">
        <f>IFERROR(VLOOKUP($C38,'Proposed Rates'!$B:$J,F$11,FALSE),0)</f>
        <v>1.26E-2</v>
      </c>
      <c r="G38" s="419">
        <f t="shared" ref="G38:G39" si="39">$F$10*(1+F$63)</f>
        <v>1550.7</v>
      </c>
      <c r="H38" s="400">
        <f t="shared" ref="H38:H39" si="40">G38*F38</f>
        <v>19.538820000000001</v>
      </c>
      <c r="I38" s="128"/>
      <c r="J38" s="414">
        <f>IFERROR(VLOOKUP($C38,'Proposed Rates'!$B:$J,J$11,FALSE),0)</f>
        <v>1.38E-2</v>
      </c>
      <c r="K38" s="419">
        <f t="shared" ref="K38:K39" si="41">$F$10*(1+J$63)</f>
        <v>1549.8</v>
      </c>
      <c r="L38" s="400">
        <f t="shared" ref="L38:L39" si="42">K38*J38</f>
        <v>21.387239999999998</v>
      </c>
      <c r="M38" s="128"/>
      <c r="N38" s="401">
        <f t="shared" si="36"/>
        <v>1.8484199999999973</v>
      </c>
      <c r="O38" s="402">
        <f t="shared" si="37"/>
        <v>9.4602437608821671E-2</v>
      </c>
      <c r="P38" s="52"/>
      <c r="Q38" s="414">
        <f>IFERROR(VLOOKUP($C38,'Proposed Rates'!$B:$J,Q$11,FALSE),0)</f>
        <v>1.38E-2</v>
      </c>
      <c r="R38" s="419">
        <f t="shared" ref="R38:R39" si="43">$F$10*(1+Q$63)</f>
        <v>1549.8</v>
      </c>
      <c r="S38" s="400">
        <f t="shared" ref="S38:S39" si="44">R38*Q38</f>
        <v>21.387239999999998</v>
      </c>
      <c r="T38" s="128"/>
      <c r="U38" s="401">
        <f t="shared" si="9"/>
        <v>0</v>
      </c>
      <c r="V38" s="402">
        <f t="shared" si="10"/>
        <v>0</v>
      </c>
      <c r="W38" s="52"/>
      <c r="X38" s="414">
        <f>IFERROR(VLOOKUP($C38,'Proposed Rates'!$B:$J,X$11,FALSE),0)</f>
        <v>1.38E-2</v>
      </c>
      <c r="Y38" s="419">
        <f t="shared" ref="Y38:Y39" si="45">$F$10*(1+X$63)</f>
        <v>1549.8</v>
      </c>
      <c r="Z38" s="400">
        <f t="shared" ref="Z38:Z39" si="46">Y38*X38</f>
        <v>21.387239999999998</v>
      </c>
      <c r="AA38" s="128"/>
      <c r="AB38" s="401">
        <f t="shared" si="13"/>
        <v>0</v>
      </c>
      <c r="AC38" s="402">
        <f t="shared" si="14"/>
        <v>0</v>
      </c>
      <c r="AD38" s="52"/>
      <c r="AE38" s="414">
        <f>IFERROR(VLOOKUP($C38,'Proposed Rates'!$B:$J,AE$11,FALSE),0)</f>
        <v>1.38E-2</v>
      </c>
      <c r="AF38" s="419">
        <f t="shared" ref="AF38:AF39" si="47">$F$10*(1+AE$63)</f>
        <v>1549.8</v>
      </c>
      <c r="AG38" s="400">
        <f t="shared" ref="AG38:AG39" si="48">AF38*AE38</f>
        <v>21.387239999999998</v>
      </c>
      <c r="AH38" s="128"/>
      <c r="AI38" s="401">
        <f t="shared" si="17"/>
        <v>0</v>
      </c>
      <c r="AJ38" s="402">
        <f t="shared" si="18"/>
        <v>0</v>
      </c>
      <c r="AK38" s="52"/>
      <c r="AL38" s="414">
        <f>IFERROR(VLOOKUP($C38,'Proposed Rates'!$B:$J,AL$11,FALSE),0)</f>
        <v>1.38E-2</v>
      </c>
      <c r="AM38" s="419">
        <f t="shared" ref="AM38:AM39" si="49">$F$10*(1+AL$63)</f>
        <v>1549.8</v>
      </c>
      <c r="AN38" s="400">
        <f t="shared" ref="AN38:AN39" si="50">AM38*AL38</f>
        <v>21.387239999999998</v>
      </c>
      <c r="AO38" s="128"/>
      <c r="AP38" s="401">
        <f t="shared" si="21"/>
        <v>0</v>
      </c>
      <c r="AQ38" s="402">
        <f t="shared" si="22"/>
        <v>0</v>
      </c>
      <c r="AR38" s="403"/>
    </row>
    <row r="39" spans="1:44" ht="12.75" customHeight="1">
      <c r="A39" s="52"/>
      <c r="B39" s="128" t="s">
        <v>256</v>
      </c>
      <c r="C39" s="395" t="str">
        <f t="shared" si="38"/>
        <v>Residential.RTSR - Line and Transformation Connection</v>
      </c>
      <c r="D39" s="426" t="s">
        <v>308</v>
      </c>
      <c r="E39" s="128"/>
      <c r="F39" s="414">
        <f>IFERROR(VLOOKUP($C39,'Proposed Rates'!$B:$J,F$11,FALSE),0)</f>
        <v>7.1999999999999998E-3</v>
      </c>
      <c r="G39" s="419">
        <f t="shared" si="39"/>
        <v>1550.7</v>
      </c>
      <c r="H39" s="400">
        <f t="shared" si="40"/>
        <v>11.165039999999999</v>
      </c>
      <c r="I39" s="128"/>
      <c r="J39" s="414">
        <f>IFERROR(VLOOKUP($C39,'Proposed Rates'!$B:$J,J$11,FALSE),0)</f>
        <v>7.7999999999999996E-3</v>
      </c>
      <c r="K39" s="419">
        <f t="shared" si="41"/>
        <v>1549.8</v>
      </c>
      <c r="L39" s="400">
        <f t="shared" si="42"/>
        <v>12.088439999999999</v>
      </c>
      <c r="M39" s="128"/>
      <c r="N39" s="401">
        <f t="shared" si="36"/>
        <v>0.92339999999999911</v>
      </c>
      <c r="O39" s="402">
        <f t="shared" si="37"/>
        <v>8.2704585026117161E-2</v>
      </c>
      <c r="P39" s="52"/>
      <c r="Q39" s="414">
        <f>IFERROR(VLOOKUP($C39,'Proposed Rates'!$B:$J,Q$11,FALSE),0)</f>
        <v>7.7999999999999996E-3</v>
      </c>
      <c r="R39" s="419">
        <f t="shared" si="43"/>
        <v>1549.8</v>
      </c>
      <c r="S39" s="400">
        <f t="shared" si="44"/>
        <v>12.088439999999999</v>
      </c>
      <c r="T39" s="128"/>
      <c r="U39" s="401">
        <f t="shared" si="9"/>
        <v>0</v>
      </c>
      <c r="V39" s="402">
        <f t="shared" si="10"/>
        <v>0</v>
      </c>
      <c r="W39" s="52"/>
      <c r="X39" s="414">
        <f>IFERROR(VLOOKUP($C39,'Proposed Rates'!$B:$J,X$11,FALSE),0)</f>
        <v>7.7999999999999996E-3</v>
      </c>
      <c r="Y39" s="419">
        <f t="shared" si="45"/>
        <v>1549.8</v>
      </c>
      <c r="Z39" s="400">
        <f t="shared" si="46"/>
        <v>12.088439999999999</v>
      </c>
      <c r="AA39" s="128"/>
      <c r="AB39" s="401">
        <f t="shared" si="13"/>
        <v>0</v>
      </c>
      <c r="AC39" s="402">
        <f t="shared" si="14"/>
        <v>0</v>
      </c>
      <c r="AD39" s="52"/>
      <c r="AE39" s="414">
        <f>IFERROR(VLOOKUP($C39,'Proposed Rates'!$B:$J,AE$11,FALSE),0)</f>
        <v>7.7999999999999996E-3</v>
      </c>
      <c r="AF39" s="419">
        <f t="shared" si="47"/>
        <v>1549.8</v>
      </c>
      <c r="AG39" s="400">
        <f t="shared" si="48"/>
        <v>12.088439999999999</v>
      </c>
      <c r="AH39" s="128"/>
      <c r="AI39" s="401">
        <f t="shared" si="17"/>
        <v>0</v>
      </c>
      <c r="AJ39" s="402">
        <f t="shared" si="18"/>
        <v>0</v>
      </c>
      <c r="AK39" s="52"/>
      <c r="AL39" s="414">
        <f>IFERROR(VLOOKUP($C39,'Proposed Rates'!$B:$J,AL$11,FALSE),0)</f>
        <v>7.7999999999999996E-3</v>
      </c>
      <c r="AM39" s="419">
        <f t="shared" si="49"/>
        <v>1549.8</v>
      </c>
      <c r="AN39" s="400">
        <f t="shared" si="50"/>
        <v>12.088439999999999</v>
      </c>
      <c r="AO39" s="128"/>
      <c r="AP39" s="401">
        <f t="shared" si="21"/>
        <v>0</v>
      </c>
      <c r="AQ39" s="402">
        <f t="shared" si="22"/>
        <v>0</v>
      </c>
      <c r="AR39" s="403"/>
    </row>
    <row r="40" spans="1:44" ht="12.75" customHeight="1">
      <c r="A40" s="52"/>
      <c r="B40" s="405" t="s">
        <v>314</v>
      </c>
      <c r="C40" s="427"/>
      <c r="D40" s="427"/>
      <c r="E40" s="427"/>
      <c r="F40" s="428"/>
      <c r="G40" s="429"/>
      <c r="H40" s="409">
        <f>SUM(H37:H39)</f>
        <v>72.176659000000001</v>
      </c>
      <c r="I40" s="410"/>
      <c r="J40" s="428"/>
      <c r="K40" s="429"/>
      <c r="L40" s="409">
        <f>SUM(L37:L39)</f>
        <v>80.544661999999988</v>
      </c>
      <c r="M40" s="410"/>
      <c r="N40" s="411">
        <f t="shared" si="36"/>
        <v>8.3680029999999874</v>
      </c>
      <c r="O40" s="412">
        <f t="shared" si="37"/>
        <v>0.11593779922675539</v>
      </c>
      <c r="P40" s="52"/>
      <c r="Q40" s="428"/>
      <c r="R40" s="429"/>
      <c r="S40" s="409">
        <f>SUM(S37:S39)</f>
        <v>84.484661999999986</v>
      </c>
      <c r="T40" s="410"/>
      <c r="U40" s="411">
        <f t="shared" si="9"/>
        <v>3.9399999999999977</v>
      </c>
      <c r="V40" s="412">
        <f t="shared" si="10"/>
        <v>4.891695988493934E-2</v>
      </c>
      <c r="W40" s="52"/>
      <c r="X40" s="428"/>
      <c r="Y40" s="429"/>
      <c r="Z40" s="409">
        <f>SUM(Z37:Z39)</f>
        <v>88.450159999999983</v>
      </c>
      <c r="AA40" s="410"/>
      <c r="AB40" s="411">
        <f t="shared" si="13"/>
        <v>3.9654979999999966</v>
      </c>
      <c r="AC40" s="412">
        <f t="shared" si="14"/>
        <v>4.6937490263025461E-2</v>
      </c>
      <c r="AD40" s="52"/>
      <c r="AE40" s="428"/>
      <c r="AF40" s="429"/>
      <c r="AG40" s="409">
        <f>SUM(AG37:AG39)</f>
        <v>91.540159999999986</v>
      </c>
      <c r="AH40" s="410"/>
      <c r="AI40" s="411">
        <f t="shared" si="17"/>
        <v>3.0900000000000034</v>
      </c>
      <c r="AJ40" s="412">
        <f t="shared" si="18"/>
        <v>3.4934928325737385E-2</v>
      </c>
      <c r="AK40" s="52"/>
      <c r="AL40" s="428"/>
      <c r="AM40" s="429"/>
      <c r="AN40" s="409">
        <f>SUM(AN37:AN39)</f>
        <v>94.470159999999993</v>
      </c>
      <c r="AO40" s="410"/>
      <c r="AP40" s="411">
        <f t="shared" si="21"/>
        <v>2.9300000000000068</v>
      </c>
      <c r="AQ40" s="412">
        <f t="shared" si="22"/>
        <v>3.2007809468543723E-2</v>
      </c>
      <c r="AR40" s="413"/>
    </row>
    <row r="41" spans="1:44" ht="12.75" customHeight="1">
      <c r="A41" s="52"/>
      <c r="B41" s="320" t="s">
        <v>257</v>
      </c>
      <c r="C41" s="395" t="str">
        <f t="shared" ref="C41:C48" si="51">D$6&amp;"."&amp;B41</f>
        <v>Residential.Wholesale Market Service Charge (WMSC)</v>
      </c>
      <c r="D41" s="396" t="s">
        <v>308</v>
      </c>
      <c r="E41" s="320"/>
      <c r="F41" s="414">
        <f>IFERROR(VLOOKUP($C41,'Proposed Rates'!$B:$J,F$11,FALSE),0)</f>
        <v>4.4999999999999997E-3</v>
      </c>
      <c r="G41" s="419">
        <f t="shared" ref="G41:G42" si="52">$F$10*(1+F$63)</f>
        <v>1550.7</v>
      </c>
      <c r="H41" s="400">
        <f t="shared" ref="H41:H48" si="53">G41*F41</f>
        <v>6.9781499999999994</v>
      </c>
      <c r="I41" s="128"/>
      <c r="J41" s="414">
        <f>IFERROR(VLOOKUP($C41,'Proposed Rates'!$B:$J,J$11,FALSE),0)</f>
        <v>4.4999999999999997E-3</v>
      </c>
      <c r="K41" s="419">
        <f t="shared" ref="K41:K42" si="54">$F$10*(1+J$63)</f>
        <v>1549.8</v>
      </c>
      <c r="L41" s="400">
        <f t="shared" ref="L41:L48" si="55">K41*J41</f>
        <v>6.9740999999999991</v>
      </c>
      <c r="M41" s="128"/>
      <c r="N41" s="401">
        <f t="shared" si="36"/>
        <v>-4.0500000000003311E-3</v>
      </c>
      <c r="O41" s="402">
        <f t="shared" si="37"/>
        <v>-5.803830528149053E-4</v>
      </c>
      <c r="P41" s="52"/>
      <c r="Q41" s="414">
        <f>IFERROR(VLOOKUP($C41,'Proposed Rates'!$B:$J,Q$11,FALSE),0)</f>
        <v>4.4999999999999997E-3</v>
      </c>
      <c r="R41" s="419">
        <f t="shared" ref="R41:R42" si="56">$F$10*(1+Q$63)</f>
        <v>1549.8</v>
      </c>
      <c r="S41" s="400">
        <f t="shared" ref="S41:S48" si="57">R41*Q41</f>
        <v>6.9740999999999991</v>
      </c>
      <c r="T41" s="128"/>
      <c r="U41" s="401">
        <f t="shared" si="9"/>
        <v>0</v>
      </c>
      <c r="V41" s="402">
        <f t="shared" si="10"/>
        <v>0</v>
      </c>
      <c r="W41" s="52"/>
      <c r="X41" s="414">
        <f>IFERROR(VLOOKUP($C41,'Proposed Rates'!$B:$J,X$11,FALSE),0)</f>
        <v>4.4999999999999997E-3</v>
      </c>
      <c r="Y41" s="419">
        <f t="shared" ref="Y41:Y42" si="58">$F$10*(1+X$63)</f>
        <v>1549.8</v>
      </c>
      <c r="Z41" s="400">
        <f t="shared" ref="Z41:Z48" si="59">Y41*X41</f>
        <v>6.9740999999999991</v>
      </c>
      <c r="AA41" s="128"/>
      <c r="AB41" s="401">
        <f t="shared" si="13"/>
        <v>0</v>
      </c>
      <c r="AC41" s="402">
        <f t="shared" si="14"/>
        <v>0</v>
      </c>
      <c r="AD41" s="52"/>
      <c r="AE41" s="414">
        <f>IFERROR(VLOOKUP($C41,'Proposed Rates'!$B:$J,AE$11,FALSE),0)</f>
        <v>4.4999999999999997E-3</v>
      </c>
      <c r="AF41" s="419">
        <f t="shared" ref="AF41:AF42" si="60">$F$10*(1+AE$63)</f>
        <v>1549.8</v>
      </c>
      <c r="AG41" s="400">
        <f t="shared" ref="AG41:AG48" si="61">AF41*AE41</f>
        <v>6.9740999999999991</v>
      </c>
      <c r="AH41" s="128"/>
      <c r="AI41" s="401">
        <f t="shared" si="17"/>
        <v>0</v>
      </c>
      <c r="AJ41" s="402">
        <f t="shared" si="18"/>
        <v>0</v>
      </c>
      <c r="AK41" s="52"/>
      <c r="AL41" s="414">
        <f>IFERROR(VLOOKUP($C41,'Proposed Rates'!$B:$J,AL$11,FALSE),0)</f>
        <v>4.4999999999999997E-3</v>
      </c>
      <c r="AM41" s="419">
        <f t="shared" ref="AM41:AM42" si="62">$F$10*(1+AL$63)</f>
        <v>1549.8</v>
      </c>
      <c r="AN41" s="400">
        <f t="shared" ref="AN41:AN48" si="63">AM41*AL41</f>
        <v>6.9740999999999991</v>
      </c>
      <c r="AO41" s="128"/>
      <c r="AP41" s="401">
        <f t="shared" si="21"/>
        <v>0</v>
      </c>
      <c r="AQ41" s="402">
        <f t="shared" si="22"/>
        <v>0</v>
      </c>
      <c r="AR41" s="403"/>
    </row>
    <row r="42" spans="1:44" ht="12.75" customHeight="1">
      <c r="A42" s="52"/>
      <c r="B42" s="320" t="s">
        <v>258</v>
      </c>
      <c r="C42" s="395" t="str">
        <f t="shared" si="51"/>
        <v>Residential.Rural and Remote Rate Protection (RRRP)</v>
      </c>
      <c r="D42" s="396" t="s">
        <v>308</v>
      </c>
      <c r="E42" s="320"/>
      <c r="F42" s="414">
        <f>IFERROR(VLOOKUP($C42,'Proposed Rates'!$B:$J,F$11,FALSE),0)</f>
        <v>1.5E-3</v>
      </c>
      <c r="G42" s="419">
        <f t="shared" si="52"/>
        <v>1550.7</v>
      </c>
      <c r="H42" s="400">
        <f t="shared" si="53"/>
        <v>2.32605</v>
      </c>
      <c r="I42" s="128"/>
      <c r="J42" s="414">
        <f>IFERROR(VLOOKUP($C42,'Proposed Rates'!$B:$J,J$11,FALSE),0)</f>
        <v>1.5E-3</v>
      </c>
      <c r="K42" s="419">
        <f t="shared" si="54"/>
        <v>1549.8</v>
      </c>
      <c r="L42" s="400">
        <f t="shared" si="55"/>
        <v>2.3247</v>
      </c>
      <c r="M42" s="128"/>
      <c r="N42" s="401">
        <f t="shared" si="36"/>
        <v>-1.3499999999999623E-3</v>
      </c>
      <c r="O42" s="402">
        <f t="shared" si="37"/>
        <v>-5.8038305281484166E-4</v>
      </c>
      <c r="P42" s="52"/>
      <c r="Q42" s="414">
        <f>IFERROR(VLOOKUP($C42,'Proposed Rates'!$B:$J,Q$11,FALSE),0)</f>
        <v>1.5E-3</v>
      </c>
      <c r="R42" s="419">
        <f t="shared" si="56"/>
        <v>1549.8</v>
      </c>
      <c r="S42" s="400">
        <f t="shared" si="57"/>
        <v>2.3247</v>
      </c>
      <c r="T42" s="128"/>
      <c r="U42" s="401">
        <f t="shared" si="9"/>
        <v>0</v>
      </c>
      <c r="V42" s="402">
        <f t="shared" si="10"/>
        <v>0</v>
      </c>
      <c r="W42" s="52"/>
      <c r="X42" s="414">
        <f>IFERROR(VLOOKUP($C42,'Proposed Rates'!$B:$J,X$11,FALSE),0)</f>
        <v>1.5E-3</v>
      </c>
      <c r="Y42" s="419">
        <f t="shared" si="58"/>
        <v>1549.8</v>
      </c>
      <c r="Z42" s="400">
        <f t="shared" si="59"/>
        <v>2.3247</v>
      </c>
      <c r="AA42" s="128"/>
      <c r="AB42" s="401">
        <f t="shared" si="13"/>
        <v>0</v>
      </c>
      <c r="AC42" s="402">
        <f t="shared" si="14"/>
        <v>0</v>
      </c>
      <c r="AD42" s="52"/>
      <c r="AE42" s="414">
        <f>IFERROR(VLOOKUP($C42,'Proposed Rates'!$B:$J,AE$11,FALSE),0)</f>
        <v>1.5E-3</v>
      </c>
      <c r="AF42" s="419">
        <f t="shared" si="60"/>
        <v>1549.8</v>
      </c>
      <c r="AG42" s="400">
        <f t="shared" si="61"/>
        <v>2.3247</v>
      </c>
      <c r="AH42" s="128"/>
      <c r="AI42" s="401">
        <f t="shared" si="17"/>
        <v>0</v>
      </c>
      <c r="AJ42" s="402">
        <f t="shared" si="18"/>
        <v>0</v>
      </c>
      <c r="AK42" s="52"/>
      <c r="AL42" s="414">
        <f>IFERROR(VLOOKUP($C42,'Proposed Rates'!$B:$J,AL$11,FALSE),0)</f>
        <v>1.5E-3</v>
      </c>
      <c r="AM42" s="419">
        <f t="shared" si="62"/>
        <v>1549.8</v>
      </c>
      <c r="AN42" s="400">
        <f t="shared" si="63"/>
        <v>2.3247</v>
      </c>
      <c r="AO42" s="128"/>
      <c r="AP42" s="401">
        <f t="shared" si="21"/>
        <v>0</v>
      </c>
      <c r="AQ42" s="402">
        <f t="shared" si="22"/>
        <v>0</v>
      </c>
      <c r="AR42" s="403"/>
    </row>
    <row r="43" spans="1:44" ht="12.75" customHeight="1">
      <c r="A43" s="52"/>
      <c r="B43" s="320" t="s">
        <v>260</v>
      </c>
      <c r="C43" s="395" t="str">
        <f t="shared" si="51"/>
        <v>Residential.Standard Supply Service Charge</v>
      </c>
      <c r="D43" s="396" t="s">
        <v>306</v>
      </c>
      <c r="E43" s="320"/>
      <c r="F43" s="414">
        <f>IFERROR(VLOOKUP($C43,'Proposed Rates'!$B:$J,F$11,FALSE),0)</f>
        <v>0.25</v>
      </c>
      <c r="G43" s="415">
        <f>IF($D43="Monthly",1,IF($D43="per KWH",$F$10,0))</f>
        <v>1</v>
      </c>
      <c r="H43" s="400">
        <f t="shared" si="53"/>
        <v>0.25</v>
      </c>
      <c r="I43" s="128"/>
      <c r="J43" s="414">
        <f>IFERROR(VLOOKUP($C43,'Proposed Rates'!$B:$J,J$11,FALSE),0)</f>
        <v>1.51</v>
      </c>
      <c r="K43" s="415">
        <f>IF($D43="Monthly",1,IF($D43="per KWH",$F$10,0))</f>
        <v>1</v>
      </c>
      <c r="L43" s="400">
        <f t="shared" si="55"/>
        <v>1.51</v>
      </c>
      <c r="M43" s="128"/>
      <c r="N43" s="401">
        <f t="shared" si="36"/>
        <v>1.26</v>
      </c>
      <c r="O43" s="402">
        <f t="shared" si="37"/>
        <v>5.04</v>
      </c>
      <c r="P43" s="52"/>
      <c r="Q43" s="414">
        <f>IFERROR(VLOOKUP($C43,'Proposed Rates'!$B:$J,Q$11,FALSE),0)</f>
        <v>1.54</v>
      </c>
      <c r="R43" s="415">
        <f>IF($D43="Monthly",1,IF($D43="per KWH",$F$10,0))</f>
        <v>1</v>
      </c>
      <c r="S43" s="400">
        <f t="shared" si="57"/>
        <v>1.54</v>
      </c>
      <c r="T43" s="128"/>
      <c r="U43" s="401">
        <f t="shared" si="9"/>
        <v>3.0000000000000027E-2</v>
      </c>
      <c r="V43" s="402">
        <f t="shared" si="10"/>
        <v>1.986754966887419E-2</v>
      </c>
      <c r="W43" s="52"/>
      <c r="X43" s="414">
        <f>IFERROR(VLOOKUP($C43,'Proposed Rates'!$B:$J,X$11,FALSE),0)</f>
        <v>1.57</v>
      </c>
      <c r="Y43" s="415">
        <f>IF($D43="Monthly",1,IF($D43="per KWH",$F$10,0))</f>
        <v>1</v>
      </c>
      <c r="Z43" s="400">
        <f t="shared" si="59"/>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61"/>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3"/>
        <v>1.63</v>
      </c>
      <c r="AO43" s="128"/>
      <c r="AP43" s="401">
        <f t="shared" si="21"/>
        <v>2.9999999999999805E-2</v>
      </c>
      <c r="AQ43" s="402">
        <f t="shared" si="22"/>
        <v>1.8749999999999878E-2</v>
      </c>
      <c r="AR43" s="403"/>
    </row>
    <row r="44" spans="1:44" ht="12.75" customHeight="1">
      <c r="A44" s="52"/>
      <c r="B44" s="320" t="s">
        <v>262</v>
      </c>
      <c r="C44" s="395" t="str">
        <f t="shared" si="51"/>
        <v>Residential.TOU - Off Peak</v>
      </c>
      <c r="D44" s="396" t="s">
        <v>308</v>
      </c>
      <c r="E44" s="320"/>
      <c r="F44" s="430">
        <f>VLOOKUP($B44,'Proposed Rates'!$D$248:$J$254,+F$11-2,FALSE)</f>
        <v>9.8000000000000004E-2</v>
      </c>
      <c r="G44" s="421">
        <f>$F$10*'Proposed Rates'!$K$249</f>
        <v>960</v>
      </c>
      <c r="H44" s="400">
        <f t="shared" si="53"/>
        <v>94.08</v>
      </c>
      <c r="I44" s="128"/>
      <c r="J44" s="430">
        <f>VLOOKUP($B44,'Proposed Rates'!$D$248:$J$254,+J$11-2,FALSE)</f>
        <v>9.8000000000000004E-2</v>
      </c>
      <c r="K44" s="421">
        <f>$F$10*'Proposed Rates'!$K$249</f>
        <v>960</v>
      </c>
      <c r="L44" s="400">
        <f t="shared" si="55"/>
        <v>94.08</v>
      </c>
      <c r="M44" s="128"/>
      <c r="N44" s="401">
        <f t="shared" si="36"/>
        <v>0</v>
      </c>
      <c r="O44" s="402">
        <f t="shared" si="37"/>
        <v>0</v>
      </c>
      <c r="P44" s="52"/>
      <c r="Q44" s="430">
        <f>VLOOKUP($B44,'Proposed Rates'!$D$248:$J$254,+Q$11-2,FALSE)</f>
        <v>9.8000000000000004E-2</v>
      </c>
      <c r="R44" s="421">
        <f>$F$10*'Proposed Rates'!$K$249</f>
        <v>960</v>
      </c>
      <c r="S44" s="400">
        <f t="shared" si="57"/>
        <v>94.08</v>
      </c>
      <c r="T44" s="128"/>
      <c r="U44" s="401">
        <f t="shared" si="9"/>
        <v>0</v>
      </c>
      <c r="V44" s="402">
        <f t="shared" si="10"/>
        <v>0</v>
      </c>
      <c r="W44" s="52"/>
      <c r="X44" s="430">
        <f>VLOOKUP($B44,'Proposed Rates'!$D$248:$J$254,+X$11-2,FALSE)</f>
        <v>9.8000000000000004E-2</v>
      </c>
      <c r="Y44" s="421">
        <f>$F$10*'Proposed Rates'!$K$249</f>
        <v>960</v>
      </c>
      <c r="Z44" s="400">
        <f t="shared" si="59"/>
        <v>94.08</v>
      </c>
      <c r="AA44" s="128"/>
      <c r="AB44" s="401">
        <f t="shared" si="13"/>
        <v>0</v>
      </c>
      <c r="AC44" s="402">
        <f t="shared" si="14"/>
        <v>0</v>
      </c>
      <c r="AD44" s="52"/>
      <c r="AE44" s="430">
        <f>VLOOKUP($B44,'Proposed Rates'!$D$248:$J$254,+AE$11-2,FALSE)</f>
        <v>9.8000000000000004E-2</v>
      </c>
      <c r="AF44" s="421">
        <f>$F$10*'Proposed Rates'!$K$249</f>
        <v>960</v>
      </c>
      <c r="AG44" s="400">
        <f t="shared" si="61"/>
        <v>94.08</v>
      </c>
      <c r="AH44" s="128"/>
      <c r="AI44" s="401">
        <f t="shared" si="17"/>
        <v>0</v>
      </c>
      <c r="AJ44" s="402">
        <f t="shared" si="18"/>
        <v>0</v>
      </c>
      <c r="AK44" s="52"/>
      <c r="AL44" s="430">
        <f>VLOOKUP($B44,'Proposed Rates'!$D$248:$J$254,+AL$11-2,FALSE)</f>
        <v>9.8000000000000004E-2</v>
      </c>
      <c r="AM44" s="421">
        <f>$F$10*'Proposed Rates'!$K$249</f>
        <v>960</v>
      </c>
      <c r="AN44" s="400">
        <f t="shared" si="63"/>
        <v>94.08</v>
      </c>
      <c r="AO44" s="128"/>
      <c r="AP44" s="401">
        <f t="shared" si="21"/>
        <v>0</v>
      </c>
      <c r="AQ44" s="402">
        <f t="shared" si="22"/>
        <v>0</v>
      </c>
      <c r="AR44" s="403"/>
    </row>
    <row r="45" spans="1:44" ht="12.75" customHeight="1">
      <c r="A45" s="52"/>
      <c r="B45" s="320" t="s">
        <v>263</v>
      </c>
      <c r="C45" s="395" t="str">
        <f t="shared" si="51"/>
        <v>Residential.TOU - Mid Peak</v>
      </c>
      <c r="D45" s="396" t="s">
        <v>308</v>
      </c>
      <c r="E45" s="320"/>
      <c r="F45" s="430">
        <f>VLOOKUP($B45,'Proposed Rates'!$D$248:$J$254,+F$11-2,FALSE)</f>
        <v>0.157</v>
      </c>
      <c r="G45" s="421">
        <f>$F$10*'Proposed Rates'!$K$250</f>
        <v>270</v>
      </c>
      <c r="H45" s="400">
        <f t="shared" si="53"/>
        <v>42.39</v>
      </c>
      <c r="I45" s="128"/>
      <c r="J45" s="430">
        <f>VLOOKUP($B45,'Proposed Rates'!$D$248:$J$254,+J$11-2,FALSE)</f>
        <v>0.157</v>
      </c>
      <c r="K45" s="421">
        <f>$F$10*'Proposed Rates'!$K$250</f>
        <v>270</v>
      </c>
      <c r="L45" s="400">
        <f t="shared" si="55"/>
        <v>42.39</v>
      </c>
      <c r="M45" s="128"/>
      <c r="N45" s="401">
        <f t="shared" si="36"/>
        <v>0</v>
      </c>
      <c r="O45" s="402">
        <f t="shared" si="37"/>
        <v>0</v>
      </c>
      <c r="P45" s="52"/>
      <c r="Q45" s="430">
        <f>VLOOKUP($B45,'Proposed Rates'!$D$248:$J$254,+Q$11-2,FALSE)</f>
        <v>0.157</v>
      </c>
      <c r="R45" s="421">
        <f>$F$10*'Proposed Rates'!$K$250</f>
        <v>270</v>
      </c>
      <c r="S45" s="400">
        <f t="shared" si="57"/>
        <v>42.39</v>
      </c>
      <c r="T45" s="128"/>
      <c r="U45" s="401">
        <f t="shared" si="9"/>
        <v>0</v>
      </c>
      <c r="V45" s="402">
        <f t="shared" si="10"/>
        <v>0</v>
      </c>
      <c r="W45" s="52"/>
      <c r="X45" s="430">
        <f>VLOOKUP($B45,'Proposed Rates'!$D$248:$J$254,+X$11-2,FALSE)</f>
        <v>0.157</v>
      </c>
      <c r="Y45" s="421">
        <f>$F$10*'Proposed Rates'!$K$250</f>
        <v>270</v>
      </c>
      <c r="Z45" s="400">
        <f t="shared" si="59"/>
        <v>42.39</v>
      </c>
      <c r="AA45" s="128"/>
      <c r="AB45" s="401">
        <f t="shared" si="13"/>
        <v>0</v>
      </c>
      <c r="AC45" s="402">
        <f t="shared" si="14"/>
        <v>0</v>
      </c>
      <c r="AD45" s="52"/>
      <c r="AE45" s="430">
        <f>VLOOKUP($B45,'Proposed Rates'!$D$248:$J$254,+AE$11-2,FALSE)</f>
        <v>0.157</v>
      </c>
      <c r="AF45" s="421">
        <f>$F$10*'Proposed Rates'!$K$250</f>
        <v>270</v>
      </c>
      <c r="AG45" s="400">
        <f t="shared" si="61"/>
        <v>42.39</v>
      </c>
      <c r="AH45" s="128"/>
      <c r="AI45" s="401">
        <f t="shared" si="17"/>
        <v>0</v>
      </c>
      <c r="AJ45" s="402">
        <f t="shared" si="18"/>
        <v>0</v>
      </c>
      <c r="AK45" s="52"/>
      <c r="AL45" s="430">
        <f>VLOOKUP($B45,'Proposed Rates'!$D$248:$J$254,+AL$11-2,FALSE)</f>
        <v>0.157</v>
      </c>
      <c r="AM45" s="421">
        <f>$F$10*'Proposed Rates'!$K$250</f>
        <v>270</v>
      </c>
      <c r="AN45" s="400">
        <f t="shared" si="63"/>
        <v>42.39</v>
      </c>
      <c r="AO45" s="128"/>
      <c r="AP45" s="401">
        <f t="shared" si="21"/>
        <v>0</v>
      </c>
      <c r="AQ45" s="402">
        <f t="shared" si="22"/>
        <v>0</v>
      </c>
      <c r="AR45" s="403"/>
    </row>
    <row r="46" spans="1:44" ht="12.75" customHeight="1">
      <c r="A46" s="52"/>
      <c r="B46" s="52" t="s">
        <v>264</v>
      </c>
      <c r="C46" s="395" t="str">
        <f t="shared" si="51"/>
        <v>Residential.TOU - On Peak</v>
      </c>
      <c r="D46" s="396" t="s">
        <v>308</v>
      </c>
      <c r="E46" s="320"/>
      <c r="F46" s="430">
        <f>VLOOKUP($B46,'Proposed Rates'!$D$248:$J$254,+F$11-2,FALSE)</f>
        <v>0.20300000000000001</v>
      </c>
      <c r="G46" s="421">
        <f>$F$10*'Proposed Rates'!$K$251</f>
        <v>270</v>
      </c>
      <c r="H46" s="400">
        <f t="shared" si="53"/>
        <v>54.81</v>
      </c>
      <c r="I46" s="128"/>
      <c r="J46" s="430">
        <f>VLOOKUP($B46,'Proposed Rates'!$D$248:$J$254,+J$11-2,FALSE)</f>
        <v>0.20300000000000001</v>
      </c>
      <c r="K46" s="421">
        <f>$F$10*'Proposed Rates'!$K$251</f>
        <v>270</v>
      </c>
      <c r="L46" s="400">
        <f t="shared" si="55"/>
        <v>54.81</v>
      </c>
      <c r="M46" s="128"/>
      <c r="N46" s="401">
        <f t="shared" si="36"/>
        <v>0</v>
      </c>
      <c r="O46" s="402">
        <f t="shared" si="37"/>
        <v>0</v>
      </c>
      <c r="P46" s="52"/>
      <c r="Q46" s="430">
        <f>VLOOKUP($B46,'Proposed Rates'!$D$248:$J$254,+Q$11-2,FALSE)</f>
        <v>0.20300000000000001</v>
      </c>
      <c r="R46" s="421">
        <f>$F$10*'Proposed Rates'!$K$251</f>
        <v>270</v>
      </c>
      <c r="S46" s="400">
        <f t="shared" si="57"/>
        <v>54.81</v>
      </c>
      <c r="T46" s="128"/>
      <c r="U46" s="401">
        <f t="shared" si="9"/>
        <v>0</v>
      </c>
      <c r="V46" s="402">
        <f t="shared" si="10"/>
        <v>0</v>
      </c>
      <c r="W46" s="52"/>
      <c r="X46" s="430">
        <f>VLOOKUP($B46,'Proposed Rates'!$D$248:$J$254,+X$11-2,FALSE)</f>
        <v>0.20300000000000001</v>
      </c>
      <c r="Y46" s="421">
        <f>$F$10*'Proposed Rates'!$K$251</f>
        <v>270</v>
      </c>
      <c r="Z46" s="400">
        <f t="shared" si="59"/>
        <v>54.81</v>
      </c>
      <c r="AA46" s="128"/>
      <c r="AB46" s="401">
        <f t="shared" si="13"/>
        <v>0</v>
      </c>
      <c r="AC46" s="402">
        <f t="shared" si="14"/>
        <v>0</v>
      </c>
      <c r="AD46" s="52"/>
      <c r="AE46" s="430">
        <f>VLOOKUP($B46,'Proposed Rates'!$D$248:$J$254,+AE$11-2,FALSE)</f>
        <v>0.20300000000000001</v>
      </c>
      <c r="AF46" s="421">
        <f>$F$10*'Proposed Rates'!$K$251</f>
        <v>270</v>
      </c>
      <c r="AG46" s="400">
        <f t="shared" si="61"/>
        <v>54.81</v>
      </c>
      <c r="AH46" s="128"/>
      <c r="AI46" s="401">
        <f t="shared" si="17"/>
        <v>0</v>
      </c>
      <c r="AJ46" s="402">
        <f t="shared" si="18"/>
        <v>0</v>
      </c>
      <c r="AK46" s="52"/>
      <c r="AL46" s="430">
        <f>VLOOKUP($B46,'Proposed Rates'!$D$248:$J$254,+AL$11-2,FALSE)</f>
        <v>0.20300000000000001</v>
      </c>
      <c r="AM46" s="421">
        <f>$F$10*'Proposed Rates'!$K$251</f>
        <v>270</v>
      </c>
      <c r="AN46" s="400">
        <f t="shared" si="63"/>
        <v>54.81</v>
      </c>
      <c r="AO46" s="128"/>
      <c r="AP46" s="401">
        <f t="shared" si="21"/>
        <v>0</v>
      </c>
      <c r="AQ46" s="402">
        <f t="shared" si="22"/>
        <v>0</v>
      </c>
      <c r="AR46" s="403"/>
    </row>
    <row r="47" spans="1:44" ht="12.75" customHeight="1">
      <c r="A47" s="52"/>
      <c r="B47" s="320" t="s">
        <v>265</v>
      </c>
      <c r="C47" s="395" t="str">
        <f t="shared" si="51"/>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3"/>
        <v>72</v>
      </c>
      <c r="I47" s="128"/>
      <c r="J47" s="430">
        <f>VLOOKUP($B47,'Proposed Rates'!$D$248:$J$254,+J$11-2,FALSE)</f>
        <v>0.12</v>
      </c>
      <c r="K47" s="431">
        <f>IF(AND($S$2=1, $F$10&gt;=600), 600, IF(AND($S$2=1, AND($F$10&lt;600, $F$10&gt;=0)), $F$10, IF(AND($S$2=2, $F$10&gt;=1000), 1000, IF(AND($S$2=2, AND($F$10&lt;1000, $F$10&gt;=0)), $F$10))))</f>
        <v>600</v>
      </c>
      <c r="L47" s="400">
        <f t="shared" si="55"/>
        <v>72</v>
      </c>
      <c r="M47" s="128"/>
      <c r="N47" s="401">
        <f t="shared" si="36"/>
        <v>0</v>
      </c>
      <c r="O47" s="402">
        <f t="shared" si="37"/>
        <v>0</v>
      </c>
      <c r="P47" s="52"/>
      <c r="Q47" s="430">
        <f>VLOOKUP($B47,'Proposed Rates'!$D$248:$J$254,+Q$11-2,FALSE)</f>
        <v>0.12</v>
      </c>
      <c r="R47" s="431">
        <f>IF(AND($S$2=1, $F$10&gt;=600), 600, IF(AND($S$2=1, AND($F$10&lt;600, $F$10&gt;=0)), $F$10, IF(AND($S$2=2, $F$10&gt;=1000), 1000, IF(AND($S$2=2, AND($F$10&lt;1000, $F$10&gt;=0)), $F$10))))</f>
        <v>600</v>
      </c>
      <c r="S47" s="400">
        <f t="shared" si="57"/>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9"/>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61"/>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3"/>
        <v>72</v>
      </c>
      <c r="AO47" s="128"/>
      <c r="AP47" s="401">
        <f t="shared" si="21"/>
        <v>0</v>
      </c>
      <c r="AQ47" s="402">
        <f t="shared" si="22"/>
        <v>0</v>
      </c>
      <c r="AR47" s="403"/>
    </row>
    <row r="48" spans="1:44" ht="12.75" customHeight="1">
      <c r="A48" s="52"/>
      <c r="B48" s="320" t="s">
        <v>266</v>
      </c>
      <c r="C48" s="395" t="str">
        <f t="shared" si="51"/>
        <v>Residential.Energy - RPP - Tier 2</v>
      </c>
      <c r="D48" s="396" t="s">
        <v>308</v>
      </c>
      <c r="E48" s="320"/>
      <c r="F48" s="430">
        <f>VLOOKUP($B48,'Proposed Rates'!$D$248:$J$254,+F$11-2,FALSE)</f>
        <v>0.14199999999999999</v>
      </c>
      <c r="G48" s="433">
        <f>IF(AND($S$2=1, $F$10&gt;=600), $F$10-600, IF(AND($S$2=1, AND($F$10&lt;600, $F$10&gt;=0)), 0, IF(AND($S$2=2, $F$10&gt;=1000), $F$10-1000, IF(AND($S$2=2, AND($F$10&lt;1000, $F$10&gt;=0)), 0))))</f>
        <v>900</v>
      </c>
      <c r="H48" s="400">
        <f t="shared" si="53"/>
        <v>127.79999999999998</v>
      </c>
      <c r="I48" s="128"/>
      <c r="J48" s="430">
        <f>VLOOKUP($B48,'Proposed Rates'!$D$248:$J$254,+J$11-2,FALSE)</f>
        <v>0.14199999999999999</v>
      </c>
      <c r="K48" s="433">
        <f>IF(AND($S$2=1, $F$10&gt;=600), $F$10-600, IF(AND($S$2=1, AND($F$10&lt;600, $F$10&gt;=0)), 0, IF(AND($S$2=2, $F$10&gt;=1000), $F$10-1000, IF(AND($S$2=2, AND($F$10&lt;1000, $F$10&gt;=0)), 0))))</f>
        <v>900</v>
      </c>
      <c r="L48" s="400">
        <f t="shared" si="55"/>
        <v>127.79999999999998</v>
      </c>
      <c r="M48" s="128"/>
      <c r="N48" s="401">
        <f t="shared" si="36"/>
        <v>0</v>
      </c>
      <c r="O48" s="402">
        <f t="shared" si="37"/>
        <v>0</v>
      </c>
      <c r="P48" s="52"/>
      <c r="Q48" s="430">
        <f>VLOOKUP($B48,'Proposed Rates'!$D$248:$J$254,+Q$11-2,FALSE)</f>
        <v>0.14199999999999999</v>
      </c>
      <c r="R48" s="433">
        <f>IF(AND($S$2=1, $F$10&gt;=600), $F$10-600, IF(AND($S$2=1, AND($F$10&lt;600, $F$10&gt;=0)), 0, IF(AND($S$2=2, $F$10&gt;=1000), $F$10-1000, IF(AND($S$2=2, AND($F$10&lt;1000, $F$10&gt;=0)), 0))))</f>
        <v>900</v>
      </c>
      <c r="S48" s="400">
        <f t="shared" si="57"/>
        <v>127.79999999999998</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900</v>
      </c>
      <c r="Z48" s="400">
        <f t="shared" si="59"/>
        <v>127.79999999999998</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900</v>
      </c>
      <c r="AG48" s="400">
        <f t="shared" si="61"/>
        <v>127.79999999999998</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900</v>
      </c>
      <c r="AN48" s="400">
        <f t="shared" si="63"/>
        <v>127.79999999999998</v>
      </c>
      <c r="AO48" s="128"/>
      <c r="AP48" s="401">
        <f t="shared" si="21"/>
        <v>0</v>
      </c>
      <c r="AQ48" s="402">
        <f t="shared" si="22"/>
        <v>0</v>
      </c>
      <c r="AR48" s="403"/>
    </row>
    <row r="49" spans="1:44" ht="8.25"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75" customHeight="1">
      <c r="A50" s="52"/>
      <c r="B50" s="444" t="s">
        <v>315</v>
      </c>
      <c r="C50" s="320"/>
      <c r="D50" s="320"/>
      <c r="E50" s="320"/>
      <c r="F50" s="445"/>
      <c r="G50" s="489"/>
      <c r="H50" s="447">
        <f>SUM(H41:H46,H40)</f>
        <v>273.01085899999998</v>
      </c>
      <c r="I50" s="482"/>
      <c r="J50" s="445"/>
      <c r="K50" s="446"/>
      <c r="L50" s="447">
        <f>SUM(L41:L46,L40)</f>
        <v>282.63346200000001</v>
      </c>
      <c r="M50" s="449"/>
      <c r="N50" s="448">
        <f t="shared" ref="N50:N54" si="64">L50-H50</f>
        <v>9.6226030000000264</v>
      </c>
      <c r="O50" s="450">
        <f t="shared" ref="O50:O54" si="65">IF((H50)=0,"",(N50/H50))</f>
        <v>3.5246228063038426E-2</v>
      </c>
      <c r="P50" s="52"/>
      <c r="Q50" s="446"/>
      <c r="R50" s="446"/>
      <c r="S50" s="448">
        <f>SUM(S41:S46,S40)</f>
        <v>286.60346200000004</v>
      </c>
      <c r="T50" s="449"/>
      <c r="U50" s="448">
        <f t="shared" ref="U50:U54" si="66">S50-L50</f>
        <v>3.9700000000000273</v>
      </c>
      <c r="V50" s="450">
        <f t="shared" ref="V50:V54" si="67">IF((L50)=0,"",(U50/L50))</f>
        <v>1.404646134929355E-2</v>
      </c>
      <c r="W50" s="52"/>
      <c r="X50" s="446"/>
      <c r="Y50" s="446"/>
      <c r="Z50" s="448">
        <f>SUM(Z41:Z46,Z40)</f>
        <v>290.59895999999998</v>
      </c>
      <c r="AA50" s="449"/>
      <c r="AB50" s="448">
        <f t="shared" ref="AB50:AB54" si="68">Z50-S50</f>
        <v>3.9954979999999409</v>
      </c>
      <c r="AC50" s="450">
        <f t="shared" ref="AC50:AC54" si="69">IF((S50)=0,"",(AB50/S50))</f>
        <v>1.3940857420626484E-2</v>
      </c>
      <c r="AD50" s="52"/>
      <c r="AE50" s="446"/>
      <c r="AF50" s="446"/>
      <c r="AG50" s="448">
        <f>SUM(AG41:AG46,AG40)</f>
        <v>293.71895999999998</v>
      </c>
      <c r="AH50" s="449"/>
      <c r="AI50" s="448">
        <f t="shared" ref="AI50:AI54" si="70">AG50-Z50</f>
        <v>3.1200000000000045</v>
      </c>
      <c r="AJ50" s="450">
        <f t="shared" ref="AJ50:AJ54" si="71">IF((Z50)=0,"",(AI50/Z50))</f>
        <v>1.0736445856516503E-2</v>
      </c>
      <c r="AK50" s="52"/>
      <c r="AL50" s="446"/>
      <c r="AM50" s="446"/>
      <c r="AN50" s="448">
        <f>SUM(AN41:AN46,AN40)</f>
        <v>296.67895999999996</v>
      </c>
      <c r="AO50" s="449"/>
      <c r="AP50" s="448">
        <f t="shared" ref="AP50:AP54" si="72">AN50-AG50</f>
        <v>2.9599999999999795</v>
      </c>
      <c r="AQ50" s="450">
        <f t="shared" ref="AQ50:AQ54" si="73">IF((AG50)=0,"",(AP50/AG50))</f>
        <v>1.0077660631782094E-2</v>
      </c>
      <c r="AR50" s="451"/>
    </row>
    <row r="51" spans="1:44" ht="12.75" customHeight="1">
      <c r="A51" s="52"/>
      <c r="B51" s="452" t="s">
        <v>316</v>
      </c>
      <c r="C51" s="320"/>
      <c r="D51" s="320"/>
      <c r="E51" s="320"/>
      <c r="F51" s="445">
        <v>0.13</v>
      </c>
      <c r="G51" s="128"/>
      <c r="H51" s="490">
        <f>H50*F51</f>
        <v>35.491411669999998</v>
      </c>
      <c r="I51" s="417"/>
      <c r="J51" s="445">
        <v>0.13</v>
      </c>
      <c r="K51" s="417"/>
      <c r="L51" s="400">
        <f>L50*J51</f>
        <v>36.74235006</v>
      </c>
      <c r="M51" s="128"/>
      <c r="N51" s="401">
        <f t="shared" si="64"/>
        <v>1.2509383900000017</v>
      </c>
      <c r="O51" s="402">
        <f t="shared" si="65"/>
        <v>3.5246228063038378E-2</v>
      </c>
      <c r="P51" s="52"/>
      <c r="Q51" s="453">
        <v>0.13</v>
      </c>
      <c r="R51" s="417"/>
      <c r="S51" s="400">
        <f>S50*Q51</f>
        <v>37.258450060000008</v>
      </c>
      <c r="T51" s="128"/>
      <c r="U51" s="401">
        <f t="shared" si="66"/>
        <v>0.51610000000000866</v>
      </c>
      <c r="V51" s="402">
        <f t="shared" si="67"/>
        <v>1.4046461349293689E-2</v>
      </c>
      <c r="W51" s="52"/>
      <c r="X51" s="453">
        <v>0.13</v>
      </c>
      <c r="Y51" s="417"/>
      <c r="Z51" s="400">
        <f>Z50*X51</f>
        <v>37.777864799999996</v>
      </c>
      <c r="AA51" s="128"/>
      <c r="AB51" s="401">
        <f t="shared" si="68"/>
        <v>0.51941473999998777</v>
      </c>
      <c r="AC51" s="402">
        <f t="shared" si="69"/>
        <v>1.3940857420626361E-2</v>
      </c>
      <c r="AD51" s="52"/>
      <c r="AE51" s="453">
        <v>0.13</v>
      </c>
      <c r="AF51" s="417"/>
      <c r="AG51" s="400">
        <f>AG50*AE51</f>
        <v>38.183464799999996</v>
      </c>
      <c r="AH51" s="128"/>
      <c r="AI51" s="401">
        <f t="shared" si="70"/>
        <v>0.40559999999999974</v>
      </c>
      <c r="AJ51" s="402">
        <f t="shared" si="71"/>
        <v>1.073644585651648E-2</v>
      </c>
      <c r="AK51" s="52"/>
      <c r="AL51" s="453">
        <v>0.13</v>
      </c>
      <c r="AM51" s="417"/>
      <c r="AN51" s="400">
        <f>AN50*AL51</f>
        <v>38.568264799999994</v>
      </c>
      <c r="AO51" s="128"/>
      <c r="AP51" s="401">
        <f t="shared" si="72"/>
        <v>0.38479999999999848</v>
      </c>
      <c r="AQ51" s="402">
        <f t="shared" si="73"/>
        <v>1.0077660631782125E-2</v>
      </c>
      <c r="AR51" s="403"/>
    </row>
    <row r="52" spans="1:44" ht="12.75" customHeight="1">
      <c r="A52" s="52"/>
      <c r="B52" s="454" t="s">
        <v>357</v>
      </c>
      <c r="C52" s="320"/>
      <c r="D52" s="320"/>
      <c r="E52" s="320"/>
      <c r="F52" s="455"/>
      <c r="G52" s="128"/>
      <c r="H52" s="490">
        <f>H50+H51</f>
        <v>308.50227066999997</v>
      </c>
      <c r="I52" s="417"/>
      <c r="J52" s="455"/>
      <c r="K52" s="417"/>
      <c r="L52" s="400">
        <f>L50+L51</f>
        <v>319.37581205999999</v>
      </c>
      <c r="M52" s="128"/>
      <c r="N52" s="401">
        <f t="shared" si="64"/>
        <v>10.873541390000014</v>
      </c>
      <c r="O52" s="402">
        <f t="shared" si="65"/>
        <v>3.5246228063038378E-2</v>
      </c>
      <c r="P52" s="52"/>
      <c r="Q52" s="417"/>
      <c r="R52" s="417"/>
      <c r="S52" s="400">
        <f>S50+S51</f>
        <v>323.86191206000007</v>
      </c>
      <c r="T52" s="128"/>
      <c r="U52" s="401">
        <f t="shared" si="66"/>
        <v>4.4861000000000786</v>
      </c>
      <c r="V52" s="402">
        <f t="shared" si="67"/>
        <v>1.40464613492937E-2</v>
      </c>
      <c r="W52" s="52"/>
      <c r="X52" s="417"/>
      <c r="Y52" s="417"/>
      <c r="Z52" s="400">
        <f>Z50+Z51</f>
        <v>328.37682479999995</v>
      </c>
      <c r="AA52" s="128"/>
      <c r="AB52" s="401">
        <f t="shared" si="68"/>
        <v>4.5149127399998861</v>
      </c>
      <c r="AC52" s="402">
        <f t="shared" si="69"/>
        <v>1.3940857420626337E-2</v>
      </c>
      <c r="AD52" s="52"/>
      <c r="AE52" s="417"/>
      <c r="AF52" s="417"/>
      <c r="AG52" s="400">
        <f>AG50+AG51</f>
        <v>331.90242479999995</v>
      </c>
      <c r="AH52" s="128"/>
      <c r="AI52" s="401">
        <f t="shared" si="70"/>
        <v>3.5255999999999972</v>
      </c>
      <c r="AJ52" s="402">
        <f t="shared" si="71"/>
        <v>1.0736445856516478E-2</v>
      </c>
      <c r="AK52" s="52"/>
      <c r="AL52" s="417"/>
      <c r="AM52" s="417"/>
      <c r="AN52" s="400">
        <f>AN50+AN51</f>
        <v>335.24722479999997</v>
      </c>
      <c r="AO52" s="128"/>
      <c r="AP52" s="401">
        <f t="shared" si="72"/>
        <v>3.3448000000000206</v>
      </c>
      <c r="AQ52" s="402">
        <f t="shared" si="73"/>
        <v>1.0077660631782228E-2</v>
      </c>
      <c r="AR52" s="403"/>
    </row>
    <row r="53" spans="1:44" ht="15.75" customHeight="1">
      <c r="A53" s="52"/>
      <c r="B53" s="628" t="s">
        <v>273</v>
      </c>
      <c r="C53" s="615"/>
      <c r="D53" s="615"/>
      <c r="E53" s="320"/>
      <c r="F53" s="456">
        <f>'Proposed Rates'!E286</f>
        <v>0.23499999999999999</v>
      </c>
      <c r="G53" s="128"/>
      <c r="H53" s="492">
        <f>F53*H50</f>
        <v>64.157551864999988</v>
      </c>
      <c r="I53" s="417"/>
      <c r="J53" s="456">
        <f>'Proposed Rates'!F286</f>
        <v>0.23499999999999999</v>
      </c>
      <c r="K53" s="417"/>
      <c r="L53" s="457">
        <f>J53*L50</f>
        <v>66.418863569999999</v>
      </c>
      <c r="M53" s="128"/>
      <c r="N53" s="457">
        <f t="shared" si="64"/>
        <v>2.2613117050000113</v>
      </c>
      <c r="O53" s="459">
        <f t="shared" si="65"/>
        <v>3.5246228063038509E-2</v>
      </c>
      <c r="P53" s="52"/>
      <c r="Q53" s="458">
        <f>'Proposed Rates'!G286</f>
        <v>0.23499999999999999</v>
      </c>
      <c r="R53" s="417"/>
      <c r="S53" s="457">
        <f>Q53*S50</f>
        <v>67.351813570000004</v>
      </c>
      <c r="T53" s="128"/>
      <c r="U53" s="457">
        <f t="shared" si="66"/>
        <v>0.93295000000000528</v>
      </c>
      <c r="V53" s="459">
        <f t="shared" si="67"/>
        <v>1.4046461349293533E-2</v>
      </c>
      <c r="W53" s="52"/>
      <c r="X53" s="458">
        <f>'Proposed Rates'!H286</f>
        <v>0.23499999999999999</v>
      </c>
      <c r="Y53" s="417"/>
      <c r="Z53" s="457">
        <f>X53*Z50</f>
        <v>68.290755599999997</v>
      </c>
      <c r="AA53" s="128"/>
      <c r="AB53" s="457">
        <f t="shared" si="68"/>
        <v>0.93894202999999266</v>
      </c>
      <c r="AC53" s="459">
        <f t="shared" si="69"/>
        <v>1.3940857420626581E-2</v>
      </c>
      <c r="AD53" s="52"/>
      <c r="AE53" s="458">
        <f>'Proposed Rates'!I286</f>
        <v>0.23499999999999999</v>
      </c>
      <c r="AF53" s="417"/>
      <c r="AG53" s="457">
        <f>AE53*AG50</f>
        <v>69.023955599999994</v>
      </c>
      <c r="AH53" s="128"/>
      <c r="AI53" s="457">
        <f t="shared" si="70"/>
        <v>0.73319999999999652</v>
      </c>
      <c r="AJ53" s="459">
        <f t="shared" si="71"/>
        <v>1.0736445856516435E-2</v>
      </c>
      <c r="AK53" s="52"/>
      <c r="AL53" s="458">
        <f>'Proposed Rates'!J286</f>
        <v>0.23499999999999999</v>
      </c>
      <c r="AM53" s="417"/>
      <c r="AN53" s="457">
        <f>AL53*AN50</f>
        <v>69.719555599999993</v>
      </c>
      <c r="AO53" s="128"/>
      <c r="AP53" s="457">
        <f t="shared" si="72"/>
        <v>0.69559999999999889</v>
      </c>
      <c r="AQ53" s="459">
        <f t="shared" si="73"/>
        <v>1.0077660631782148E-2</v>
      </c>
      <c r="AR53" s="460"/>
    </row>
    <row r="54" spans="1:44" ht="12.75" customHeight="1">
      <c r="A54" s="52"/>
      <c r="B54" s="627" t="s">
        <v>318</v>
      </c>
      <c r="C54" s="613"/>
      <c r="D54" s="613"/>
      <c r="E54" s="461"/>
      <c r="F54" s="462"/>
      <c r="G54" s="493"/>
      <c r="H54" s="494">
        <f>H52-H53</f>
        <v>244.34471880499999</v>
      </c>
      <c r="I54" s="463"/>
      <c r="J54" s="462"/>
      <c r="K54" s="463"/>
      <c r="L54" s="464">
        <f>L52-L53</f>
        <v>252.95694849</v>
      </c>
      <c r="M54" s="465"/>
      <c r="N54" s="466">
        <f t="shared" si="64"/>
        <v>8.6122296850000168</v>
      </c>
      <c r="O54" s="467">
        <f t="shared" si="65"/>
        <v>3.5246228063038398E-2</v>
      </c>
      <c r="P54" s="52"/>
      <c r="Q54" s="463"/>
      <c r="R54" s="463"/>
      <c r="S54" s="464">
        <f>S52-S53</f>
        <v>256.51009849000008</v>
      </c>
      <c r="T54" s="465"/>
      <c r="U54" s="466">
        <f t="shared" si="66"/>
        <v>3.5531500000000733</v>
      </c>
      <c r="V54" s="467">
        <f t="shared" si="67"/>
        <v>1.4046461349293743E-2</v>
      </c>
      <c r="W54" s="52"/>
      <c r="X54" s="463"/>
      <c r="Y54" s="463"/>
      <c r="Z54" s="464">
        <f>Z52-Z53</f>
        <v>260.08606919999994</v>
      </c>
      <c r="AA54" s="465"/>
      <c r="AB54" s="466">
        <f t="shared" si="68"/>
        <v>3.575970709999865</v>
      </c>
      <c r="AC54" s="467">
        <f t="shared" si="69"/>
        <v>1.3940857420626162E-2</v>
      </c>
      <c r="AD54" s="52"/>
      <c r="AE54" s="463"/>
      <c r="AF54" s="463"/>
      <c r="AG54" s="464">
        <f>AG52-AG53</f>
        <v>262.87846919999993</v>
      </c>
      <c r="AH54" s="465"/>
      <c r="AI54" s="466">
        <f t="shared" si="70"/>
        <v>2.7923999999999864</v>
      </c>
      <c r="AJ54" s="467">
        <f t="shared" si="71"/>
        <v>1.0736445856516437E-2</v>
      </c>
      <c r="AK54" s="52"/>
      <c r="AL54" s="463"/>
      <c r="AM54" s="463"/>
      <c r="AN54" s="464">
        <f>AN52-AN53</f>
        <v>265.52766919999999</v>
      </c>
      <c r="AO54" s="465"/>
      <c r="AP54" s="466">
        <f t="shared" si="72"/>
        <v>2.6492000000000644</v>
      </c>
      <c r="AQ54" s="467">
        <f t="shared" si="73"/>
        <v>1.0077660631782412E-2</v>
      </c>
      <c r="AR54" s="468"/>
    </row>
    <row r="55" spans="1:44" ht="8.25"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75" customHeight="1">
      <c r="A56" s="52"/>
      <c r="B56" s="444" t="s">
        <v>319</v>
      </c>
      <c r="C56" s="320"/>
      <c r="D56" s="320"/>
      <c r="E56" s="320"/>
      <c r="F56" s="445"/>
      <c r="G56" s="489"/>
      <c r="H56" s="447">
        <f>SUM(H47:H48,H40,H41:H43)</f>
        <v>281.53085899999996</v>
      </c>
      <c r="I56" s="482"/>
      <c r="J56" s="445"/>
      <c r="K56" s="446"/>
      <c r="L56" s="447">
        <f>SUM(L47:L48,L40,L41:L43)</f>
        <v>291.15346199999999</v>
      </c>
      <c r="M56" s="449"/>
      <c r="N56" s="448">
        <f t="shared" ref="N56:N60" si="74">L56-H56</f>
        <v>9.6226030000000264</v>
      </c>
      <c r="O56" s="450">
        <f t="shared" ref="O56:O60" si="75">IF((H56)=0,"",(N56/H56))</f>
        <v>3.4179567505244701E-2</v>
      </c>
      <c r="P56" s="52"/>
      <c r="Q56" s="446"/>
      <c r="R56" s="446"/>
      <c r="S56" s="448">
        <f>SUM(S47:S48,S40,S41:S43)</f>
        <v>295.12346200000002</v>
      </c>
      <c r="T56" s="449"/>
      <c r="U56" s="448">
        <f t="shared" ref="U56:U60" si="76">S56-L56</f>
        <v>3.9700000000000273</v>
      </c>
      <c r="V56" s="450">
        <f t="shared" ref="V56:V60" si="77">IF((L56)=0,"",(U56/L56))</f>
        <v>1.3635420897038921E-2</v>
      </c>
      <c r="W56" s="52"/>
      <c r="X56" s="446"/>
      <c r="Y56" s="446"/>
      <c r="Z56" s="448">
        <f>SUM(Z47:Z48,Z40,Z41:Z43)</f>
        <v>299.11895999999996</v>
      </c>
      <c r="AA56" s="449"/>
      <c r="AB56" s="448">
        <f t="shared" ref="AB56:AB60" si="78">Z56-S56</f>
        <v>3.9954979999999409</v>
      </c>
      <c r="AC56" s="450">
        <f t="shared" ref="AC56:AC60" si="79">IF((S56)=0,"",(AB56/S56))</f>
        <v>1.3538394992126857E-2</v>
      </c>
      <c r="AD56" s="52"/>
      <c r="AE56" s="446"/>
      <c r="AF56" s="446"/>
      <c r="AG56" s="448">
        <f>SUM(AG47:AG48,AG40,AG41:AG43)</f>
        <v>302.23896000000002</v>
      </c>
      <c r="AH56" s="449"/>
      <c r="AI56" s="448">
        <f t="shared" ref="AI56:AI60" si="80">AG56-Z56</f>
        <v>3.1200000000000614</v>
      </c>
      <c r="AJ56" s="450">
        <f t="shared" ref="AJ56:AJ60" si="81">IF((Z56)=0,"",(AI56/Z56))</f>
        <v>1.0430632682060882E-2</v>
      </c>
      <c r="AK56" s="52"/>
      <c r="AL56" s="446"/>
      <c r="AM56" s="446"/>
      <c r="AN56" s="448">
        <f>SUM(AN47:AN48,AN40,AN41:AN43)</f>
        <v>305.19896</v>
      </c>
      <c r="AO56" s="449"/>
      <c r="AP56" s="448">
        <f t="shared" ref="AP56:AP60" si="82">AN56-AG56</f>
        <v>2.9599999999999795</v>
      </c>
      <c r="AQ56" s="450">
        <f t="shared" ref="AQ56:AQ60" si="83">IF((AG56)=0,"",(AP56/AG56))</f>
        <v>9.7935752558173817E-3</v>
      </c>
      <c r="AR56" s="451"/>
    </row>
    <row r="57" spans="1:44" ht="12.75" customHeight="1">
      <c r="A57" s="52"/>
      <c r="B57" s="452" t="s">
        <v>316</v>
      </c>
      <c r="C57" s="320"/>
      <c r="D57" s="320"/>
      <c r="E57" s="320"/>
      <c r="F57" s="445">
        <v>0.13</v>
      </c>
      <c r="G57" s="489"/>
      <c r="H57" s="490">
        <f>H56*F57</f>
        <v>36.599011669999996</v>
      </c>
      <c r="I57" s="417"/>
      <c r="J57" s="445">
        <v>0.13</v>
      </c>
      <c r="K57" s="453"/>
      <c r="L57" s="400">
        <f>L56*J57</f>
        <v>37.849950059999998</v>
      </c>
      <c r="M57" s="128"/>
      <c r="N57" s="401">
        <f t="shared" si="74"/>
        <v>1.2509383900000017</v>
      </c>
      <c r="O57" s="402">
        <f t="shared" si="75"/>
        <v>3.4179567505244653E-2</v>
      </c>
      <c r="P57" s="52"/>
      <c r="Q57" s="445">
        <v>0.13</v>
      </c>
      <c r="R57" s="453"/>
      <c r="S57" s="400">
        <f>S56*Q57</f>
        <v>38.366050060000006</v>
      </c>
      <c r="T57" s="128"/>
      <c r="U57" s="401">
        <f t="shared" si="76"/>
        <v>0.51610000000000866</v>
      </c>
      <c r="V57" s="402">
        <f t="shared" si="77"/>
        <v>1.3635420897039056E-2</v>
      </c>
      <c r="W57" s="52"/>
      <c r="X57" s="445">
        <v>0.13</v>
      </c>
      <c r="Y57" s="453"/>
      <c r="Z57" s="400">
        <f>Z56*X57</f>
        <v>38.885464799999994</v>
      </c>
      <c r="AA57" s="128"/>
      <c r="AB57" s="401">
        <f t="shared" si="78"/>
        <v>0.51941473999998777</v>
      </c>
      <c r="AC57" s="402">
        <f t="shared" si="79"/>
        <v>1.3538394992126737E-2</v>
      </c>
      <c r="AD57" s="52"/>
      <c r="AE57" s="445">
        <v>0.13</v>
      </c>
      <c r="AF57" s="453"/>
      <c r="AG57" s="400">
        <f>AG56*AE57</f>
        <v>39.291064800000001</v>
      </c>
      <c r="AH57" s="128"/>
      <c r="AI57" s="401">
        <f t="shared" si="80"/>
        <v>0.40560000000000684</v>
      </c>
      <c r="AJ57" s="402">
        <f t="shared" si="81"/>
        <v>1.0430632682060853E-2</v>
      </c>
      <c r="AK57" s="52"/>
      <c r="AL57" s="445">
        <v>0.13</v>
      </c>
      <c r="AM57" s="453"/>
      <c r="AN57" s="400">
        <f>AN56*AL57</f>
        <v>39.675864799999999</v>
      </c>
      <c r="AO57" s="128"/>
      <c r="AP57" s="401">
        <f t="shared" si="82"/>
        <v>0.38479999999999848</v>
      </c>
      <c r="AQ57" s="402">
        <f t="shared" si="83"/>
        <v>9.7935752558174112E-3</v>
      </c>
      <c r="AR57" s="403"/>
    </row>
    <row r="58" spans="1:44" ht="12.75" customHeight="1">
      <c r="A58" s="52"/>
      <c r="B58" s="454" t="s">
        <v>358</v>
      </c>
      <c r="C58" s="320"/>
      <c r="D58" s="320"/>
      <c r="E58" s="320"/>
      <c r="F58" s="455"/>
      <c r="G58" s="128"/>
      <c r="H58" s="490">
        <f>H56+H57</f>
        <v>318.12987066999995</v>
      </c>
      <c r="I58" s="417"/>
      <c r="J58" s="455"/>
      <c r="K58" s="417"/>
      <c r="L58" s="400">
        <f>L56+L57</f>
        <v>329.00341205999996</v>
      </c>
      <c r="M58" s="128"/>
      <c r="N58" s="401">
        <f t="shared" si="74"/>
        <v>10.873541390000014</v>
      </c>
      <c r="O58" s="402">
        <f t="shared" si="75"/>
        <v>3.4179567505244653E-2</v>
      </c>
      <c r="P58" s="52"/>
      <c r="Q58" s="417"/>
      <c r="R58" s="417"/>
      <c r="S58" s="400">
        <f>S56+S57</f>
        <v>333.48951206000004</v>
      </c>
      <c r="T58" s="128"/>
      <c r="U58" s="401">
        <f t="shared" si="76"/>
        <v>4.4861000000000786</v>
      </c>
      <c r="V58" s="402">
        <f t="shared" si="77"/>
        <v>1.3635420897039067E-2</v>
      </c>
      <c r="W58" s="52"/>
      <c r="X58" s="417"/>
      <c r="Y58" s="417"/>
      <c r="Z58" s="400">
        <f>Z56+Z57</f>
        <v>338.00442479999992</v>
      </c>
      <c r="AA58" s="128"/>
      <c r="AB58" s="401">
        <f t="shared" si="78"/>
        <v>4.5149127399998861</v>
      </c>
      <c r="AC58" s="402">
        <f t="shared" si="79"/>
        <v>1.3538394992126715E-2</v>
      </c>
      <c r="AD58" s="52"/>
      <c r="AE58" s="417"/>
      <c r="AF58" s="417"/>
      <c r="AG58" s="400">
        <f>AG56+AG57</f>
        <v>341.53002480000004</v>
      </c>
      <c r="AH58" s="128"/>
      <c r="AI58" s="401">
        <f t="shared" si="80"/>
        <v>3.5256000000001109</v>
      </c>
      <c r="AJ58" s="402">
        <f t="shared" si="81"/>
        <v>1.0430632682061005E-2</v>
      </c>
      <c r="AK58" s="52"/>
      <c r="AL58" s="417"/>
      <c r="AM58" s="417"/>
      <c r="AN58" s="400">
        <f>AN56+AN57</f>
        <v>344.8748248</v>
      </c>
      <c r="AO58" s="128"/>
      <c r="AP58" s="401">
        <f t="shared" si="82"/>
        <v>3.3447999999999638</v>
      </c>
      <c r="AQ58" s="402">
        <f t="shared" si="83"/>
        <v>9.7935752558173435E-3</v>
      </c>
      <c r="AR58" s="403"/>
    </row>
    <row r="59" spans="1:44" ht="15.75" customHeight="1">
      <c r="A59" s="52"/>
      <c r="B59" s="628" t="s">
        <v>273</v>
      </c>
      <c r="C59" s="615"/>
      <c r="D59" s="615"/>
      <c r="E59" s="320"/>
      <c r="F59" s="456">
        <f>F53</f>
        <v>0.23499999999999999</v>
      </c>
      <c r="G59" s="128"/>
      <c r="H59" s="492">
        <f>F59*H56</f>
        <v>66.15975186499999</v>
      </c>
      <c r="I59" s="417"/>
      <c r="J59" s="456">
        <f>J53</f>
        <v>0.23499999999999999</v>
      </c>
      <c r="K59" s="417"/>
      <c r="L59" s="457">
        <f>J59*L56</f>
        <v>68.421063569999987</v>
      </c>
      <c r="M59" s="128"/>
      <c r="N59" s="457">
        <f t="shared" si="74"/>
        <v>2.2613117049999971</v>
      </c>
      <c r="O59" s="459">
        <f t="shared" si="75"/>
        <v>3.4179567505244562E-2</v>
      </c>
      <c r="P59" s="52"/>
      <c r="Q59" s="458">
        <f>Q53</f>
        <v>0.23499999999999999</v>
      </c>
      <c r="R59" s="417"/>
      <c r="S59" s="457">
        <f>Q59*S56</f>
        <v>69.354013570000006</v>
      </c>
      <c r="T59" s="128"/>
      <c r="U59" s="457">
        <f t="shared" si="76"/>
        <v>0.93295000000001949</v>
      </c>
      <c r="V59" s="459">
        <f t="shared" si="77"/>
        <v>1.3635420897039114E-2</v>
      </c>
      <c r="W59" s="52"/>
      <c r="X59" s="458">
        <f>X53</f>
        <v>0.23499999999999999</v>
      </c>
      <c r="Y59" s="417"/>
      <c r="Z59" s="457">
        <f>X59*Z56</f>
        <v>70.292955599999985</v>
      </c>
      <c r="AA59" s="128"/>
      <c r="AB59" s="457">
        <f t="shared" si="78"/>
        <v>0.93894202999997844</v>
      </c>
      <c r="AC59" s="459">
        <f t="shared" si="79"/>
        <v>1.3538394992126746E-2</v>
      </c>
      <c r="AD59" s="52"/>
      <c r="AE59" s="458">
        <f>AE53</f>
        <v>0.23499999999999999</v>
      </c>
      <c r="AF59" s="417"/>
      <c r="AG59" s="457">
        <f>AE59*AG56</f>
        <v>71.026155599999996</v>
      </c>
      <c r="AH59" s="128"/>
      <c r="AI59" s="457">
        <f t="shared" si="80"/>
        <v>0.73320000000001073</v>
      </c>
      <c r="AJ59" s="459">
        <f t="shared" si="81"/>
        <v>1.043063268206083E-2</v>
      </c>
      <c r="AK59" s="52"/>
      <c r="AL59" s="458">
        <f>AL53</f>
        <v>0.23499999999999999</v>
      </c>
      <c r="AM59" s="417"/>
      <c r="AN59" s="457">
        <f>AL59*AN56</f>
        <v>71.721755599999995</v>
      </c>
      <c r="AO59" s="128"/>
      <c r="AP59" s="457">
        <f t="shared" si="82"/>
        <v>0.69559999999999889</v>
      </c>
      <c r="AQ59" s="459">
        <f t="shared" si="83"/>
        <v>9.7935752558174355E-3</v>
      </c>
      <c r="AR59" s="460"/>
    </row>
    <row r="60" spans="1:44" ht="12.75" customHeight="1">
      <c r="A60" s="52"/>
      <c r="B60" s="627" t="s">
        <v>321</v>
      </c>
      <c r="C60" s="613"/>
      <c r="D60" s="613"/>
      <c r="E60" s="461"/>
      <c r="F60" s="469"/>
      <c r="G60" s="495"/>
      <c r="H60" s="496">
        <f>H58-H59</f>
        <v>251.97011880499997</v>
      </c>
      <c r="I60" s="470"/>
      <c r="J60" s="469"/>
      <c r="K60" s="470"/>
      <c r="L60" s="471">
        <f>L58-L59</f>
        <v>260.58234848999996</v>
      </c>
      <c r="M60" s="472"/>
      <c r="N60" s="473">
        <f t="shared" si="74"/>
        <v>8.6122296849999884</v>
      </c>
      <c r="O60" s="474">
        <f t="shared" si="75"/>
        <v>3.4179567505244562E-2</v>
      </c>
      <c r="P60" s="52"/>
      <c r="Q60" s="470"/>
      <c r="R60" s="470"/>
      <c r="S60" s="471">
        <f>S58-S59</f>
        <v>264.13549849000003</v>
      </c>
      <c r="T60" s="472"/>
      <c r="U60" s="473">
        <f t="shared" si="76"/>
        <v>3.5531500000000733</v>
      </c>
      <c r="V60" s="474">
        <f t="shared" si="77"/>
        <v>1.363542089703911E-2</v>
      </c>
      <c r="W60" s="52"/>
      <c r="X60" s="470"/>
      <c r="Y60" s="470"/>
      <c r="Z60" s="471">
        <f>Z58-Z59</f>
        <v>267.71146919999995</v>
      </c>
      <c r="AA60" s="472"/>
      <c r="AB60" s="473">
        <f t="shared" si="78"/>
        <v>3.5759707099999218</v>
      </c>
      <c r="AC60" s="474">
        <f t="shared" si="79"/>
        <v>1.353839499212676E-2</v>
      </c>
      <c r="AD60" s="52"/>
      <c r="AE60" s="470"/>
      <c r="AF60" s="470"/>
      <c r="AG60" s="471">
        <f>AG58-AG59</f>
        <v>270.50386920000005</v>
      </c>
      <c r="AH60" s="472"/>
      <c r="AI60" s="473">
        <f t="shared" si="80"/>
        <v>2.7924000000001001</v>
      </c>
      <c r="AJ60" s="474">
        <f t="shared" si="81"/>
        <v>1.0430632682061052E-2</v>
      </c>
      <c r="AK60" s="52"/>
      <c r="AL60" s="470"/>
      <c r="AM60" s="470"/>
      <c r="AN60" s="471">
        <f>AN58-AN59</f>
        <v>273.1530692</v>
      </c>
      <c r="AO60" s="472"/>
      <c r="AP60" s="473">
        <f t="shared" si="82"/>
        <v>2.6491999999999507</v>
      </c>
      <c r="AQ60" s="474">
        <f t="shared" si="83"/>
        <v>9.7935752558172655E-3</v>
      </c>
      <c r="AR60" s="468"/>
    </row>
    <row r="61" spans="1:44" ht="8.25"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75"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75"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5.75" customHeight="1">
      <c r="A65" s="479" t="s">
        <v>359</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3.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8.25"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75"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000-000000000000}">
      <formula1>"TOU,non-TOU"</formula1>
    </dataValidation>
    <dataValidation type="list" allowBlank="1" showErrorMessage="1" sqref="E15:E28 E30:E36 E38:E39 E41:E49 E55 E61" xr:uid="{00000000-0002-0000-1000-000001000000}">
      <formula1>#REF!</formula1>
    </dataValidation>
    <dataValidation type="list" allowBlank="1" showInputMessage="1" showErrorMessage="1" prompt="Select Charge Unit - monthly, per kWh, per kW" sqref="D15:D28 D30:D36 D38:D39 D41:D49 D55 D61" xr:uid="{00000000-0002-0000-1000-000002000000}">
      <formula1>"Monthly,per kWh,per kW"</formula1>
    </dataValidation>
  </dataValidations>
  <pageMargins left="0.74803149606299213" right="0.74803149606299213" top="0.98425196850393704" bottom="0.98425196850393704"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1.85546875" customWidth="1"/>
    <col min="4" max="4" width="11.42578125" customWidth="1"/>
    <col min="5" max="5" width="1.42578125" customWidth="1"/>
    <col min="6" max="6" width="10.855468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 min="45" max="45" width="12.42578125" customWidth="1"/>
  </cols>
  <sheetData>
    <row r="1" spans="1:45"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5"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 customHeight="1">
      <c r="A6" s="52"/>
      <c r="B6" s="319" t="s">
        <v>294</v>
      </c>
      <c r="C6" s="52"/>
      <c r="D6" s="381" t="s">
        <v>219</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5"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 customHeight="1">
      <c r="A10" s="52"/>
      <c r="B10" s="52"/>
      <c r="C10" s="52"/>
      <c r="D10" s="306" t="s">
        <v>297</v>
      </c>
      <c r="E10" s="306"/>
      <c r="F10" s="386">
        <v>2000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400">
        <f t="shared" ref="H15:H28" si="2">G15*F15</f>
        <v>34.26</v>
      </c>
      <c r="I15" s="128"/>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52"/>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c r="AR15" s="403"/>
    </row>
    <row r="16" spans="1:45" ht="12" customHeight="1">
      <c r="A16" s="52"/>
      <c r="B16" s="320" t="s">
        <v>307</v>
      </c>
      <c r="C16" s="395" t="str">
        <f t="shared" si="0"/>
        <v>Residential.Smart Meter Rate Adder</v>
      </c>
      <c r="D16" s="396" t="s">
        <v>306</v>
      </c>
      <c r="E16" s="320"/>
      <c r="F16" s="397">
        <f>IFERROR(VLOOKUP($C16,'Proposed Rates'!$B:$J,F$11,FALSE),0)</f>
        <v>0</v>
      </c>
      <c r="G16" s="398">
        <f t="shared" si="1"/>
        <v>1</v>
      </c>
      <c r="H16" s="400">
        <f t="shared" si="2"/>
        <v>0</v>
      </c>
      <c r="I16" s="128"/>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52"/>
      <c r="AL16" s="397">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2000</v>
      </c>
      <c r="H17" s="400">
        <f t="shared" si="2"/>
        <v>0</v>
      </c>
      <c r="I17" s="128"/>
      <c r="J17" s="397">
        <f>IFERROR(VLOOKUP($C17,'Proposed Rates'!$B:$J,J$11,FALSE),0)</f>
        <v>0</v>
      </c>
      <c r="K17" s="398">
        <f t="shared" si="3"/>
        <v>2000</v>
      </c>
      <c r="L17" s="400">
        <f t="shared" si="4"/>
        <v>0</v>
      </c>
      <c r="M17" s="128"/>
      <c r="N17" s="401">
        <f t="shared" si="5"/>
        <v>0</v>
      </c>
      <c r="O17" s="402" t="str">
        <f t="shared" si="6"/>
        <v/>
      </c>
      <c r="P17" s="52"/>
      <c r="Q17" s="397">
        <f>IFERROR(VLOOKUP($C17,'Proposed Rates'!$B:$J,Q$11,FALSE),0)</f>
        <v>0</v>
      </c>
      <c r="R17" s="398">
        <f t="shared" si="7"/>
        <v>2000</v>
      </c>
      <c r="S17" s="400">
        <f t="shared" si="8"/>
        <v>0</v>
      </c>
      <c r="T17" s="128"/>
      <c r="U17" s="401">
        <f t="shared" si="9"/>
        <v>0</v>
      </c>
      <c r="V17" s="402" t="str">
        <f t="shared" si="10"/>
        <v/>
      </c>
      <c r="W17" s="52"/>
      <c r="X17" s="397">
        <f>IFERROR(VLOOKUP($C17,'Proposed Rates'!$B:$J,X$11,FALSE),0)</f>
        <v>0</v>
      </c>
      <c r="Y17" s="398">
        <f t="shared" si="11"/>
        <v>2000</v>
      </c>
      <c r="Z17" s="400">
        <f t="shared" si="12"/>
        <v>0</v>
      </c>
      <c r="AA17" s="128"/>
      <c r="AB17" s="401">
        <f t="shared" si="13"/>
        <v>0</v>
      </c>
      <c r="AC17" s="402" t="str">
        <f t="shared" si="14"/>
        <v/>
      </c>
      <c r="AD17" s="52"/>
      <c r="AE17" s="397">
        <f>IFERROR(VLOOKUP($C17,'Proposed Rates'!$B:$J,AE$11,FALSE),0)</f>
        <v>0</v>
      </c>
      <c r="AF17" s="398">
        <f t="shared" si="15"/>
        <v>2000</v>
      </c>
      <c r="AG17" s="400">
        <f t="shared" si="16"/>
        <v>0</v>
      </c>
      <c r="AH17" s="128"/>
      <c r="AI17" s="401">
        <f t="shared" si="17"/>
        <v>0</v>
      </c>
      <c r="AJ17" s="402" t="str">
        <f t="shared" si="18"/>
        <v/>
      </c>
      <c r="AK17" s="52"/>
      <c r="AL17" s="397">
        <f>IFERROR(VLOOKUP($C17,'Proposed Rates'!$B:$J,AL$11,FALSE),0)</f>
        <v>0</v>
      </c>
      <c r="AM17" s="398">
        <f t="shared" si="19"/>
        <v>2000</v>
      </c>
      <c r="AN17" s="400">
        <f t="shared" si="20"/>
        <v>0</v>
      </c>
      <c r="AO17" s="128"/>
      <c r="AP17" s="401">
        <f t="shared" si="21"/>
        <v>0</v>
      </c>
      <c r="AQ17" s="402" t="str">
        <f t="shared" si="22"/>
        <v/>
      </c>
      <c r="AR17" s="403"/>
    </row>
    <row r="18" spans="1:44" ht="12"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400">
        <f t="shared" si="2"/>
        <v>0</v>
      </c>
      <c r="I18" s="128"/>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52"/>
      <c r="AL18" s="397">
        <f>IFERROR(VLOOKUP($C18,'Proposed Rates'!$B:$J,AL$11,FALSE),0)</f>
        <v>0</v>
      </c>
      <c r="AM18" s="398">
        <f t="shared" si="19"/>
        <v>1</v>
      </c>
      <c r="AN18" s="400">
        <f t="shared" si="20"/>
        <v>0</v>
      </c>
      <c r="AO18" s="128"/>
      <c r="AP18" s="401">
        <f t="shared" si="21"/>
        <v>0</v>
      </c>
      <c r="AQ18" s="402" t="str">
        <f t="shared" si="22"/>
        <v/>
      </c>
      <c r="AR18" s="403"/>
    </row>
    <row r="19" spans="1:44" ht="12" customHeight="1">
      <c r="A19" s="52"/>
      <c r="B19" s="320" t="s">
        <v>59</v>
      </c>
      <c r="C19" s="395" t="str">
        <f t="shared" si="0"/>
        <v>Residential.Distribution Volumetric Rate</v>
      </c>
      <c r="D19" s="396" t="s">
        <v>308</v>
      </c>
      <c r="E19" s="320"/>
      <c r="F19" s="397">
        <f>IFERROR(VLOOKUP($C19,'Proposed Rates'!$B:$J,F$11,FALSE),0)</f>
        <v>0</v>
      </c>
      <c r="G19" s="398">
        <f t="shared" si="1"/>
        <v>2000</v>
      </c>
      <c r="H19" s="400">
        <f t="shared" si="2"/>
        <v>0</v>
      </c>
      <c r="I19" s="128"/>
      <c r="J19" s="397">
        <f>IFERROR(VLOOKUP($C19,'Proposed Rates'!$B:$J,J$11,FALSE),0)</f>
        <v>0</v>
      </c>
      <c r="K19" s="398">
        <f t="shared" si="3"/>
        <v>2000</v>
      </c>
      <c r="L19" s="400">
        <f t="shared" si="4"/>
        <v>0</v>
      </c>
      <c r="M19" s="128"/>
      <c r="N19" s="401">
        <f t="shared" si="5"/>
        <v>0</v>
      </c>
      <c r="O19" s="402" t="str">
        <f t="shared" si="6"/>
        <v/>
      </c>
      <c r="P19" s="52"/>
      <c r="Q19" s="397">
        <f>IFERROR(VLOOKUP($C19,'Proposed Rates'!$B:$J,Q$11,FALSE),0)</f>
        <v>0</v>
      </c>
      <c r="R19" s="398">
        <f t="shared" si="7"/>
        <v>2000</v>
      </c>
      <c r="S19" s="400">
        <f t="shared" si="8"/>
        <v>0</v>
      </c>
      <c r="T19" s="128"/>
      <c r="U19" s="401">
        <f t="shared" si="9"/>
        <v>0</v>
      </c>
      <c r="V19" s="402" t="str">
        <f t="shared" si="10"/>
        <v/>
      </c>
      <c r="W19" s="52"/>
      <c r="X19" s="397">
        <f>IFERROR(VLOOKUP($C19,'Proposed Rates'!$B:$J,X$11,FALSE),0)</f>
        <v>0</v>
      </c>
      <c r="Y19" s="398">
        <f t="shared" si="11"/>
        <v>2000</v>
      </c>
      <c r="Z19" s="400">
        <f t="shared" si="12"/>
        <v>0</v>
      </c>
      <c r="AA19" s="128"/>
      <c r="AB19" s="401">
        <f t="shared" si="13"/>
        <v>0</v>
      </c>
      <c r="AC19" s="402" t="str">
        <f t="shared" si="14"/>
        <v/>
      </c>
      <c r="AD19" s="52"/>
      <c r="AE19" s="397">
        <f>IFERROR(VLOOKUP($C19,'Proposed Rates'!$B:$J,AE$11,FALSE),0)</f>
        <v>0</v>
      </c>
      <c r="AF19" s="398">
        <f t="shared" si="15"/>
        <v>2000</v>
      </c>
      <c r="AG19" s="400">
        <f t="shared" si="16"/>
        <v>0</v>
      </c>
      <c r="AH19" s="128"/>
      <c r="AI19" s="401">
        <f t="shared" si="17"/>
        <v>0</v>
      </c>
      <c r="AJ19" s="402" t="str">
        <f t="shared" si="18"/>
        <v/>
      </c>
      <c r="AK19" s="52"/>
      <c r="AL19" s="397">
        <f>IFERROR(VLOOKUP($C19,'Proposed Rates'!$B:$J,AL$11,FALSE),0)</f>
        <v>0</v>
      </c>
      <c r="AM19" s="398">
        <f t="shared" si="19"/>
        <v>2000</v>
      </c>
      <c r="AN19" s="400">
        <f t="shared" si="20"/>
        <v>0</v>
      </c>
      <c r="AO19" s="128"/>
      <c r="AP19" s="401">
        <f t="shared" si="21"/>
        <v>0</v>
      </c>
      <c r="AQ19" s="402" t="str">
        <f t="shared" si="22"/>
        <v/>
      </c>
      <c r="AR19" s="403"/>
    </row>
    <row r="20" spans="1:44" ht="12" customHeight="1">
      <c r="A20" s="52"/>
      <c r="B20" s="320" t="s">
        <v>309</v>
      </c>
      <c r="C20" s="395" t="str">
        <f t="shared" si="0"/>
        <v>Residential.Smart Meter Disposition Rider</v>
      </c>
      <c r="D20" s="396" t="s">
        <v>308</v>
      </c>
      <c r="E20" s="320"/>
      <c r="F20" s="397">
        <f>IFERROR(VLOOKUP($C20,'Proposed Rates'!$B:$J,F$11,FALSE),0)</f>
        <v>0</v>
      </c>
      <c r="G20" s="398">
        <f t="shared" si="1"/>
        <v>2000</v>
      </c>
      <c r="H20" s="400">
        <f t="shared" si="2"/>
        <v>0</v>
      </c>
      <c r="I20" s="128"/>
      <c r="J20" s="397">
        <f>IFERROR(VLOOKUP($C20,'Proposed Rates'!$B:$J,J$11,FALSE),0)</f>
        <v>0</v>
      </c>
      <c r="K20" s="398">
        <f t="shared" si="3"/>
        <v>2000</v>
      </c>
      <c r="L20" s="400">
        <f t="shared" si="4"/>
        <v>0</v>
      </c>
      <c r="M20" s="128"/>
      <c r="N20" s="401">
        <f t="shared" si="5"/>
        <v>0</v>
      </c>
      <c r="O20" s="402" t="str">
        <f t="shared" si="6"/>
        <v/>
      </c>
      <c r="P20" s="52"/>
      <c r="Q20" s="397">
        <f>IFERROR(VLOOKUP($C20,'Proposed Rates'!$B:$J,Q$11,FALSE),0)</f>
        <v>0</v>
      </c>
      <c r="R20" s="398">
        <f t="shared" si="7"/>
        <v>2000</v>
      </c>
      <c r="S20" s="400">
        <f t="shared" si="8"/>
        <v>0</v>
      </c>
      <c r="T20" s="128"/>
      <c r="U20" s="401">
        <f t="shared" si="9"/>
        <v>0</v>
      </c>
      <c r="V20" s="402" t="str">
        <f t="shared" si="10"/>
        <v/>
      </c>
      <c r="W20" s="52"/>
      <c r="X20" s="397">
        <f>IFERROR(VLOOKUP($C20,'Proposed Rates'!$B:$J,X$11,FALSE),0)</f>
        <v>0</v>
      </c>
      <c r="Y20" s="398">
        <f t="shared" si="11"/>
        <v>2000</v>
      </c>
      <c r="Z20" s="400">
        <f t="shared" si="12"/>
        <v>0</v>
      </c>
      <c r="AA20" s="128"/>
      <c r="AB20" s="401">
        <f t="shared" si="13"/>
        <v>0</v>
      </c>
      <c r="AC20" s="402" t="str">
        <f t="shared" si="14"/>
        <v/>
      </c>
      <c r="AD20" s="52"/>
      <c r="AE20" s="397">
        <f>IFERROR(VLOOKUP($C20,'Proposed Rates'!$B:$J,AE$11,FALSE),0)</f>
        <v>0</v>
      </c>
      <c r="AF20" s="398">
        <f t="shared" si="15"/>
        <v>2000</v>
      </c>
      <c r="AG20" s="400">
        <f t="shared" si="16"/>
        <v>0</v>
      </c>
      <c r="AH20" s="128"/>
      <c r="AI20" s="401">
        <f t="shared" si="17"/>
        <v>0</v>
      </c>
      <c r="AJ20" s="402" t="str">
        <f t="shared" si="18"/>
        <v/>
      </c>
      <c r="AK20" s="52"/>
      <c r="AL20" s="397">
        <f>IFERROR(VLOOKUP($C20,'Proposed Rates'!$B:$J,AL$11,FALSE),0)</f>
        <v>0</v>
      </c>
      <c r="AM20" s="398">
        <f t="shared" si="19"/>
        <v>2000</v>
      </c>
      <c r="AN20" s="400">
        <f t="shared" si="20"/>
        <v>0</v>
      </c>
      <c r="AO20" s="128"/>
      <c r="AP20" s="401">
        <f t="shared" si="21"/>
        <v>0</v>
      </c>
      <c r="AQ20" s="402" t="str">
        <f t="shared" si="22"/>
        <v/>
      </c>
      <c r="AR20" s="403"/>
    </row>
    <row r="21" spans="1:44" ht="12"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52"/>
      <c r="AL21" s="397">
        <f>IFERROR(VLOOKUP($C21,'Proposed Rates'!$B:$J,AL$11,FALSE),0)</f>
        <v>0</v>
      </c>
      <c r="AM21" s="398">
        <f t="shared" si="19"/>
        <v>1</v>
      </c>
      <c r="AN21" s="400">
        <f t="shared" si="20"/>
        <v>0</v>
      </c>
      <c r="AO21" s="128"/>
      <c r="AP21" s="401">
        <f t="shared" si="21"/>
        <v>0</v>
      </c>
      <c r="AQ21" s="402" t="str">
        <f t="shared" si="22"/>
        <v/>
      </c>
      <c r="AR21" s="403"/>
    </row>
    <row r="22" spans="1:44" ht="12" customHeight="1">
      <c r="A22" s="52"/>
      <c r="B22" s="404" t="s">
        <v>237</v>
      </c>
      <c r="C22" s="395" t="str">
        <f t="shared" si="0"/>
        <v>Residential.Deferral/Variance Account Disposition Rate Rider Group 2</v>
      </c>
      <c r="D22" s="396" t="s">
        <v>306</v>
      </c>
      <c r="E22" s="320"/>
      <c r="F22" s="397">
        <f>IFERROR(VLOOKUP($C22,'Proposed Rates'!$B:$J,F$11,FALSE),0)</f>
        <v>0</v>
      </c>
      <c r="G22" s="398">
        <f t="shared" si="1"/>
        <v>1</v>
      </c>
      <c r="H22" s="400">
        <f t="shared" si="2"/>
        <v>0</v>
      </c>
      <c r="I22" s="128"/>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52"/>
      <c r="AL22" s="397">
        <f>IFERROR(VLOOKUP($C22,'Proposed Rates'!$B:$J,AL$11,FALSE),0)</f>
        <v>0</v>
      </c>
      <c r="AM22" s="398">
        <f t="shared" si="19"/>
        <v>1</v>
      </c>
      <c r="AN22" s="400">
        <f t="shared" si="20"/>
        <v>0</v>
      </c>
      <c r="AO22" s="128"/>
      <c r="AP22" s="401">
        <f t="shared" si="21"/>
        <v>0</v>
      </c>
      <c r="AQ22" s="402" t="str">
        <f t="shared" si="22"/>
        <v/>
      </c>
      <c r="AR22" s="403"/>
    </row>
    <row r="23" spans="1:44" ht="12" customHeight="1">
      <c r="A23" s="52"/>
      <c r="B23" s="404"/>
      <c r="C23" s="395" t="str">
        <f t="shared" si="0"/>
        <v>Residential.</v>
      </c>
      <c r="D23" s="396"/>
      <c r="E23" s="320"/>
      <c r="F23" s="397">
        <f>IFERROR(VLOOKUP($C23,'Proposed Rates'!$B:$J,F$11,FALSE),0)</f>
        <v>0</v>
      </c>
      <c r="G23" s="398">
        <f t="shared" si="1"/>
        <v>0</v>
      </c>
      <c r="H23" s="400">
        <f t="shared" si="2"/>
        <v>0</v>
      </c>
      <c r="I23" s="128"/>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52"/>
      <c r="AL23" s="397">
        <f>IFERROR(VLOOKUP($C23,'Proposed Rates'!$B:$J,AL$11,FALSE),0)</f>
        <v>0</v>
      </c>
      <c r="AM23" s="398">
        <f t="shared" si="19"/>
        <v>0</v>
      </c>
      <c r="AN23" s="400">
        <f t="shared" si="20"/>
        <v>0</v>
      </c>
      <c r="AO23" s="128"/>
      <c r="AP23" s="401">
        <f t="shared" si="21"/>
        <v>0</v>
      </c>
      <c r="AQ23" s="402" t="str">
        <f t="shared" si="22"/>
        <v/>
      </c>
      <c r="AR23" s="403"/>
    </row>
    <row r="24" spans="1:44" ht="12" customHeight="1">
      <c r="A24" s="52"/>
      <c r="B24" s="404"/>
      <c r="C24" s="395" t="str">
        <f t="shared" si="0"/>
        <v>Residential.</v>
      </c>
      <c r="D24" s="396"/>
      <c r="E24" s="320"/>
      <c r="F24" s="397">
        <f>IFERROR(VLOOKUP($C24,'Proposed Rates'!$B:$J,F$11,FALSE),0)</f>
        <v>0</v>
      </c>
      <c r="G24" s="398">
        <f t="shared" si="1"/>
        <v>0</v>
      </c>
      <c r="H24" s="400">
        <f t="shared" si="2"/>
        <v>0</v>
      </c>
      <c r="I24" s="128"/>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52"/>
      <c r="AL24" s="397">
        <f>IFERROR(VLOOKUP($C24,'Proposed Rates'!$B:$J,AL$11,FALSE),0)</f>
        <v>0</v>
      </c>
      <c r="AM24" s="398">
        <f t="shared" si="19"/>
        <v>0</v>
      </c>
      <c r="AN24" s="400">
        <f t="shared" si="20"/>
        <v>0</v>
      </c>
      <c r="AO24" s="128"/>
      <c r="AP24" s="401">
        <f t="shared" si="21"/>
        <v>0</v>
      </c>
      <c r="AQ24" s="402" t="str">
        <f t="shared" si="22"/>
        <v/>
      </c>
      <c r="AR24" s="403"/>
    </row>
    <row r="25" spans="1:44" ht="12" customHeight="1">
      <c r="A25" s="52"/>
      <c r="B25" s="404"/>
      <c r="C25" s="395" t="str">
        <f t="shared" si="0"/>
        <v>Residential.</v>
      </c>
      <c r="D25" s="396"/>
      <c r="E25" s="320"/>
      <c r="F25" s="397">
        <f>IFERROR(VLOOKUP($C25,'Proposed Rates'!$B:$J,F$11,FALSE),0)</f>
        <v>0</v>
      </c>
      <c r="G25" s="398">
        <f t="shared" si="1"/>
        <v>0</v>
      </c>
      <c r="H25" s="400">
        <f t="shared" si="2"/>
        <v>0</v>
      </c>
      <c r="I25" s="128"/>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52"/>
      <c r="AL25" s="397">
        <f>IFERROR(VLOOKUP($C25,'Proposed Rates'!$B:$J,AL$11,FALSE),0)</f>
        <v>0</v>
      </c>
      <c r="AM25" s="398">
        <f t="shared" si="19"/>
        <v>0</v>
      </c>
      <c r="AN25" s="400">
        <f t="shared" si="20"/>
        <v>0</v>
      </c>
      <c r="AO25" s="128"/>
      <c r="AP25" s="401">
        <f t="shared" si="21"/>
        <v>0</v>
      </c>
      <c r="AQ25" s="402" t="str">
        <f t="shared" si="22"/>
        <v/>
      </c>
      <c r="AR25" s="403"/>
    </row>
    <row r="26" spans="1:44" ht="12" customHeight="1">
      <c r="A26" s="52"/>
      <c r="B26" s="404"/>
      <c r="C26" s="395" t="str">
        <f t="shared" si="0"/>
        <v>Residential.</v>
      </c>
      <c r="D26" s="396"/>
      <c r="E26" s="320"/>
      <c r="F26" s="397">
        <f>IFERROR(VLOOKUP($C26,'Proposed Rates'!$B:$J,F$11,FALSE),0)</f>
        <v>0</v>
      </c>
      <c r="G26" s="398">
        <f t="shared" si="1"/>
        <v>0</v>
      </c>
      <c r="H26" s="400">
        <f t="shared" si="2"/>
        <v>0</v>
      </c>
      <c r="I26" s="128"/>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52"/>
      <c r="AL26" s="397">
        <f>IFERROR(VLOOKUP($C26,'Proposed Rates'!$B:$J,AL$11,FALSE),0)</f>
        <v>0</v>
      </c>
      <c r="AM26" s="398">
        <f t="shared" si="19"/>
        <v>0</v>
      </c>
      <c r="AN26" s="400">
        <f t="shared" si="20"/>
        <v>0</v>
      </c>
      <c r="AO26" s="128"/>
      <c r="AP26" s="401">
        <f t="shared" si="21"/>
        <v>0</v>
      </c>
      <c r="AQ26" s="402" t="str">
        <f t="shared" si="22"/>
        <v/>
      </c>
      <c r="AR26" s="403"/>
    </row>
    <row r="27" spans="1:44" ht="12" customHeight="1">
      <c r="A27" s="52"/>
      <c r="B27" s="404"/>
      <c r="C27" s="395" t="str">
        <f t="shared" si="0"/>
        <v>Residential.</v>
      </c>
      <c r="D27" s="396"/>
      <c r="E27" s="320"/>
      <c r="F27" s="397">
        <f>IFERROR(VLOOKUP($C27,'Proposed Rates'!$B:$J,F$11,FALSE),0)</f>
        <v>0</v>
      </c>
      <c r="G27" s="398">
        <f t="shared" si="1"/>
        <v>0</v>
      </c>
      <c r="H27" s="400">
        <f t="shared" si="2"/>
        <v>0</v>
      </c>
      <c r="I27" s="128"/>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52"/>
      <c r="AL27" s="397">
        <f>IFERROR(VLOOKUP($C27,'Proposed Rates'!$B:$J,AL$11,FALSE),0)</f>
        <v>0</v>
      </c>
      <c r="AM27" s="398">
        <f t="shared" si="19"/>
        <v>0</v>
      </c>
      <c r="AN27" s="400">
        <f t="shared" si="20"/>
        <v>0</v>
      </c>
      <c r="AO27" s="128"/>
      <c r="AP27" s="401">
        <f t="shared" si="21"/>
        <v>0</v>
      </c>
      <c r="AQ27" s="402" t="str">
        <f t="shared" si="22"/>
        <v/>
      </c>
      <c r="AR27" s="403"/>
    </row>
    <row r="28" spans="1:44" ht="12" customHeight="1">
      <c r="A28" s="52"/>
      <c r="B28" s="404"/>
      <c r="C28" s="395" t="str">
        <f t="shared" si="0"/>
        <v>Residential.</v>
      </c>
      <c r="D28" s="396"/>
      <c r="E28" s="320"/>
      <c r="F28" s="397">
        <f>IFERROR(VLOOKUP($C28,'Proposed Rates'!$B:$J,F$11,FALSE),0)</f>
        <v>0</v>
      </c>
      <c r="G28" s="398">
        <f t="shared" si="1"/>
        <v>0</v>
      </c>
      <c r="H28" s="400">
        <f t="shared" si="2"/>
        <v>0</v>
      </c>
      <c r="I28" s="128"/>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52"/>
      <c r="AL28" s="397">
        <f>IFERROR(VLOOKUP($C28,'Proposed Rates'!$B:$J,AL$11,FALSE),0)</f>
        <v>0</v>
      </c>
      <c r="AM28" s="398">
        <f t="shared" si="19"/>
        <v>0</v>
      </c>
      <c r="AN28" s="400">
        <f t="shared" si="20"/>
        <v>0</v>
      </c>
      <c r="AO28" s="128"/>
      <c r="AP28" s="401">
        <f t="shared" si="21"/>
        <v>0</v>
      </c>
      <c r="AQ28" s="402" t="str">
        <f t="shared" si="22"/>
        <v/>
      </c>
      <c r="AR28" s="403"/>
    </row>
    <row r="29" spans="1:44" ht="12" customHeight="1">
      <c r="A29" s="306"/>
      <c r="B29" s="405" t="s">
        <v>310</v>
      </c>
      <c r="C29" s="406"/>
      <c r="D29" s="406"/>
      <c r="E29" s="406"/>
      <c r="F29" s="407"/>
      <c r="G29" s="408"/>
      <c r="H29" s="409">
        <f>SUM(H15:H28)</f>
        <v>34.51</v>
      </c>
      <c r="I29" s="410"/>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306"/>
      <c r="AL29" s="407"/>
      <c r="AM29" s="408"/>
      <c r="AN29" s="409">
        <f>SUM(AN15:AN28)</f>
        <v>54.07</v>
      </c>
      <c r="AO29" s="410"/>
      <c r="AP29" s="411">
        <f t="shared" si="21"/>
        <v>2.9200000000000017</v>
      </c>
      <c r="AQ29" s="412">
        <f t="shared" si="22"/>
        <v>5.7086999022482932E-2</v>
      </c>
      <c r="AR29" s="413"/>
    </row>
    <row r="30" spans="1:44" ht="12"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2000</v>
      </c>
      <c r="H30" s="400">
        <f t="shared" ref="H30:H36" si="25">G30*F30</f>
        <v>-0.4</v>
      </c>
      <c r="I30" s="128"/>
      <c r="J30" s="414">
        <f>IFERROR(VLOOKUP($C30,'Proposed Rates'!$B:$J,J$11,FALSE),0)</f>
        <v>-5.9999999999999995E-4</v>
      </c>
      <c r="K30" s="415">
        <f t="shared" ref="K30:K33" si="26">IF($D30="Monthly",1,IF($D30="per KWH",$F$10,0))</f>
        <v>2000</v>
      </c>
      <c r="L30" s="416">
        <f t="shared" ref="L30:L36" si="27">K30*J30</f>
        <v>-1.2</v>
      </c>
      <c r="M30" s="128"/>
      <c r="N30" s="401">
        <f t="shared" si="5"/>
        <v>-0.79999999999999993</v>
      </c>
      <c r="O30" s="402">
        <f t="shared" si="6"/>
        <v>1.9999999999999998</v>
      </c>
      <c r="P30" s="52"/>
      <c r="Q30" s="414">
        <f>IFERROR(VLOOKUP($C30,'Proposed Rates'!$B:$J,Q$11,FALSE),0)</f>
        <v>0</v>
      </c>
      <c r="R30" s="415">
        <f t="shared" ref="R30:R33" si="28">IF($D30="Monthly",1,IF($D30="per KWH",$F$10,0))</f>
        <v>2000</v>
      </c>
      <c r="S30" s="400">
        <f t="shared" ref="S30:S36" si="29">R30*Q30</f>
        <v>0</v>
      </c>
      <c r="T30" s="128"/>
      <c r="U30" s="401">
        <f t="shared" si="9"/>
        <v>1.2</v>
      </c>
      <c r="V30" s="402">
        <f t="shared" si="10"/>
        <v>-1</v>
      </c>
      <c r="W30" s="52"/>
      <c r="X30" s="414">
        <f>IFERROR(VLOOKUP($C30,'Proposed Rates'!$B:$J,X$11,FALSE),0)</f>
        <v>0</v>
      </c>
      <c r="Y30" s="415">
        <f t="shared" ref="Y30:Y33" si="30">IF($D30="Monthly",1,IF($D30="per KWH",$F$10,0))</f>
        <v>2000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2000</v>
      </c>
      <c r="AG30" s="400">
        <f t="shared" ref="AG30:AG36" si="33">AF30*AE30</f>
        <v>0</v>
      </c>
      <c r="AH30" s="128"/>
      <c r="AI30" s="401">
        <f t="shared" si="17"/>
        <v>0</v>
      </c>
      <c r="AJ30" s="402" t="str">
        <f t="shared" si="18"/>
        <v/>
      </c>
      <c r="AK30" s="52"/>
      <c r="AL30" s="414">
        <f>IFERROR(VLOOKUP($C30,'Proposed Rates'!$B:$J,AL$11,FALSE),0)</f>
        <v>0</v>
      </c>
      <c r="AM30" s="415">
        <f t="shared" ref="AM30:AM33" si="34">IF($D30="Monthly",1,IF($D30="per KWH",$F$10,0))</f>
        <v>2000</v>
      </c>
      <c r="AN30" s="400">
        <f t="shared" ref="AN30:AN36" si="35">AM30*AL30</f>
        <v>0</v>
      </c>
      <c r="AO30" s="128"/>
      <c r="AP30" s="401">
        <f t="shared" si="21"/>
        <v>0</v>
      </c>
      <c r="AQ30" s="402" t="str">
        <f t="shared" si="22"/>
        <v/>
      </c>
      <c r="AR30" s="403"/>
    </row>
    <row r="31" spans="1:44" ht="12" customHeight="1">
      <c r="A31" s="52"/>
      <c r="B31" s="404" t="s">
        <v>236</v>
      </c>
      <c r="C31" s="395" t="str">
        <f t="shared" si="23"/>
        <v>Residential.DVA Disposition Rate Rider Group 1 - 2024</v>
      </c>
      <c r="D31" s="396" t="s">
        <v>308</v>
      </c>
      <c r="E31" s="320"/>
      <c r="F31" s="414">
        <f>IFERROR(VLOOKUP($C31,'Proposed Rates'!$B:$J,F$11,FALSE),0)</f>
        <v>0</v>
      </c>
      <c r="G31" s="415">
        <f t="shared" si="24"/>
        <v>2000</v>
      </c>
      <c r="H31" s="498">
        <f t="shared" si="25"/>
        <v>0</v>
      </c>
      <c r="I31" s="485"/>
      <c r="J31" s="414">
        <f>IFERROR(VLOOKUP($C31,'Proposed Rates'!$B:$J,J$11,FALSE),0)</f>
        <v>0</v>
      </c>
      <c r="K31" s="415">
        <f t="shared" si="26"/>
        <v>2000</v>
      </c>
      <c r="L31" s="498">
        <f t="shared" si="27"/>
        <v>0</v>
      </c>
      <c r="M31" s="417"/>
      <c r="N31" s="401">
        <f t="shared" si="5"/>
        <v>0</v>
      </c>
      <c r="O31" s="402" t="str">
        <f t="shared" si="6"/>
        <v/>
      </c>
      <c r="P31" s="52"/>
      <c r="Q31" s="414">
        <f>IFERROR(VLOOKUP($C31,'Proposed Rates'!$B:$J,Q$11,FALSE),0)</f>
        <v>0</v>
      </c>
      <c r="R31" s="415">
        <f t="shared" si="28"/>
        <v>2000</v>
      </c>
      <c r="S31" s="498">
        <f t="shared" si="29"/>
        <v>0</v>
      </c>
      <c r="T31" s="417"/>
      <c r="U31" s="401">
        <f t="shared" si="9"/>
        <v>0</v>
      </c>
      <c r="V31" s="402" t="str">
        <f t="shared" si="10"/>
        <v/>
      </c>
      <c r="W31" s="52"/>
      <c r="X31" s="414">
        <f>IFERROR(VLOOKUP($C31,'Proposed Rates'!$B:$J,X$11,FALSE),0)</f>
        <v>0</v>
      </c>
      <c r="Y31" s="415">
        <f t="shared" si="30"/>
        <v>2000</v>
      </c>
      <c r="Z31" s="498">
        <f t="shared" si="31"/>
        <v>0</v>
      </c>
      <c r="AA31" s="417"/>
      <c r="AB31" s="401">
        <f t="shared" si="13"/>
        <v>0</v>
      </c>
      <c r="AC31" s="402" t="str">
        <f t="shared" si="14"/>
        <v/>
      </c>
      <c r="AD31" s="52"/>
      <c r="AE31" s="414">
        <f>IFERROR(VLOOKUP($C31,'Proposed Rates'!$B:$J,AE$11,FALSE),0)</f>
        <v>0</v>
      </c>
      <c r="AF31" s="415">
        <f t="shared" si="32"/>
        <v>2000</v>
      </c>
      <c r="AG31" s="498">
        <f t="shared" si="33"/>
        <v>0</v>
      </c>
      <c r="AH31" s="417"/>
      <c r="AI31" s="401">
        <f t="shared" si="17"/>
        <v>0</v>
      </c>
      <c r="AJ31" s="402" t="str">
        <f t="shared" si="18"/>
        <v/>
      </c>
      <c r="AK31" s="52"/>
      <c r="AL31" s="414">
        <f>IFERROR(VLOOKUP($C31,'Proposed Rates'!$B:$J,AL$11,FALSE),0)</f>
        <v>0</v>
      </c>
      <c r="AM31" s="415">
        <f t="shared" si="34"/>
        <v>2000</v>
      </c>
      <c r="AN31" s="498">
        <f t="shared" si="35"/>
        <v>0</v>
      </c>
      <c r="AO31" s="417"/>
      <c r="AP31" s="401">
        <f t="shared" si="21"/>
        <v>0</v>
      </c>
      <c r="AQ31" s="402" t="str">
        <f t="shared" si="22"/>
        <v/>
      </c>
      <c r="AR31" s="403"/>
    </row>
    <row r="32" spans="1:44" ht="12" customHeight="1">
      <c r="A32" s="52"/>
      <c r="B32" s="404" t="s">
        <v>244</v>
      </c>
      <c r="C32" s="395" t="str">
        <f t="shared" si="23"/>
        <v>Residential.CBR Class B Rate Riders</v>
      </c>
      <c r="D32" s="396" t="s">
        <v>308</v>
      </c>
      <c r="E32" s="320"/>
      <c r="F32" s="414">
        <f>IFERROR(VLOOKUP($C32,'Proposed Rates'!$B:$J,F$11,FALSE),0)</f>
        <v>2.0000000000000001E-4</v>
      </c>
      <c r="G32" s="415">
        <f t="shared" si="24"/>
        <v>2000</v>
      </c>
      <c r="H32" s="400">
        <f t="shared" si="25"/>
        <v>0.4</v>
      </c>
      <c r="I32" s="485"/>
      <c r="J32" s="414">
        <f>IFERROR(VLOOKUP($C32,'Proposed Rates'!$B:$J,J$11,FALSE),0)</f>
        <v>4.0000000000000002E-4</v>
      </c>
      <c r="K32" s="415">
        <f t="shared" si="26"/>
        <v>2000</v>
      </c>
      <c r="L32" s="400">
        <f t="shared" si="27"/>
        <v>0.8</v>
      </c>
      <c r="M32" s="417"/>
      <c r="N32" s="401">
        <f t="shared" si="5"/>
        <v>0.4</v>
      </c>
      <c r="O32" s="402">
        <f t="shared" si="6"/>
        <v>1</v>
      </c>
      <c r="P32" s="52"/>
      <c r="Q32" s="414">
        <f>IFERROR(VLOOKUP($C32,'Proposed Rates'!$B:$J,Q$11,FALSE),0)</f>
        <v>0</v>
      </c>
      <c r="R32" s="415">
        <f t="shared" si="28"/>
        <v>2000</v>
      </c>
      <c r="S32" s="400">
        <f t="shared" si="29"/>
        <v>0</v>
      </c>
      <c r="T32" s="417"/>
      <c r="U32" s="401">
        <f t="shared" si="9"/>
        <v>-0.8</v>
      </c>
      <c r="V32" s="402">
        <f t="shared" si="10"/>
        <v>-1</v>
      </c>
      <c r="W32" s="52"/>
      <c r="X32" s="414">
        <f>IFERROR(VLOOKUP($C32,'Proposed Rates'!$B:$J,X$11,FALSE),0)</f>
        <v>0</v>
      </c>
      <c r="Y32" s="415">
        <f t="shared" si="30"/>
        <v>2000</v>
      </c>
      <c r="Z32" s="400">
        <f t="shared" si="31"/>
        <v>0</v>
      </c>
      <c r="AA32" s="417"/>
      <c r="AB32" s="401">
        <f t="shared" si="13"/>
        <v>0</v>
      </c>
      <c r="AC32" s="402" t="str">
        <f t="shared" si="14"/>
        <v/>
      </c>
      <c r="AD32" s="52"/>
      <c r="AE32" s="414">
        <f>IFERROR(VLOOKUP($C32,'Proposed Rates'!$B:$J,AE$11,FALSE),0)</f>
        <v>0</v>
      </c>
      <c r="AF32" s="415">
        <f t="shared" si="32"/>
        <v>2000</v>
      </c>
      <c r="AG32" s="400">
        <f t="shared" si="33"/>
        <v>0</v>
      </c>
      <c r="AH32" s="417"/>
      <c r="AI32" s="401">
        <f t="shared" si="17"/>
        <v>0</v>
      </c>
      <c r="AJ32" s="402" t="str">
        <f t="shared" si="18"/>
        <v/>
      </c>
      <c r="AK32" s="52"/>
      <c r="AL32" s="414">
        <f>IFERROR(VLOOKUP($C32,'Proposed Rates'!$B:$J,AL$11,FALSE),0)</f>
        <v>0</v>
      </c>
      <c r="AM32" s="415">
        <f t="shared" si="34"/>
        <v>2000</v>
      </c>
      <c r="AN32" s="400">
        <f t="shared" si="35"/>
        <v>0</v>
      </c>
      <c r="AO32" s="417"/>
      <c r="AP32" s="401">
        <f t="shared" si="21"/>
        <v>0</v>
      </c>
      <c r="AQ32" s="402" t="str">
        <f t="shared" si="22"/>
        <v/>
      </c>
      <c r="AR32" s="403"/>
    </row>
    <row r="33" spans="1:44" ht="12" customHeight="1">
      <c r="A33" s="52"/>
      <c r="B33" s="404" t="s">
        <v>311</v>
      </c>
      <c r="C33" s="395" t="str">
        <f t="shared" si="23"/>
        <v>Residential.GA Disposition Rate Rider-NonRPP</v>
      </c>
      <c r="D33" s="396" t="s">
        <v>308</v>
      </c>
      <c r="E33" s="320"/>
      <c r="F33" s="414">
        <f>IFERROR(VLOOKUP($C33,'Proposed Rates'!$B:$J,F$11,FALSE),0)</f>
        <v>0</v>
      </c>
      <c r="G33" s="415">
        <f t="shared" si="24"/>
        <v>2000</v>
      </c>
      <c r="H33" s="400">
        <f t="shared" si="25"/>
        <v>0</v>
      </c>
      <c r="I33" s="485"/>
      <c r="J33" s="414">
        <f>IFERROR(VLOOKUP($C33,'Proposed Rates'!$B:$J,J$11,FALSE),0)</f>
        <v>0</v>
      </c>
      <c r="K33" s="415">
        <f t="shared" si="26"/>
        <v>2000</v>
      </c>
      <c r="L33" s="400">
        <f t="shared" si="27"/>
        <v>0</v>
      </c>
      <c r="M33" s="417"/>
      <c r="N33" s="401">
        <f t="shared" si="5"/>
        <v>0</v>
      </c>
      <c r="O33" s="402" t="str">
        <f t="shared" si="6"/>
        <v/>
      </c>
      <c r="P33" s="52"/>
      <c r="Q33" s="414">
        <f>IFERROR(VLOOKUP($C33,'Proposed Rates'!$B:$J,Q$11,FALSE),0)</f>
        <v>0</v>
      </c>
      <c r="R33" s="415">
        <f t="shared" si="28"/>
        <v>2000</v>
      </c>
      <c r="S33" s="400">
        <f t="shared" si="29"/>
        <v>0</v>
      </c>
      <c r="T33" s="417"/>
      <c r="U33" s="401">
        <f t="shared" si="9"/>
        <v>0</v>
      </c>
      <c r="V33" s="402" t="str">
        <f t="shared" si="10"/>
        <v/>
      </c>
      <c r="W33" s="52"/>
      <c r="X33" s="414">
        <f>IFERROR(VLOOKUP($C33,'Proposed Rates'!$B:$J,X$11,FALSE),0)</f>
        <v>0</v>
      </c>
      <c r="Y33" s="415">
        <f t="shared" si="30"/>
        <v>2000</v>
      </c>
      <c r="Z33" s="400">
        <f t="shared" si="31"/>
        <v>0</v>
      </c>
      <c r="AA33" s="417"/>
      <c r="AB33" s="401">
        <f t="shared" si="13"/>
        <v>0</v>
      </c>
      <c r="AC33" s="402" t="str">
        <f t="shared" si="14"/>
        <v/>
      </c>
      <c r="AD33" s="52"/>
      <c r="AE33" s="414">
        <f>IFERROR(VLOOKUP($C33,'Proposed Rates'!$B:$J,AE$11,FALSE),0)</f>
        <v>0</v>
      </c>
      <c r="AF33" s="415">
        <f t="shared" si="32"/>
        <v>2000</v>
      </c>
      <c r="AG33" s="400">
        <f t="shared" si="33"/>
        <v>0</v>
      </c>
      <c r="AH33" s="417"/>
      <c r="AI33" s="401">
        <f t="shared" si="17"/>
        <v>0</v>
      </c>
      <c r="AJ33" s="402" t="str">
        <f t="shared" si="18"/>
        <v/>
      </c>
      <c r="AK33" s="52"/>
      <c r="AL33" s="414">
        <f>IFERROR(VLOOKUP($C33,'Proposed Rates'!$B:$J,AL$11,FALSE),0)</f>
        <v>0</v>
      </c>
      <c r="AM33" s="415">
        <f t="shared" si="34"/>
        <v>2000</v>
      </c>
      <c r="AN33" s="400">
        <f t="shared" si="35"/>
        <v>0</v>
      </c>
      <c r="AO33" s="417"/>
      <c r="AP33" s="401">
        <f t="shared" si="21"/>
        <v>0</v>
      </c>
      <c r="AQ33" s="402" t="str">
        <f t="shared" si="22"/>
        <v/>
      </c>
      <c r="AR33" s="403"/>
    </row>
    <row r="34" spans="1:44" ht="12" customHeight="1">
      <c r="A34" s="52"/>
      <c r="B34" s="320" t="s">
        <v>269</v>
      </c>
      <c r="C34" s="395" t="str">
        <f t="shared" si="23"/>
        <v>Residential.Low Voltage Service Charge</v>
      </c>
      <c r="D34" s="396" t="s">
        <v>308</v>
      </c>
      <c r="E34" s="320"/>
      <c r="F34" s="418">
        <f>IFERROR(VLOOKUP($C34,'Proposed Rates'!$B:$J,F$11,FALSE),0)</f>
        <v>5.0000000000000002E-5</v>
      </c>
      <c r="G34" s="419">
        <f>$F$10*(1+F$63)</f>
        <v>2067.6</v>
      </c>
      <c r="H34" s="400">
        <f t="shared" si="25"/>
        <v>0.10338</v>
      </c>
      <c r="I34" s="128"/>
      <c r="J34" s="418">
        <f>IFERROR(VLOOKUP($C34,'Proposed Rates'!$B:$J,J$11,FALSE),0)</f>
        <v>6.9999999999999994E-5</v>
      </c>
      <c r="K34" s="419">
        <f>$F$10*(1+J$63)</f>
        <v>2066.3999999999996</v>
      </c>
      <c r="L34" s="400">
        <f t="shared" si="27"/>
        <v>0.14464799999999997</v>
      </c>
      <c r="M34" s="128"/>
      <c r="N34" s="401">
        <f t="shared" si="5"/>
        <v>4.1267999999999971E-2</v>
      </c>
      <c r="O34" s="402">
        <f t="shared" si="6"/>
        <v>0.3991874637260589</v>
      </c>
      <c r="P34" s="52"/>
      <c r="Q34" s="418">
        <f>IFERROR(VLOOKUP($C34,'Proposed Rates'!$B:$J,Q$11,FALSE),0)</f>
        <v>6.9999999999999994E-5</v>
      </c>
      <c r="R34" s="419">
        <f>$F$10*(1+Q$63)</f>
        <v>2066.3999999999996</v>
      </c>
      <c r="S34" s="400">
        <f t="shared" si="29"/>
        <v>0.14464799999999997</v>
      </c>
      <c r="T34" s="128"/>
      <c r="U34" s="401">
        <f t="shared" si="9"/>
        <v>0</v>
      </c>
      <c r="V34" s="402">
        <f t="shared" si="10"/>
        <v>0</v>
      </c>
      <c r="W34" s="52"/>
      <c r="X34" s="418">
        <f>IFERROR(VLOOKUP($C34,'Proposed Rates'!$B:$J,X$11,FALSE),0)</f>
        <v>8.0000000000000007E-5</v>
      </c>
      <c r="Y34" s="419">
        <f>$F$10*(1+X$63)</f>
        <v>2066.3999999999996</v>
      </c>
      <c r="Z34" s="400">
        <f t="shared" si="31"/>
        <v>0.16531199999999999</v>
      </c>
      <c r="AA34" s="128"/>
      <c r="AB34" s="401">
        <f t="shared" si="13"/>
        <v>2.0664000000000016E-2</v>
      </c>
      <c r="AC34" s="402">
        <f t="shared" si="14"/>
        <v>0.14285714285714299</v>
      </c>
      <c r="AD34" s="52"/>
      <c r="AE34" s="418">
        <f>IFERROR(VLOOKUP($C34,'Proposed Rates'!$B:$J,AE$11,FALSE),0)</f>
        <v>8.0000000000000007E-5</v>
      </c>
      <c r="AF34" s="419">
        <f>$F$10*(1+AE$63)</f>
        <v>2066.3999999999996</v>
      </c>
      <c r="AG34" s="400">
        <f t="shared" si="33"/>
        <v>0.16531199999999999</v>
      </c>
      <c r="AH34" s="128"/>
      <c r="AI34" s="401">
        <f t="shared" si="17"/>
        <v>0</v>
      </c>
      <c r="AJ34" s="402">
        <f t="shared" si="18"/>
        <v>0</v>
      </c>
      <c r="AK34" s="52"/>
      <c r="AL34" s="418">
        <f>IFERROR(VLOOKUP($C34,'Proposed Rates'!$B:$J,AL$11,FALSE),0)</f>
        <v>8.0000000000000007E-5</v>
      </c>
      <c r="AM34" s="419">
        <f>$F$10*(1+AL$63)</f>
        <v>2066.3999999999996</v>
      </c>
      <c r="AN34" s="400">
        <f t="shared" si="35"/>
        <v>0.16531199999999999</v>
      </c>
      <c r="AO34" s="128"/>
      <c r="AP34" s="401">
        <f t="shared" si="21"/>
        <v>0</v>
      </c>
      <c r="AQ34" s="402">
        <f t="shared" si="22"/>
        <v>0</v>
      </c>
      <c r="AR34" s="403"/>
    </row>
    <row r="35" spans="1:44" ht="12"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67.599999999999909</v>
      </c>
      <c r="H35" s="400">
        <f t="shared" si="25"/>
        <v>8.6203519999999898</v>
      </c>
      <c r="I35" s="128"/>
      <c r="J35" s="420">
        <f>'Proposed Rates'!$K$249*J$44+'Proposed Rates'!$K$250*J$45+'Proposed Rates'!$K$251*J$46</f>
        <v>0.12752000000000002</v>
      </c>
      <c r="K35" s="421">
        <f>$F$10*(1+J$63)-$F$10</f>
        <v>66.399999999999636</v>
      </c>
      <c r="L35" s="400">
        <f t="shared" si="27"/>
        <v>8.4673279999999558</v>
      </c>
      <c r="M35" s="128"/>
      <c r="N35" s="401">
        <f t="shared" si="5"/>
        <v>-0.15302400000003402</v>
      </c>
      <c r="O35" s="402">
        <f t="shared" si="6"/>
        <v>-1.7751479289944794E-2</v>
      </c>
      <c r="P35" s="52"/>
      <c r="Q35" s="420">
        <f>'Proposed Rates'!$K$249*Q$44+'Proposed Rates'!$K$250*Q$45+'Proposed Rates'!$K$251*Q$46</f>
        <v>0.12752000000000002</v>
      </c>
      <c r="R35" s="421">
        <f>$F$10*(1+Q$63)-$F$10</f>
        <v>66.399999999999636</v>
      </c>
      <c r="S35" s="400">
        <f t="shared" si="29"/>
        <v>8.4673279999999558</v>
      </c>
      <c r="T35" s="128"/>
      <c r="U35" s="401">
        <f t="shared" si="9"/>
        <v>0</v>
      </c>
      <c r="V35" s="402">
        <f t="shared" si="10"/>
        <v>0</v>
      </c>
      <c r="W35" s="52"/>
      <c r="X35" s="420">
        <f>'Proposed Rates'!$K$249*X$44+'Proposed Rates'!$K$250*X$45+'Proposed Rates'!$K$251*X$46</f>
        <v>0.12752000000000002</v>
      </c>
      <c r="Y35" s="421">
        <f>$F$10*(1+X$63)-$F$10</f>
        <v>66.399999999999636</v>
      </c>
      <c r="Z35" s="400">
        <f t="shared" si="31"/>
        <v>8.4673279999999558</v>
      </c>
      <c r="AA35" s="128"/>
      <c r="AB35" s="401">
        <f t="shared" si="13"/>
        <v>0</v>
      </c>
      <c r="AC35" s="402">
        <f t="shared" si="14"/>
        <v>0</v>
      </c>
      <c r="AD35" s="52"/>
      <c r="AE35" s="420">
        <f>'Proposed Rates'!$K$249*AE$44+'Proposed Rates'!$K$250*AE$45+'Proposed Rates'!$K$251*AE$46</f>
        <v>0.12752000000000002</v>
      </c>
      <c r="AF35" s="421">
        <f>$F$10*(1+AE$63)-$F$10</f>
        <v>66.399999999999636</v>
      </c>
      <c r="AG35" s="400">
        <f t="shared" si="33"/>
        <v>8.4673279999999558</v>
      </c>
      <c r="AH35" s="128"/>
      <c r="AI35" s="401">
        <f t="shared" si="17"/>
        <v>0</v>
      </c>
      <c r="AJ35" s="402">
        <f t="shared" si="18"/>
        <v>0</v>
      </c>
      <c r="AK35" s="52"/>
      <c r="AL35" s="420">
        <f>'Proposed Rates'!$K$249*AL$44+'Proposed Rates'!$K$250*AL$45+'Proposed Rates'!$K$251*AL$46</f>
        <v>0.12752000000000002</v>
      </c>
      <c r="AM35" s="421">
        <f>$F$10*(1+AL$63)-$F$10</f>
        <v>66.399999999999636</v>
      </c>
      <c r="AN35" s="400">
        <f t="shared" si="35"/>
        <v>8.4673279999999558</v>
      </c>
      <c r="AO35" s="128"/>
      <c r="AP35" s="401">
        <f t="shared" si="21"/>
        <v>0</v>
      </c>
      <c r="AQ35" s="402">
        <f t="shared" si="22"/>
        <v>0</v>
      </c>
      <c r="AR35" s="403"/>
    </row>
    <row r="36" spans="1:44" ht="12"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128"/>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415">
        <f>IF($D36="Monthly",1,IF($D36="per KWH",$F$10,0))</f>
        <v>1</v>
      </c>
      <c r="AN36" s="400">
        <f t="shared" si="35"/>
        <v>0.45</v>
      </c>
      <c r="AO36" s="128"/>
      <c r="AP36" s="401">
        <f t="shared" si="21"/>
        <v>1.0000000000000009E-2</v>
      </c>
      <c r="AQ36" s="402">
        <f t="shared" si="22"/>
        <v>2.2727272727272749E-2</v>
      </c>
      <c r="AR36" s="403"/>
    </row>
    <row r="37" spans="1:44" ht="12" customHeight="1">
      <c r="A37" s="52"/>
      <c r="B37" s="405" t="s">
        <v>313</v>
      </c>
      <c r="C37" s="422"/>
      <c r="D37" s="422"/>
      <c r="E37" s="422"/>
      <c r="F37" s="423"/>
      <c r="G37" s="424"/>
      <c r="H37" s="409">
        <f>SUM(H30:H36)+H29</f>
        <v>43.653731999999991</v>
      </c>
      <c r="I37" s="425"/>
      <c r="J37" s="423"/>
      <c r="K37" s="424"/>
      <c r="L37" s="409">
        <f>SUM(L30:L36)+L29</f>
        <v>49.121975999999961</v>
      </c>
      <c r="M37" s="425"/>
      <c r="N37" s="411">
        <f t="shared" si="5"/>
        <v>5.4682439999999701</v>
      </c>
      <c r="O37" s="412">
        <f t="shared" si="6"/>
        <v>0.1252640667698233</v>
      </c>
      <c r="P37" s="52"/>
      <c r="Q37" s="423"/>
      <c r="R37" s="424"/>
      <c r="S37" s="409">
        <f>SUM(S30:S36)+S29</f>
        <v>53.16197599999996</v>
      </c>
      <c r="T37" s="425"/>
      <c r="U37" s="411">
        <f t="shared" si="9"/>
        <v>4.0399999999999991</v>
      </c>
      <c r="V37" s="412">
        <f t="shared" si="10"/>
        <v>8.2244248480557919E-2</v>
      </c>
      <c r="W37" s="52"/>
      <c r="X37" s="423"/>
      <c r="Y37" s="424"/>
      <c r="Z37" s="409">
        <f>SUM(Z30:Z36)+Z29</f>
        <v>57.132639999999952</v>
      </c>
      <c r="AA37" s="425"/>
      <c r="AB37" s="411">
        <f t="shared" si="13"/>
        <v>3.9706639999999922</v>
      </c>
      <c r="AC37" s="412">
        <f t="shared" si="14"/>
        <v>7.468992499451102E-2</v>
      </c>
      <c r="AD37" s="52"/>
      <c r="AE37" s="423"/>
      <c r="AF37" s="424"/>
      <c r="AG37" s="409">
        <f>SUM(AG30:AG36)+AG29</f>
        <v>60.222639999999956</v>
      </c>
      <c r="AH37" s="425"/>
      <c r="AI37" s="411">
        <f t="shared" si="17"/>
        <v>3.0900000000000034</v>
      </c>
      <c r="AJ37" s="412">
        <f t="shared" si="18"/>
        <v>5.4084670339056728E-2</v>
      </c>
      <c r="AK37" s="52"/>
      <c r="AL37" s="423"/>
      <c r="AM37" s="424"/>
      <c r="AN37" s="409">
        <f>SUM(AN30:AN36)+AN29</f>
        <v>63.152639999999955</v>
      </c>
      <c r="AO37" s="425"/>
      <c r="AP37" s="411">
        <f t="shared" si="21"/>
        <v>2.9299999999999997</v>
      </c>
      <c r="AQ37" s="412">
        <f t="shared" si="22"/>
        <v>4.8652799013792852E-2</v>
      </c>
      <c r="AR37" s="413"/>
    </row>
    <row r="38" spans="1:44" ht="12"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2067.6</v>
      </c>
      <c r="H38" s="400">
        <f t="shared" ref="H38:H39" si="38">G38*F38</f>
        <v>26.051759999999998</v>
      </c>
      <c r="I38" s="128"/>
      <c r="J38" s="414">
        <f>IFERROR(VLOOKUP($C38,'Proposed Rates'!$B:$J,J$11,FALSE),0)</f>
        <v>1.38E-2</v>
      </c>
      <c r="K38" s="419">
        <f t="shared" ref="K38:K39" si="39">$F$10*(1+J$63)</f>
        <v>2066.3999999999996</v>
      </c>
      <c r="L38" s="400">
        <f t="shared" ref="L38:L39" si="40">K38*J38</f>
        <v>28.516319999999993</v>
      </c>
      <c r="M38" s="128"/>
      <c r="N38" s="401">
        <f t="shared" si="5"/>
        <v>2.4645599999999952</v>
      </c>
      <c r="O38" s="402">
        <f t="shared" si="6"/>
        <v>9.4602437608821643E-2</v>
      </c>
      <c r="P38" s="52"/>
      <c r="Q38" s="414">
        <f>IFERROR(VLOOKUP($C38,'Proposed Rates'!$B:$J,Q$11,FALSE),0)</f>
        <v>1.38E-2</v>
      </c>
      <c r="R38" s="419">
        <f t="shared" ref="R38:R39" si="41">$F$10*(1+Q$63)</f>
        <v>2066.3999999999996</v>
      </c>
      <c r="S38" s="400">
        <f t="shared" ref="S38:S39" si="42">R38*Q38</f>
        <v>28.516319999999993</v>
      </c>
      <c r="T38" s="128"/>
      <c r="U38" s="401">
        <f t="shared" si="9"/>
        <v>0</v>
      </c>
      <c r="V38" s="402">
        <f t="shared" si="10"/>
        <v>0</v>
      </c>
      <c r="W38" s="52"/>
      <c r="X38" s="414">
        <f>IFERROR(VLOOKUP($C38,'Proposed Rates'!$B:$J,X$11,FALSE),0)</f>
        <v>1.38E-2</v>
      </c>
      <c r="Y38" s="419">
        <f t="shared" ref="Y38:Y39" si="43">$F$10*(1+X$63)</f>
        <v>2066.3999999999996</v>
      </c>
      <c r="Z38" s="400">
        <f t="shared" ref="Z38:Z39" si="44">Y38*X38</f>
        <v>28.516319999999993</v>
      </c>
      <c r="AA38" s="128"/>
      <c r="AB38" s="401">
        <f t="shared" si="13"/>
        <v>0</v>
      </c>
      <c r="AC38" s="402">
        <f t="shared" si="14"/>
        <v>0</v>
      </c>
      <c r="AD38" s="52"/>
      <c r="AE38" s="414">
        <f>IFERROR(VLOOKUP($C38,'Proposed Rates'!$B:$J,AE$11,FALSE),0)</f>
        <v>1.38E-2</v>
      </c>
      <c r="AF38" s="419">
        <f t="shared" ref="AF38:AF39" si="45">$F$10*(1+AE$63)</f>
        <v>2066.3999999999996</v>
      </c>
      <c r="AG38" s="400">
        <f t="shared" ref="AG38:AG39" si="46">AF38*AE38</f>
        <v>28.516319999999993</v>
      </c>
      <c r="AH38" s="128"/>
      <c r="AI38" s="401">
        <f t="shared" si="17"/>
        <v>0</v>
      </c>
      <c r="AJ38" s="402">
        <f t="shared" si="18"/>
        <v>0</v>
      </c>
      <c r="AK38" s="52"/>
      <c r="AL38" s="414">
        <f>IFERROR(VLOOKUP($C38,'Proposed Rates'!$B:$J,AL$11,FALSE),0)</f>
        <v>1.38E-2</v>
      </c>
      <c r="AM38" s="419">
        <f t="shared" ref="AM38:AM39" si="47">$F$10*(1+AL$63)</f>
        <v>2066.3999999999996</v>
      </c>
      <c r="AN38" s="400">
        <f t="shared" ref="AN38:AN39" si="48">AM38*AL38</f>
        <v>28.516319999999993</v>
      </c>
      <c r="AO38" s="128"/>
      <c r="AP38" s="401">
        <f t="shared" si="21"/>
        <v>0</v>
      </c>
      <c r="AQ38" s="402">
        <f t="shared" si="22"/>
        <v>0</v>
      </c>
      <c r="AR38" s="403"/>
    </row>
    <row r="39" spans="1:44" ht="12" customHeight="1">
      <c r="A39" s="52"/>
      <c r="B39" s="128" t="s">
        <v>256</v>
      </c>
      <c r="C39" s="395" t="str">
        <f t="shared" si="36"/>
        <v>Residential.RTSR - Line and Transformation Connection</v>
      </c>
      <c r="D39" s="426" t="s">
        <v>308</v>
      </c>
      <c r="E39" s="128"/>
      <c r="F39" s="414">
        <f>IFERROR(VLOOKUP($C39,'Proposed Rates'!$B:$J,F$11,FALSE),0)</f>
        <v>7.1999999999999998E-3</v>
      </c>
      <c r="G39" s="419">
        <f t="shared" si="37"/>
        <v>2067.6</v>
      </c>
      <c r="H39" s="400">
        <f t="shared" si="38"/>
        <v>14.886719999999999</v>
      </c>
      <c r="I39" s="128"/>
      <c r="J39" s="414">
        <f>IFERROR(VLOOKUP($C39,'Proposed Rates'!$B:$J,J$11,FALSE),0)</f>
        <v>7.7999999999999996E-3</v>
      </c>
      <c r="K39" s="419">
        <f t="shared" si="39"/>
        <v>2066.3999999999996</v>
      </c>
      <c r="L39" s="400">
        <f t="shared" si="40"/>
        <v>16.117919999999998</v>
      </c>
      <c r="M39" s="128"/>
      <c r="N39" s="401">
        <f t="shared" si="5"/>
        <v>1.2311999999999994</v>
      </c>
      <c r="O39" s="402">
        <f t="shared" si="6"/>
        <v>8.2704585026117203E-2</v>
      </c>
      <c r="P39" s="52"/>
      <c r="Q39" s="414">
        <f>IFERROR(VLOOKUP($C39,'Proposed Rates'!$B:$J,Q$11,FALSE),0)</f>
        <v>7.7999999999999996E-3</v>
      </c>
      <c r="R39" s="419">
        <f t="shared" si="41"/>
        <v>2066.3999999999996</v>
      </c>
      <c r="S39" s="400">
        <f t="shared" si="42"/>
        <v>16.117919999999998</v>
      </c>
      <c r="T39" s="128"/>
      <c r="U39" s="401">
        <f t="shared" si="9"/>
        <v>0</v>
      </c>
      <c r="V39" s="402">
        <f t="shared" si="10"/>
        <v>0</v>
      </c>
      <c r="W39" s="52"/>
      <c r="X39" s="414">
        <f>IFERROR(VLOOKUP($C39,'Proposed Rates'!$B:$J,X$11,FALSE),0)</f>
        <v>7.7999999999999996E-3</v>
      </c>
      <c r="Y39" s="419">
        <f t="shared" si="43"/>
        <v>2066.3999999999996</v>
      </c>
      <c r="Z39" s="400">
        <f t="shared" si="44"/>
        <v>16.117919999999998</v>
      </c>
      <c r="AA39" s="128"/>
      <c r="AB39" s="401">
        <f t="shared" si="13"/>
        <v>0</v>
      </c>
      <c r="AC39" s="402">
        <f t="shared" si="14"/>
        <v>0</v>
      </c>
      <c r="AD39" s="52"/>
      <c r="AE39" s="414">
        <f>IFERROR(VLOOKUP($C39,'Proposed Rates'!$B:$J,AE$11,FALSE),0)</f>
        <v>7.7999999999999996E-3</v>
      </c>
      <c r="AF39" s="419">
        <f t="shared" si="45"/>
        <v>2066.3999999999996</v>
      </c>
      <c r="AG39" s="400">
        <f t="shared" si="46"/>
        <v>16.117919999999998</v>
      </c>
      <c r="AH39" s="128"/>
      <c r="AI39" s="401">
        <f t="shared" si="17"/>
        <v>0</v>
      </c>
      <c r="AJ39" s="402">
        <f t="shared" si="18"/>
        <v>0</v>
      </c>
      <c r="AK39" s="52"/>
      <c r="AL39" s="414">
        <f>IFERROR(VLOOKUP($C39,'Proposed Rates'!$B:$J,AL$11,FALSE),0)</f>
        <v>7.7999999999999996E-3</v>
      </c>
      <c r="AM39" s="419">
        <f t="shared" si="47"/>
        <v>2066.3999999999996</v>
      </c>
      <c r="AN39" s="400">
        <f t="shared" si="48"/>
        <v>16.117919999999998</v>
      </c>
      <c r="AO39" s="128"/>
      <c r="AP39" s="401">
        <f t="shared" si="21"/>
        <v>0</v>
      </c>
      <c r="AQ39" s="402">
        <f t="shared" si="22"/>
        <v>0</v>
      </c>
      <c r="AR39" s="403"/>
    </row>
    <row r="40" spans="1:44" ht="12" customHeight="1">
      <c r="A40" s="52"/>
      <c r="B40" s="405" t="s">
        <v>314</v>
      </c>
      <c r="C40" s="427"/>
      <c r="D40" s="427"/>
      <c r="E40" s="427"/>
      <c r="F40" s="428"/>
      <c r="G40" s="429"/>
      <c r="H40" s="409">
        <f>SUM(H37:H39)</f>
        <v>84.592211999999989</v>
      </c>
      <c r="I40" s="410"/>
      <c r="J40" s="428"/>
      <c r="K40" s="429"/>
      <c r="L40" s="409">
        <f>SUM(L37:L39)</f>
        <v>93.756215999999952</v>
      </c>
      <c r="M40" s="410"/>
      <c r="N40" s="411">
        <f t="shared" si="5"/>
        <v>9.164003999999963</v>
      </c>
      <c r="O40" s="412">
        <f t="shared" si="6"/>
        <v>0.10833153293118714</v>
      </c>
      <c r="P40" s="52"/>
      <c r="Q40" s="428"/>
      <c r="R40" s="429"/>
      <c r="S40" s="409">
        <f>SUM(S37:S39)</f>
        <v>97.796215999999959</v>
      </c>
      <c r="T40" s="410"/>
      <c r="U40" s="411">
        <f t="shared" si="9"/>
        <v>4.0400000000000063</v>
      </c>
      <c r="V40" s="412">
        <f t="shared" si="10"/>
        <v>4.3090476262395323E-2</v>
      </c>
      <c r="W40" s="52"/>
      <c r="X40" s="428"/>
      <c r="Y40" s="429"/>
      <c r="Z40" s="409">
        <f>SUM(Z37:Z39)</f>
        <v>101.76687999999994</v>
      </c>
      <c r="AA40" s="410"/>
      <c r="AB40" s="411">
        <f t="shared" si="13"/>
        <v>3.9706639999999851</v>
      </c>
      <c r="AC40" s="412">
        <f t="shared" si="14"/>
        <v>4.0601407318254387E-2</v>
      </c>
      <c r="AD40" s="52"/>
      <c r="AE40" s="428"/>
      <c r="AF40" s="429"/>
      <c r="AG40" s="409">
        <f>SUM(AG37:AG39)</f>
        <v>104.85687999999995</v>
      </c>
      <c r="AH40" s="410"/>
      <c r="AI40" s="411">
        <f t="shared" si="17"/>
        <v>3.0900000000000034</v>
      </c>
      <c r="AJ40" s="412">
        <f t="shared" si="18"/>
        <v>3.0363513158701585E-2</v>
      </c>
      <c r="AK40" s="52"/>
      <c r="AL40" s="428"/>
      <c r="AM40" s="429"/>
      <c r="AN40" s="409">
        <f>SUM(AN37:AN39)</f>
        <v>107.78687999999994</v>
      </c>
      <c r="AO40" s="410"/>
      <c r="AP40" s="411">
        <f t="shared" si="21"/>
        <v>2.9299999999999926</v>
      </c>
      <c r="AQ40" s="412">
        <f t="shared" si="22"/>
        <v>2.7942849339022809E-2</v>
      </c>
      <c r="AR40" s="413"/>
    </row>
    <row r="41" spans="1:44" ht="12" customHeight="1">
      <c r="A41" s="52"/>
      <c r="B41" s="320" t="s">
        <v>257</v>
      </c>
      <c r="C41" s="395" t="str">
        <f t="shared" ref="C41:C48" si="49">D$6&amp;"."&amp;B41</f>
        <v>Residential.Wholesale Market Service Charge (WMSC)</v>
      </c>
      <c r="D41" s="396" t="s">
        <v>308</v>
      </c>
      <c r="E41" s="320"/>
      <c r="F41" s="414">
        <f>IFERROR(VLOOKUP($C41,'Proposed Rates'!$B:$J,F$11,FALSE),0)</f>
        <v>4.4999999999999997E-3</v>
      </c>
      <c r="G41" s="419">
        <f t="shared" ref="G41:G42" si="50">$F$10*(1+F$63)</f>
        <v>2067.6</v>
      </c>
      <c r="H41" s="400">
        <f t="shared" ref="H41:H48" si="51">G41*F41</f>
        <v>9.304199999999998</v>
      </c>
      <c r="I41" s="128"/>
      <c r="J41" s="414">
        <f>IFERROR(VLOOKUP($C41,'Proposed Rates'!$B:$J,J$11,FALSE),0)</f>
        <v>4.4999999999999997E-3</v>
      </c>
      <c r="K41" s="419">
        <f t="shared" ref="K41:K42" si="52">$F$10*(1+J$63)</f>
        <v>2066.3999999999996</v>
      </c>
      <c r="L41" s="400">
        <f t="shared" ref="L41:L48" si="53">K41*J41</f>
        <v>9.2987999999999982</v>
      </c>
      <c r="M41" s="128"/>
      <c r="N41" s="401">
        <f t="shared" si="5"/>
        <v>-5.3999999999998494E-3</v>
      </c>
      <c r="O41" s="402">
        <f t="shared" si="6"/>
        <v>-5.8038305281484176E-4</v>
      </c>
      <c r="P41" s="52"/>
      <c r="Q41" s="414">
        <f>IFERROR(VLOOKUP($C41,'Proposed Rates'!$B:$J,Q$11,FALSE),0)</f>
        <v>4.4999999999999997E-3</v>
      </c>
      <c r="R41" s="419">
        <f t="shared" ref="R41:R42" si="54">$F$10*(1+Q$63)</f>
        <v>2066.3999999999996</v>
      </c>
      <c r="S41" s="400">
        <f t="shared" ref="S41:S48" si="55">R41*Q41</f>
        <v>9.2987999999999982</v>
      </c>
      <c r="T41" s="128"/>
      <c r="U41" s="401">
        <f t="shared" si="9"/>
        <v>0</v>
      </c>
      <c r="V41" s="402">
        <f t="shared" si="10"/>
        <v>0</v>
      </c>
      <c r="W41" s="52"/>
      <c r="X41" s="414">
        <f>IFERROR(VLOOKUP($C41,'Proposed Rates'!$B:$J,X$11,FALSE),0)</f>
        <v>4.4999999999999997E-3</v>
      </c>
      <c r="Y41" s="419">
        <f t="shared" ref="Y41:Y42" si="56">$F$10*(1+X$63)</f>
        <v>2066.3999999999996</v>
      </c>
      <c r="Z41" s="400">
        <f t="shared" ref="Z41:Z48" si="57">Y41*X41</f>
        <v>9.2987999999999982</v>
      </c>
      <c r="AA41" s="128"/>
      <c r="AB41" s="401">
        <f t="shared" si="13"/>
        <v>0</v>
      </c>
      <c r="AC41" s="402">
        <f t="shared" si="14"/>
        <v>0</v>
      </c>
      <c r="AD41" s="52"/>
      <c r="AE41" s="414">
        <f>IFERROR(VLOOKUP($C41,'Proposed Rates'!$B:$J,AE$11,FALSE),0)</f>
        <v>4.4999999999999997E-3</v>
      </c>
      <c r="AF41" s="419">
        <f t="shared" ref="AF41:AF42" si="58">$F$10*(1+AE$63)</f>
        <v>2066.3999999999996</v>
      </c>
      <c r="AG41" s="400">
        <f t="shared" ref="AG41:AG48" si="59">AF41*AE41</f>
        <v>9.2987999999999982</v>
      </c>
      <c r="AH41" s="128"/>
      <c r="AI41" s="401">
        <f t="shared" si="17"/>
        <v>0</v>
      </c>
      <c r="AJ41" s="402">
        <f t="shared" si="18"/>
        <v>0</v>
      </c>
      <c r="AK41" s="52"/>
      <c r="AL41" s="414">
        <f>IFERROR(VLOOKUP($C41,'Proposed Rates'!$B:$J,AL$11,FALSE),0)</f>
        <v>4.4999999999999997E-3</v>
      </c>
      <c r="AM41" s="419">
        <f t="shared" ref="AM41:AM42" si="60">$F$10*(1+AL$63)</f>
        <v>2066.3999999999996</v>
      </c>
      <c r="AN41" s="400">
        <f t="shared" ref="AN41:AN48" si="61">AM41*AL41</f>
        <v>9.2987999999999982</v>
      </c>
      <c r="AO41" s="128"/>
      <c r="AP41" s="401">
        <f t="shared" si="21"/>
        <v>0</v>
      </c>
      <c r="AQ41" s="402">
        <f t="shared" si="22"/>
        <v>0</v>
      </c>
      <c r="AR41" s="403"/>
    </row>
    <row r="42" spans="1:44" ht="12" customHeight="1">
      <c r="A42" s="52"/>
      <c r="B42" s="320" t="s">
        <v>258</v>
      </c>
      <c r="C42" s="395" t="str">
        <f t="shared" si="49"/>
        <v>Residential.Rural and Remote Rate Protection (RRRP)</v>
      </c>
      <c r="D42" s="396" t="s">
        <v>308</v>
      </c>
      <c r="E42" s="320"/>
      <c r="F42" s="414">
        <f>IFERROR(VLOOKUP($C42,'Proposed Rates'!$B:$J,F$11,FALSE),0)</f>
        <v>1.5E-3</v>
      </c>
      <c r="G42" s="419">
        <f t="shared" si="50"/>
        <v>2067.6</v>
      </c>
      <c r="H42" s="400">
        <f t="shared" si="51"/>
        <v>3.1013999999999999</v>
      </c>
      <c r="I42" s="128"/>
      <c r="J42" s="414">
        <f>IFERROR(VLOOKUP($C42,'Proposed Rates'!$B:$J,J$11,FALSE),0)</f>
        <v>1.5E-3</v>
      </c>
      <c r="K42" s="419">
        <f t="shared" si="52"/>
        <v>2066.3999999999996</v>
      </c>
      <c r="L42" s="400">
        <f t="shared" si="53"/>
        <v>3.0995999999999997</v>
      </c>
      <c r="M42" s="128"/>
      <c r="N42" s="401">
        <f t="shared" si="5"/>
        <v>-1.8000000000002458E-3</v>
      </c>
      <c r="O42" s="402">
        <f t="shared" si="6"/>
        <v>-5.8038305281493706E-4</v>
      </c>
      <c r="P42" s="52"/>
      <c r="Q42" s="414">
        <f>IFERROR(VLOOKUP($C42,'Proposed Rates'!$B:$J,Q$11,FALSE),0)</f>
        <v>1.5E-3</v>
      </c>
      <c r="R42" s="419">
        <f t="shared" si="54"/>
        <v>2066.3999999999996</v>
      </c>
      <c r="S42" s="400">
        <f t="shared" si="55"/>
        <v>3.0995999999999997</v>
      </c>
      <c r="T42" s="128"/>
      <c r="U42" s="401">
        <f t="shared" si="9"/>
        <v>0</v>
      </c>
      <c r="V42" s="402">
        <f t="shared" si="10"/>
        <v>0</v>
      </c>
      <c r="W42" s="52"/>
      <c r="X42" s="414">
        <f>IFERROR(VLOOKUP($C42,'Proposed Rates'!$B:$J,X$11,FALSE),0)</f>
        <v>1.5E-3</v>
      </c>
      <c r="Y42" s="419">
        <f t="shared" si="56"/>
        <v>2066.3999999999996</v>
      </c>
      <c r="Z42" s="400">
        <f t="shared" si="57"/>
        <v>3.0995999999999997</v>
      </c>
      <c r="AA42" s="128"/>
      <c r="AB42" s="401">
        <f t="shared" si="13"/>
        <v>0</v>
      </c>
      <c r="AC42" s="402">
        <f t="shared" si="14"/>
        <v>0</v>
      </c>
      <c r="AD42" s="52"/>
      <c r="AE42" s="414">
        <f>IFERROR(VLOOKUP($C42,'Proposed Rates'!$B:$J,AE$11,FALSE),0)</f>
        <v>1.5E-3</v>
      </c>
      <c r="AF42" s="419">
        <f t="shared" si="58"/>
        <v>2066.3999999999996</v>
      </c>
      <c r="AG42" s="400">
        <f t="shared" si="59"/>
        <v>3.0995999999999997</v>
      </c>
      <c r="AH42" s="128"/>
      <c r="AI42" s="401">
        <f t="shared" si="17"/>
        <v>0</v>
      </c>
      <c r="AJ42" s="402">
        <f t="shared" si="18"/>
        <v>0</v>
      </c>
      <c r="AK42" s="52"/>
      <c r="AL42" s="414">
        <f>IFERROR(VLOOKUP($C42,'Proposed Rates'!$B:$J,AL$11,FALSE),0)</f>
        <v>1.5E-3</v>
      </c>
      <c r="AM42" s="419">
        <f t="shared" si="60"/>
        <v>2066.3999999999996</v>
      </c>
      <c r="AN42" s="400">
        <f t="shared" si="61"/>
        <v>3.0995999999999997</v>
      </c>
      <c r="AO42" s="128"/>
      <c r="AP42" s="401">
        <f t="shared" si="21"/>
        <v>0</v>
      </c>
      <c r="AQ42" s="402">
        <f t="shared" si="22"/>
        <v>0</v>
      </c>
      <c r="AR42" s="403"/>
    </row>
    <row r="43" spans="1:44" ht="12" customHeight="1">
      <c r="A43" s="52"/>
      <c r="B43" s="320" t="s">
        <v>260</v>
      </c>
      <c r="C43" s="395" t="str">
        <f t="shared" si="49"/>
        <v>Residential.Standard Supply Service Charge</v>
      </c>
      <c r="D43" s="396" t="s">
        <v>306</v>
      </c>
      <c r="E43" s="320"/>
      <c r="F43" s="414">
        <f>IFERROR(VLOOKUP($C43,'Proposed Rates'!$B:$J,F$11,FALSE),0)</f>
        <v>0.25</v>
      </c>
      <c r="G43" s="415">
        <f>IF($D43="Monthly",1,IF($D43="per KWH",$F$10,0))</f>
        <v>1</v>
      </c>
      <c r="H43" s="400">
        <f t="shared" si="51"/>
        <v>0.25</v>
      </c>
      <c r="I43" s="128"/>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52"/>
      <c r="AL43" s="414">
        <f>IFERROR(VLOOKUP($C43,'Proposed Rates'!$B:$J,AL$11,FALSE),0)</f>
        <v>1.63</v>
      </c>
      <c r="AM43" s="415">
        <f>IF($D43="Monthly",1,IF($D43="per KWH",$F$10,0))</f>
        <v>1</v>
      </c>
      <c r="AN43" s="400">
        <f t="shared" si="61"/>
        <v>1.63</v>
      </c>
      <c r="AO43" s="128"/>
      <c r="AP43" s="401">
        <f t="shared" si="21"/>
        <v>2.9999999999999805E-2</v>
      </c>
      <c r="AQ43" s="402">
        <f t="shared" si="22"/>
        <v>1.8749999999999878E-2</v>
      </c>
      <c r="AR43" s="403"/>
    </row>
    <row r="44" spans="1:44" ht="12" customHeight="1">
      <c r="A44" s="52"/>
      <c r="B44" s="320" t="s">
        <v>262</v>
      </c>
      <c r="C44" s="395" t="str">
        <f t="shared" si="49"/>
        <v>Residential.TOU - Off Peak</v>
      </c>
      <c r="D44" s="396" t="s">
        <v>308</v>
      </c>
      <c r="E44" s="320"/>
      <c r="F44" s="430">
        <f>VLOOKUP($B44,'Proposed Rates'!$D$248:$J$254,+F$11-2,FALSE)</f>
        <v>9.8000000000000004E-2</v>
      </c>
      <c r="G44" s="421">
        <f>$F$10*'Proposed Rates'!$K$249</f>
        <v>1280</v>
      </c>
      <c r="H44" s="400">
        <f t="shared" si="51"/>
        <v>125.44</v>
      </c>
      <c r="I44" s="128"/>
      <c r="J44" s="430">
        <f>VLOOKUP($B44,'Proposed Rates'!$D$248:$J$254,+J$11-2,FALSE)</f>
        <v>9.8000000000000004E-2</v>
      </c>
      <c r="K44" s="421">
        <f>$F$10*'Proposed Rates'!$K$249</f>
        <v>1280</v>
      </c>
      <c r="L44" s="400">
        <f t="shared" si="53"/>
        <v>125.44</v>
      </c>
      <c r="M44" s="128"/>
      <c r="N44" s="401">
        <f t="shared" si="5"/>
        <v>0</v>
      </c>
      <c r="O44" s="402">
        <f t="shared" si="6"/>
        <v>0</v>
      </c>
      <c r="P44" s="52"/>
      <c r="Q44" s="430">
        <f>VLOOKUP($B44,'Proposed Rates'!$D$248:$J$254,+Q$11-2,FALSE)</f>
        <v>9.8000000000000004E-2</v>
      </c>
      <c r="R44" s="421">
        <f>$F$10*'Proposed Rates'!$K$249</f>
        <v>1280</v>
      </c>
      <c r="S44" s="400">
        <f t="shared" si="55"/>
        <v>125.44</v>
      </c>
      <c r="T44" s="128"/>
      <c r="U44" s="401">
        <f t="shared" si="9"/>
        <v>0</v>
      </c>
      <c r="V44" s="402">
        <f t="shared" si="10"/>
        <v>0</v>
      </c>
      <c r="W44" s="52"/>
      <c r="X44" s="430">
        <f>VLOOKUP($B44,'Proposed Rates'!$D$248:$J$254,+X$11-2,FALSE)</f>
        <v>9.8000000000000004E-2</v>
      </c>
      <c r="Y44" s="421">
        <f>$F$10*'Proposed Rates'!$K$249</f>
        <v>1280</v>
      </c>
      <c r="Z44" s="400">
        <f t="shared" si="57"/>
        <v>125.44</v>
      </c>
      <c r="AA44" s="128"/>
      <c r="AB44" s="401">
        <f t="shared" si="13"/>
        <v>0</v>
      </c>
      <c r="AC44" s="402">
        <f t="shared" si="14"/>
        <v>0</v>
      </c>
      <c r="AD44" s="52"/>
      <c r="AE44" s="430">
        <f>VLOOKUP($B44,'Proposed Rates'!$D$248:$J$254,+AE$11-2,FALSE)</f>
        <v>9.8000000000000004E-2</v>
      </c>
      <c r="AF44" s="421">
        <f>$F$10*'Proposed Rates'!$K$249</f>
        <v>1280</v>
      </c>
      <c r="AG44" s="400">
        <f t="shared" si="59"/>
        <v>125.44</v>
      </c>
      <c r="AH44" s="128"/>
      <c r="AI44" s="401">
        <f t="shared" si="17"/>
        <v>0</v>
      </c>
      <c r="AJ44" s="402">
        <f t="shared" si="18"/>
        <v>0</v>
      </c>
      <c r="AK44" s="52"/>
      <c r="AL44" s="430">
        <f>VLOOKUP($B44,'Proposed Rates'!$D$248:$J$254,+AL$11-2,FALSE)</f>
        <v>9.8000000000000004E-2</v>
      </c>
      <c r="AM44" s="421">
        <f>$F$10*'Proposed Rates'!$K$249</f>
        <v>1280</v>
      </c>
      <c r="AN44" s="400">
        <f t="shared" si="61"/>
        <v>125.44</v>
      </c>
      <c r="AO44" s="128"/>
      <c r="AP44" s="401">
        <f t="shared" si="21"/>
        <v>0</v>
      </c>
      <c r="AQ44" s="402">
        <f t="shared" si="22"/>
        <v>0</v>
      </c>
      <c r="AR44" s="403"/>
    </row>
    <row r="45" spans="1:44" ht="12" customHeight="1">
      <c r="A45" s="52"/>
      <c r="B45" s="320" t="s">
        <v>263</v>
      </c>
      <c r="C45" s="395" t="str">
        <f t="shared" si="49"/>
        <v>Residential.TOU - Mid Peak</v>
      </c>
      <c r="D45" s="396" t="s">
        <v>308</v>
      </c>
      <c r="E45" s="320"/>
      <c r="F45" s="430">
        <f>VLOOKUP($B45,'Proposed Rates'!$D$248:$J$254,+F$11-2,FALSE)</f>
        <v>0.157</v>
      </c>
      <c r="G45" s="421">
        <f>$F$10*'Proposed Rates'!$K$250</f>
        <v>360</v>
      </c>
      <c r="H45" s="400">
        <f t="shared" si="51"/>
        <v>56.52</v>
      </c>
      <c r="I45" s="128"/>
      <c r="J45" s="430">
        <f>VLOOKUP($B45,'Proposed Rates'!$D$248:$J$254,+J$11-2,FALSE)</f>
        <v>0.157</v>
      </c>
      <c r="K45" s="421">
        <f>$F$10*'Proposed Rates'!$K$250</f>
        <v>360</v>
      </c>
      <c r="L45" s="400">
        <f t="shared" si="53"/>
        <v>56.52</v>
      </c>
      <c r="M45" s="128"/>
      <c r="N45" s="401">
        <f t="shared" si="5"/>
        <v>0</v>
      </c>
      <c r="O45" s="402">
        <f t="shared" si="6"/>
        <v>0</v>
      </c>
      <c r="P45" s="52"/>
      <c r="Q45" s="430">
        <f>VLOOKUP($B45,'Proposed Rates'!$D$248:$J$254,+Q$11-2,FALSE)</f>
        <v>0.157</v>
      </c>
      <c r="R45" s="421">
        <f>$F$10*'Proposed Rates'!$K$250</f>
        <v>360</v>
      </c>
      <c r="S45" s="400">
        <f t="shared" si="55"/>
        <v>56.52</v>
      </c>
      <c r="T45" s="128"/>
      <c r="U45" s="401">
        <f t="shared" si="9"/>
        <v>0</v>
      </c>
      <c r="V45" s="402">
        <f t="shared" si="10"/>
        <v>0</v>
      </c>
      <c r="W45" s="52"/>
      <c r="X45" s="430">
        <f>VLOOKUP($B45,'Proposed Rates'!$D$248:$J$254,+X$11-2,FALSE)</f>
        <v>0.157</v>
      </c>
      <c r="Y45" s="421">
        <f>$F$10*'Proposed Rates'!$K$250</f>
        <v>360</v>
      </c>
      <c r="Z45" s="400">
        <f t="shared" si="57"/>
        <v>56.52</v>
      </c>
      <c r="AA45" s="128"/>
      <c r="AB45" s="401">
        <f t="shared" si="13"/>
        <v>0</v>
      </c>
      <c r="AC45" s="402">
        <f t="shared" si="14"/>
        <v>0</v>
      </c>
      <c r="AD45" s="52"/>
      <c r="AE45" s="430">
        <f>VLOOKUP($B45,'Proposed Rates'!$D$248:$J$254,+AE$11-2,FALSE)</f>
        <v>0.157</v>
      </c>
      <c r="AF45" s="421">
        <f>$F$10*'Proposed Rates'!$K$250</f>
        <v>360</v>
      </c>
      <c r="AG45" s="400">
        <f t="shared" si="59"/>
        <v>56.52</v>
      </c>
      <c r="AH45" s="128"/>
      <c r="AI45" s="401">
        <f t="shared" si="17"/>
        <v>0</v>
      </c>
      <c r="AJ45" s="402">
        <f t="shared" si="18"/>
        <v>0</v>
      </c>
      <c r="AK45" s="52"/>
      <c r="AL45" s="430">
        <f>VLOOKUP($B45,'Proposed Rates'!$D$248:$J$254,+AL$11-2,FALSE)</f>
        <v>0.157</v>
      </c>
      <c r="AM45" s="421">
        <f>$F$10*'Proposed Rates'!$K$250</f>
        <v>360</v>
      </c>
      <c r="AN45" s="400">
        <f t="shared" si="61"/>
        <v>56.52</v>
      </c>
      <c r="AO45" s="128"/>
      <c r="AP45" s="401">
        <f t="shared" si="21"/>
        <v>0</v>
      </c>
      <c r="AQ45" s="402">
        <f t="shared" si="22"/>
        <v>0</v>
      </c>
      <c r="AR45" s="403"/>
    </row>
    <row r="46" spans="1:44" ht="12" customHeight="1">
      <c r="A46" s="52"/>
      <c r="B46" s="52" t="s">
        <v>264</v>
      </c>
      <c r="C46" s="395" t="str">
        <f t="shared" si="49"/>
        <v>Residential.TOU - On Peak</v>
      </c>
      <c r="D46" s="396" t="s">
        <v>308</v>
      </c>
      <c r="E46" s="320"/>
      <c r="F46" s="430">
        <f>VLOOKUP($B46,'Proposed Rates'!$D$248:$J$254,+F$11-2,FALSE)</f>
        <v>0.20300000000000001</v>
      </c>
      <c r="G46" s="421">
        <f>$F$10*'Proposed Rates'!$K$251</f>
        <v>360</v>
      </c>
      <c r="H46" s="400">
        <f t="shared" si="51"/>
        <v>73.08</v>
      </c>
      <c r="I46" s="128"/>
      <c r="J46" s="430">
        <f>VLOOKUP($B46,'Proposed Rates'!$D$248:$J$254,+J$11-2,FALSE)</f>
        <v>0.20300000000000001</v>
      </c>
      <c r="K46" s="421">
        <f>$F$10*'Proposed Rates'!$K$251</f>
        <v>360</v>
      </c>
      <c r="L46" s="400">
        <f t="shared" si="53"/>
        <v>73.08</v>
      </c>
      <c r="M46" s="128"/>
      <c r="N46" s="401">
        <f t="shared" si="5"/>
        <v>0</v>
      </c>
      <c r="O46" s="402">
        <f t="shared" si="6"/>
        <v>0</v>
      </c>
      <c r="P46" s="52"/>
      <c r="Q46" s="430">
        <f>VLOOKUP($B46,'Proposed Rates'!$D$248:$J$254,+Q$11-2,FALSE)</f>
        <v>0.20300000000000001</v>
      </c>
      <c r="R46" s="421">
        <f>$F$10*'Proposed Rates'!$K$251</f>
        <v>360</v>
      </c>
      <c r="S46" s="400">
        <f t="shared" si="55"/>
        <v>73.08</v>
      </c>
      <c r="T46" s="128"/>
      <c r="U46" s="401">
        <f t="shared" si="9"/>
        <v>0</v>
      </c>
      <c r="V46" s="402">
        <f t="shared" si="10"/>
        <v>0</v>
      </c>
      <c r="W46" s="52"/>
      <c r="X46" s="430">
        <f>VLOOKUP($B46,'Proposed Rates'!$D$248:$J$254,+X$11-2,FALSE)</f>
        <v>0.20300000000000001</v>
      </c>
      <c r="Y46" s="421">
        <f>$F$10*'Proposed Rates'!$K$251</f>
        <v>360</v>
      </c>
      <c r="Z46" s="400">
        <f t="shared" si="57"/>
        <v>73.08</v>
      </c>
      <c r="AA46" s="128"/>
      <c r="AB46" s="401">
        <f t="shared" si="13"/>
        <v>0</v>
      </c>
      <c r="AC46" s="402">
        <f t="shared" si="14"/>
        <v>0</v>
      </c>
      <c r="AD46" s="52"/>
      <c r="AE46" s="430">
        <f>VLOOKUP($B46,'Proposed Rates'!$D$248:$J$254,+AE$11-2,FALSE)</f>
        <v>0.20300000000000001</v>
      </c>
      <c r="AF46" s="421">
        <f>$F$10*'Proposed Rates'!$K$251</f>
        <v>360</v>
      </c>
      <c r="AG46" s="400">
        <f t="shared" si="59"/>
        <v>73.08</v>
      </c>
      <c r="AH46" s="128"/>
      <c r="AI46" s="401">
        <f t="shared" si="17"/>
        <v>0</v>
      </c>
      <c r="AJ46" s="402">
        <f t="shared" si="18"/>
        <v>0</v>
      </c>
      <c r="AK46" s="52"/>
      <c r="AL46" s="430">
        <f>VLOOKUP($B46,'Proposed Rates'!$D$248:$J$254,+AL$11-2,FALSE)</f>
        <v>0.20300000000000001</v>
      </c>
      <c r="AM46" s="421">
        <f>$F$10*'Proposed Rates'!$K$251</f>
        <v>360</v>
      </c>
      <c r="AN46" s="400">
        <f t="shared" si="61"/>
        <v>73.08</v>
      </c>
      <c r="AO46" s="128"/>
      <c r="AP46" s="401">
        <f t="shared" si="21"/>
        <v>0</v>
      </c>
      <c r="AQ46" s="402">
        <f t="shared" si="22"/>
        <v>0</v>
      </c>
      <c r="AR46" s="403"/>
    </row>
    <row r="47" spans="1:44" ht="12" customHeight="1">
      <c r="A47" s="52"/>
      <c r="B47" s="320" t="s">
        <v>265</v>
      </c>
      <c r="C47" s="395" t="str">
        <f t="shared" si="49"/>
        <v>Residential.Energy - RPP - Tier 1</v>
      </c>
      <c r="D47" s="396" t="s">
        <v>308</v>
      </c>
      <c r="E47" s="320"/>
      <c r="F47" s="430">
        <f>VLOOKUP($B47,'Proposed Rates'!$D$248:$J$254,+F$11-2,FALSE)</f>
        <v>0.12</v>
      </c>
      <c r="G47" s="431">
        <f>IF(AND($S$2=1, $F$10&gt;=600), 600, IF(AND($S$2=1, AND($F$10&lt;600, $F$10&gt;=0)), $F$10, IF(AND($S$2=2, $F$10&gt;=1000), 1000, IF(AND($S$2=2, AND($F$10&lt;1000, $F$10&gt;=0)), $F$10))))</f>
        <v>600</v>
      </c>
      <c r="H47" s="400">
        <f t="shared" si="51"/>
        <v>72</v>
      </c>
      <c r="I47" s="128"/>
      <c r="J47" s="430">
        <f>VLOOKUP($B47,'Proposed Rates'!$D$248:$J$254,+J$11-2,FALSE)</f>
        <v>0.12</v>
      </c>
      <c r="K47" s="431">
        <f>IF(AND($S$2=1, $F$10&gt;=600), 600, IF(AND($S$2=1, AND($F$10&lt;600, $F$10&gt;=0)), $F$10, IF(AND($S$2=2, $F$10&gt;=1000), 1000, IF(AND($S$2=2, AND($F$10&lt;1000, $F$10&gt;=0)), $F$10))))</f>
        <v>600</v>
      </c>
      <c r="L47" s="400">
        <f t="shared" si="53"/>
        <v>72</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600</v>
      </c>
      <c r="S47" s="400">
        <f t="shared" si="55"/>
        <v>72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600</v>
      </c>
      <c r="Z47" s="400">
        <f t="shared" si="57"/>
        <v>72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600</v>
      </c>
      <c r="AG47" s="400">
        <f t="shared" si="59"/>
        <v>72</v>
      </c>
      <c r="AH47" s="128"/>
      <c r="AI47" s="401">
        <f t="shared" si="17"/>
        <v>0</v>
      </c>
      <c r="AJ47" s="402">
        <f t="shared" si="18"/>
        <v>0</v>
      </c>
      <c r="AK47" s="52"/>
      <c r="AL47" s="430">
        <f>VLOOKUP($B47,'Proposed Rates'!$D$248:$J$254,+AL$11-2,FALSE)</f>
        <v>0.12</v>
      </c>
      <c r="AM47" s="431">
        <f>IF(AND($S$2=1, $F$10&gt;=600), 600, IF(AND($S$2=1, AND($F$10&lt;600, $F$10&gt;=0)), $F$10, IF(AND($S$2=2, $F$10&gt;=1000), 1000, IF(AND($S$2=2, AND($F$10&lt;1000, $F$10&gt;=0)), $F$10))))</f>
        <v>600</v>
      </c>
      <c r="AN47" s="400">
        <f t="shared" si="61"/>
        <v>72</v>
      </c>
      <c r="AO47" s="128"/>
      <c r="AP47" s="401">
        <f t="shared" si="21"/>
        <v>0</v>
      </c>
      <c r="AQ47" s="402">
        <f t="shared" si="22"/>
        <v>0</v>
      </c>
      <c r="AR47" s="403"/>
    </row>
    <row r="48" spans="1:44" ht="12" customHeight="1">
      <c r="A48" s="52"/>
      <c r="B48" s="320" t="s">
        <v>266</v>
      </c>
      <c r="C48" s="395" t="str">
        <f t="shared" si="49"/>
        <v>Residential.Energy - RPP - Tier 2</v>
      </c>
      <c r="D48" s="396" t="s">
        <v>308</v>
      </c>
      <c r="E48" s="320"/>
      <c r="F48" s="430">
        <f>VLOOKUP($B48,'Proposed Rates'!$D$248:$J$254,+F$11-2,FALSE)</f>
        <v>0.14199999999999999</v>
      </c>
      <c r="G48" s="433">
        <f>IF(AND($S$2=1, $F$10&gt;=600), $F$10-600, IF(AND($S$2=1, AND($F$10&lt;600, $F$10&gt;=0)), 0, IF(AND($S$2=2, $F$10&gt;=1000), $F$10-1000, IF(AND($S$2=2, AND($F$10&lt;1000, $F$10&gt;=0)), 0))))</f>
        <v>1400</v>
      </c>
      <c r="H48" s="400">
        <f t="shared" si="51"/>
        <v>198.79999999999998</v>
      </c>
      <c r="I48" s="128"/>
      <c r="J48" s="430">
        <f>VLOOKUP($B48,'Proposed Rates'!$D$248:$J$254,+J$11-2,FALSE)</f>
        <v>0.14199999999999999</v>
      </c>
      <c r="K48" s="433">
        <f>IF(AND($S$2=1, $F$10&gt;=600), $F$10-600, IF(AND($S$2=1, AND($F$10&lt;600, $F$10&gt;=0)), 0, IF(AND($S$2=2, $F$10&gt;=1000), $F$10-1000, IF(AND($S$2=2, AND($F$10&lt;1000, $F$10&gt;=0)), 0))))</f>
        <v>1400</v>
      </c>
      <c r="L48" s="400">
        <f t="shared" si="53"/>
        <v>198.79999999999998</v>
      </c>
      <c r="M48" s="128"/>
      <c r="N48" s="401">
        <f t="shared" si="5"/>
        <v>0</v>
      </c>
      <c r="O48" s="402">
        <f t="shared" si="6"/>
        <v>0</v>
      </c>
      <c r="P48" s="52"/>
      <c r="Q48" s="430">
        <f>VLOOKUP($B48,'Proposed Rates'!$D$248:$J$254,+Q$11-2,FALSE)</f>
        <v>0.14199999999999999</v>
      </c>
      <c r="R48" s="433">
        <f>IF(AND($S$2=1, $F$10&gt;=600), $F$10-600, IF(AND($S$2=1, AND($F$10&lt;600, $F$10&gt;=0)), 0, IF(AND($S$2=2, $F$10&gt;=1000), $F$10-1000, IF(AND($S$2=2, AND($F$10&lt;1000, $F$10&gt;=0)), 0))))</f>
        <v>1400</v>
      </c>
      <c r="S48" s="400">
        <f t="shared" si="55"/>
        <v>198.79999999999998</v>
      </c>
      <c r="T48" s="128"/>
      <c r="U48" s="401">
        <f t="shared" si="9"/>
        <v>0</v>
      </c>
      <c r="V48" s="402">
        <f t="shared" si="10"/>
        <v>0</v>
      </c>
      <c r="W48" s="52"/>
      <c r="X48" s="430">
        <f>VLOOKUP($B48,'Proposed Rates'!$D$248:$J$254,+X$11-2,FALSE)</f>
        <v>0.14199999999999999</v>
      </c>
      <c r="Y48" s="433">
        <f>IF(AND($S$2=1, $F$10&gt;=600), $F$10-600, IF(AND($S$2=1, AND($F$10&lt;600, $F$10&gt;=0)), 0, IF(AND($S$2=2, $F$10&gt;=1000), $F$10-1000, IF(AND($S$2=2, AND($F$10&lt;1000, $F$10&gt;=0)), 0))))</f>
        <v>1400</v>
      </c>
      <c r="Z48" s="400">
        <f t="shared" si="57"/>
        <v>198.79999999999998</v>
      </c>
      <c r="AA48" s="128"/>
      <c r="AB48" s="401">
        <f t="shared" si="13"/>
        <v>0</v>
      </c>
      <c r="AC48" s="402">
        <f t="shared" si="14"/>
        <v>0</v>
      </c>
      <c r="AD48" s="52"/>
      <c r="AE48" s="430">
        <f>VLOOKUP($B48,'Proposed Rates'!$D$248:$J$254,+AE$11-2,FALSE)</f>
        <v>0.14199999999999999</v>
      </c>
      <c r="AF48" s="433">
        <f>IF(AND($S$2=1, $F$10&gt;=600), $F$10-600, IF(AND($S$2=1, AND($F$10&lt;600, $F$10&gt;=0)), 0, IF(AND($S$2=2, $F$10&gt;=1000), $F$10-1000, IF(AND($S$2=2, AND($F$10&lt;1000, $F$10&gt;=0)), 0))))</f>
        <v>1400</v>
      </c>
      <c r="AG48" s="400">
        <f t="shared" si="59"/>
        <v>198.79999999999998</v>
      </c>
      <c r="AH48" s="128"/>
      <c r="AI48" s="401">
        <f t="shared" si="17"/>
        <v>0</v>
      </c>
      <c r="AJ48" s="402">
        <f t="shared" si="18"/>
        <v>0</v>
      </c>
      <c r="AK48" s="52"/>
      <c r="AL48" s="430">
        <f>VLOOKUP($B48,'Proposed Rates'!$D$248:$J$254,+AL$11-2,FALSE)</f>
        <v>0.14199999999999999</v>
      </c>
      <c r="AM48" s="433">
        <f>IF(AND($S$2=1, $F$10&gt;=600), $F$10-600, IF(AND($S$2=1, AND($F$10&lt;600, $F$10&gt;=0)), 0, IF(AND($S$2=2, $F$10&gt;=1000), $F$10-1000, IF(AND($S$2=2, AND($F$10&lt;1000, $F$10&gt;=0)), 0))))</f>
        <v>1400</v>
      </c>
      <c r="AN48" s="400">
        <f t="shared" si="61"/>
        <v>198.79999999999998</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352.28781200000003</v>
      </c>
      <c r="I50" s="482"/>
      <c r="J50" s="445"/>
      <c r="K50" s="446"/>
      <c r="L50" s="447">
        <f>SUM(L41:L46,L40)</f>
        <v>362.70461599999993</v>
      </c>
      <c r="M50" s="449"/>
      <c r="N50" s="448">
        <f t="shared" ref="N50:N54" si="62">L50-H50</f>
        <v>10.4168039999999</v>
      </c>
      <c r="O50" s="450">
        <f t="shared" ref="O50:O54" si="63">IF((H50)=0,"",(N50/H50))</f>
        <v>2.9569016142970903E-2</v>
      </c>
      <c r="P50" s="52"/>
      <c r="Q50" s="446"/>
      <c r="R50" s="446"/>
      <c r="S50" s="448">
        <f>SUM(S41:S46,S40)</f>
        <v>366.77461599999998</v>
      </c>
      <c r="T50" s="449"/>
      <c r="U50" s="448">
        <f t="shared" ref="U50:U54" si="64">S50-L50</f>
        <v>4.07000000000005</v>
      </c>
      <c r="V50" s="450">
        <f t="shared" ref="V50:V54" si="65">IF((L50)=0,"",(U50/L50))</f>
        <v>1.122125228204995E-2</v>
      </c>
      <c r="W50" s="52"/>
      <c r="X50" s="446"/>
      <c r="Y50" s="446"/>
      <c r="Z50" s="448">
        <f>SUM(Z41:Z46,Z40)</f>
        <v>370.77527999999995</v>
      </c>
      <c r="AA50" s="449"/>
      <c r="AB50" s="448">
        <f t="shared" ref="AB50:AB54" si="66">Z50-S50</f>
        <v>4.000663999999972</v>
      </c>
      <c r="AC50" s="450">
        <f t="shared" ref="AC50:AC54" si="67">IF((S50)=0,"",(AB50/S50))</f>
        <v>1.0907690514765537E-2</v>
      </c>
      <c r="AD50" s="52"/>
      <c r="AE50" s="446"/>
      <c r="AF50" s="446"/>
      <c r="AG50" s="448">
        <f>SUM(AG41:AG46,AG40)</f>
        <v>373.89527999999996</v>
      </c>
      <c r="AH50" s="449"/>
      <c r="AI50" s="448">
        <f t="shared" ref="AI50:AI54" si="68">AG50-Z50</f>
        <v>3.1200000000000045</v>
      </c>
      <c r="AJ50" s="450">
        <f t="shared" ref="AJ50:AJ54" si="69">IF((Z50)=0,"",(AI50/Z50))</f>
        <v>8.4148004688985867E-3</v>
      </c>
      <c r="AK50" s="52"/>
      <c r="AL50" s="446"/>
      <c r="AM50" s="446"/>
      <c r="AN50" s="448">
        <f>SUM(AN41:AN46,AN40)</f>
        <v>376.85527999999994</v>
      </c>
      <c r="AO50" s="449"/>
      <c r="AP50" s="448">
        <f t="shared" ref="AP50:AP54" si="70">AN50-AG50</f>
        <v>2.9599999999999795</v>
      </c>
      <c r="AQ50" s="450">
        <f t="shared" ref="AQ50:AQ54" si="71">IF((AG50)=0,"",(AP50/AG50))</f>
        <v>7.9166551661202563E-3</v>
      </c>
      <c r="AR50" s="451"/>
    </row>
    <row r="51" spans="1:44" ht="12" customHeight="1">
      <c r="A51" s="52"/>
      <c r="B51" s="452" t="s">
        <v>316</v>
      </c>
      <c r="C51" s="320"/>
      <c r="D51" s="320"/>
      <c r="E51" s="320"/>
      <c r="F51" s="445">
        <v>0.13</v>
      </c>
      <c r="G51" s="128"/>
      <c r="H51" s="490">
        <f>H50*F51</f>
        <v>45.797415560000005</v>
      </c>
      <c r="I51" s="417"/>
      <c r="J51" s="445">
        <v>0.13</v>
      </c>
      <c r="K51" s="417"/>
      <c r="L51" s="400">
        <f>L50*J51</f>
        <v>47.151600079999994</v>
      </c>
      <c r="M51" s="128"/>
      <c r="N51" s="401">
        <f t="shared" si="62"/>
        <v>1.3541845199999898</v>
      </c>
      <c r="O51" s="402">
        <f t="shared" si="63"/>
        <v>2.9569016142970965E-2</v>
      </c>
      <c r="P51" s="52"/>
      <c r="Q51" s="453">
        <v>0.13</v>
      </c>
      <c r="R51" s="417"/>
      <c r="S51" s="400">
        <f>S50*Q51</f>
        <v>47.680700080000001</v>
      </c>
      <c r="T51" s="128"/>
      <c r="U51" s="401">
        <f t="shared" si="64"/>
        <v>0.52910000000000679</v>
      </c>
      <c r="V51" s="402">
        <f t="shared" si="65"/>
        <v>1.1221252282049956E-2</v>
      </c>
      <c r="W51" s="52"/>
      <c r="X51" s="453">
        <v>0.13</v>
      </c>
      <c r="Y51" s="417"/>
      <c r="Z51" s="400">
        <f>Z50*X51</f>
        <v>48.200786399999998</v>
      </c>
      <c r="AA51" s="128"/>
      <c r="AB51" s="401">
        <f t="shared" si="66"/>
        <v>0.52008631999999722</v>
      </c>
      <c r="AC51" s="402">
        <f t="shared" si="67"/>
        <v>1.0907690514765554E-2</v>
      </c>
      <c r="AD51" s="52"/>
      <c r="AE51" s="453">
        <v>0.13</v>
      </c>
      <c r="AF51" s="417"/>
      <c r="AG51" s="400">
        <f>AG50*AE51</f>
        <v>48.606386399999998</v>
      </c>
      <c r="AH51" s="128"/>
      <c r="AI51" s="401">
        <f t="shared" si="68"/>
        <v>0.40559999999999974</v>
      </c>
      <c r="AJ51" s="402">
        <f t="shared" si="69"/>
        <v>8.4148004688985693E-3</v>
      </c>
      <c r="AK51" s="52"/>
      <c r="AL51" s="453">
        <v>0.13</v>
      </c>
      <c r="AM51" s="417"/>
      <c r="AN51" s="400">
        <f>AN50*AL51</f>
        <v>48.991186399999997</v>
      </c>
      <c r="AO51" s="128"/>
      <c r="AP51" s="401">
        <f t="shared" si="70"/>
        <v>0.38479999999999848</v>
      </c>
      <c r="AQ51" s="402">
        <f t="shared" si="71"/>
        <v>7.9166551661202789E-3</v>
      </c>
      <c r="AR51" s="403"/>
    </row>
    <row r="52" spans="1:44" ht="12" customHeight="1">
      <c r="A52" s="52"/>
      <c r="B52" s="454" t="s">
        <v>360</v>
      </c>
      <c r="C52" s="320"/>
      <c r="D52" s="320"/>
      <c r="E52" s="320"/>
      <c r="F52" s="455"/>
      <c r="G52" s="128"/>
      <c r="H52" s="490">
        <f>H50+H51</f>
        <v>398.08522756000002</v>
      </c>
      <c r="I52" s="417"/>
      <c r="J52" s="455"/>
      <c r="K52" s="417"/>
      <c r="L52" s="400">
        <f>L50+L51</f>
        <v>409.85621607999991</v>
      </c>
      <c r="M52" s="128"/>
      <c r="N52" s="401">
        <f t="shared" si="62"/>
        <v>11.770988519999889</v>
      </c>
      <c r="O52" s="402">
        <f t="shared" si="63"/>
        <v>2.9569016142970913E-2</v>
      </c>
      <c r="P52" s="52"/>
      <c r="Q52" s="417"/>
      <c r="R52" s="417"/>
      <c r="S52" s="400">
        <f>S50+S51</f>
        <v>414.45531607999999</v>
      </c>
      <c r="T52" s="128"/>
      <c r="U52" s="401">
        <f t="shared" si="64"/>
        <v>4.5991000000000781</v>
      </c>
      <c r="V52" s="402">
        <f t="shared" si="65"/>
        <v>1.1221252282050002E-2</v>
      </c>
      <c r="W52" s="52"/>
      <c r="X52" s="417"/>
      <c r="Y52" s="417"/>
      <c r="Z52" s="400">
        <f>Z50+Z51</f>
        <v>418.97606639999992</v>
      </c>
      <c r="AA52" s="128"/>
      <c r="AB52" s="401">
        <f t="shared" si="66"/>
        <v>4.5207503199999337</v>
      </c>
      <c r="AC52" s="402">
        <f t="shared" si="67"/>
        <v>1.0907690514765454E-2</v>
      </c>
      <c r="AD52" s="52"/>
      <c r="AE52" s="417"/>
      <c r="AF52" s="417"/>
      <c r="AG52" s="400">
        <f>AG50+AG51</f>
        <v>422.50166639999998</v>
      </c>
      <c r="AH52" s="128"/>
      <c r="AI52" s="401">
        <f t="shared" si="68"/>
        <v>3.525600000000054</v>
      </c>
      <c r="AJ52" s="402">
        <f t="shared" si="69"/>
        <v>8.4148004688987046E-3</v>
      </c>
      <c r="AK52" s="52"/>
      <c r="AL52" s="417"/>
      <c r="AM52" s="417"/>
      <c r="AN52" s="400">
        <f>AN50+AN51</f>
        <v>425.84646639999994</v>
      </c>
      <c r="AO52" s="128"/>
      <c r="AP52" s="401">
        <f t="shared" si="70"/>
        <v>3.3447999999999638</v>
      </c>
      <c r="AQ52" s="402">
        <f t="shared" si="71"/>
        <v>7.9166551661202251E-3</v>
      </c>
      <c r="AR52" s="403"/>
    </row>
    <row r="53" spans="1:44" ht="12" customHeight="1">
      <c r="A53" s="52"/>
      <c r="B53" s="628" t="s">
        <v>273</v>
      </c>
      <c r="C53" s="615"/>
      <c r="D53" s="615"/>
      <c r="E53" s="320"/>
      <c r="F53" s="456">
        <f>'Proposed Rates'!E286</f>
        <v>0.23499999999999999</v>
      </c>
      <c r="G53" s="128"/>
      <c r="H53" s="492">
        <f>F53*H50</f>
        <v>82.787635820000006</v>
      </c>
      <c r="I53" s="417"/>
      <c r="J53" s="456">
        <f>'Proposed Rates'!F286</f>
        <v>0.23499999999999999</v>
      </c>
      <c r="K53" s="417"/>
      <c r="L53" s="457">
        <f>J53*L50</f>
        <v>85.235584759999981</v>
      </c>
      <c r="M53" s="128"/>
      <c r="N53" s="457">
        <f t="shared" si="62"/>
        <v>2.447948939999975</v>
      </c>
      <c r="O53" s="459">
        <f t="shared" si="63"/>
        <v>2.9569016142970885E-2</v>
      </c>
      <c r="P53" s="52"/>
      <c r="Q53" s="458">
        <f>'Proposed Rates'!G286</f>
        <v>0.23499999999999999</v>
      </c>
      <c r="R53" s="417"/>
      <c r="S53" s="457">
        <f>Q53*S50</f>
        <v>86.192034759999984</v>
      </c>
      <c r="T53" s="128"/>
      <c r="U53" s="457">
        <f t="shared" si="64"/>
        <v>0.9564500000000038</v>
      </c>
      <c r="V53" s="459">
        <f t="shared" si="65"/>
        <v>1.1221252282049857E-2</v>
      </c>
      <c r="W53" s="52"/>
      <c r="X53" s="458">
        <f>'Proposed Rates'!H286</f>
        <v>0.23499999999999999</v>
      </c>
      <c r="Y53" s="417"/>
      <c r="Z53" s="457">
        <f>X53*Z50</f>
        <v>87.132190799999989</v>
      </c>
      <c r="AA53" s="128"/>
      <c r="AB53" s="457">
        <f t="shared" si="66"/>
        <v>0.94015604000000508</v>
      </c>
      <c r="AC53" s="459">
        <f t="shared" si="67"/>
        <v>1.0907690514765674E-2</v>
      </c>
      <c r="AD53" s="52"/>
      <c r="AE53" s="458">
        <f>'Proposed Rates'!I286</f>
        <v>0.23499999999999999</v>
      </c>
      <c r="AF53" s="417"/>
      <c r="AG53" s="457">
        <f>AE53*AG50</f>
        <v>87.865390799999986</v>
      </c>
      <c r="AH53" s="128"/>
      <c r="AI53" s="457">
        <f t="shared" si="68"/>
        <v>0.73319999999999652</v>
      </c>
      <c r="AJ53" s="459">
        <f t="shared" si="69"/>
        <v>8.4148004688985346E-3</v>
      </c>
      <c r="AK53" s="52"/>
      <c r="AL53" s="458">
        <f>'Proposed Rates'!J286</f>
        <v>0.23499999999999999</v>
      </c>
      <c r="AM53" s="417"/>
      <c r="AN53" s="457">
        <f>AL53*AN50</f>
        <v>88.560990799999985</v>
      </c>
      <c r="AO53" s="128"/>
      <c r="AP53" s="457">
        <f t="shared" si="70"/>
        <v>0.69559999999999889</v>
      </c>
      <c r="AQ53" s="459">
        <f t="shared" si="71"/>
        <v>7.9166551661202997E-3</v>
      </c>
      <c r="AR53" s="460"/>
    </row>
    <row r="54" spans="1:44" ht="12" customHeight="1">
      <c r="A54" s="52"/>
      <c r="B54" s="627" t="s">
        <v>318</v>
      </c>
      <c r="C54" s="613"/>
      <c r="D54" s="613"/>
      <c r="E54" s="461"/>
      <c r="F54" s="462"/>
      <c r="G54" s="493"/>
      <c r="H54" s="494">
        <f>H52-H53</f>
        <v>315.29759174000003</v>
      </c>
      <c r="I54" s="463"/>
      <c r="J54" s="462"/>
      <c r="K54" s="463"/>
      <c r="L54" s="464">
        <f>L52-L53</f>
        <v>324.62063131999992</v>
      </c>
      <c r="M54" s="465"/>
      <c r="N54" s="466">
        <f t="shared" si="62"/>
        <v>9.323039579999886</v>
      </c>
      <c r="O54" s="467">
        <f t="shared" si="63"/>
        <v>2.9569016142970826E-2</v>
      </c>
      <c r="P54" s="52"/>
      <c r="Q54" s="463"/>
      <c r="R54" s="463"/>
      <c r="S54" s="464">
        <f>S52-S53</f>
        <v>328.26328132000003</v>
      </c>
      <c r="T54" s="465"/>
      <c r="U54" s="466">
        <f t="shared" si="64"/>
        <v>3.642650000000117</v>
      </c>
      <c r="V54" s="467">
        <f t="shared" si="65"/>
        <v>1.1221252282050172E-2</v>
      </c>
      <c r="W54" s="52"/>
      <c r="X54" s="463"/>
      <c r="Y54" s="463"/>
      <c r="Z54" s="464">
        <f>Z52-Z53</f>
        <v>331.84387559999993</v>
      </c>
      <c r="AA54" s="465"/>
      <c r="AB54" s="466">
        <f t="shared" si="66"/>
        <v>3.5805942799999002</v>
      </c>
      <c r="AC54" s="467">
        <f t="shared" si="67"/>
        <v>1.0907690514765308E-2</v>
      </c>
      <c r="AD54" s="52"/>
      <c r="AE54" s="463"/>
      <c r="AF54" s="463"/>
      <c r="AG54" s="464">
        <f>AG52-AG53</f>
        <v>334.63627559999998</v>
      </c>
      <c r="AH54" s="465"/>
      <c r="AI54" s="466">
        <f t="shared" si="68"/>
        <v>2.7924000000000433</v>
      </c>
      <c r="AJ54" s="467">
        <f t="shared" si="69"/>
        <v>8.4148004688987064E-3</v>
      </c>
      <c r="AK54" s="52"/>
      <c r="AL54" s="463"/>
      <c r="AM54" s="463"/>
      <c r="AN54" s="464">
        <f>AN52-AN53</f>
        <v>337.28547559999993</v>
      </c>
      <c r="AO54" s="465"/>
      <c r="AP54" s="466">
        <f t="shared" si="70"/>
        <v>2.6491999999999507</v>
      </c>
      <c r="AQ54" s="467">
        <f t="shared" si="71"/>
        <v>7.9166551661201644E-3</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368.04781199999996</v>
      </c>
      <c r="I56" s="482"/>
      <c r="J56" s="445"/>
      <c r="K56" s="446"/>
      <c r="L56" s="447">
        <f>SUM(L47:L48,L40,L41:L43)</f>
        <v>378.46461599999986</v>
      </c>
      <c r="M56" s="449"/>
      <c r="N56" s="448">
        <f t="shared" ref="N56:N60" si="72">L56-H56</f>
        <v>10.4168039999999</v>
      </c>
      <c r="O56" s="450">
        <f t="shared" ref="O56:O60" si="73">IF((H56)=0,"",(N56/H56))</f>
        <v>2.8302855390972683E-2</v>
      </c>
      <c r="P56" s="52"/>
      <c r="Q56" s="446"/>
      <c r="R56" s="446"/>
      <c r="S56" s="448">
        <f>SUM(S47:S48,S40,S41:S43)</f>
        <v>382.53461599999991</v>
      </c>
      <c r="T56" s="449"/>
      <c r="U56" s="448">
        <f t="shared" ref="U56:U60" si="74">S56-L56</f>
        <v>4.07000000000005</v>
      </c>
      <c r="V56" s="450">
        <f t="shared" ref="V56:V60" si="75">IF((L56)=0,"",(U56/L56))</f>
        <v>1.0753977592452266E-2</v>
      </c>
      <c r="W56" s="52"/>
      <c r="X56" s="446"/>
      <c r="Y56" s="446"/>
      <c r="Z56" s="448">
        <f>SUM(Z47:Z48,Z40,Z41:Z43)</f>
        <v>386.53527999999989</v>
      </c>
      <c r="AA56" s="449"/>
      <c r="AB56" s="448">
        <f t="shared" ref="AB56:AB60" si="76">Z56-S56</f>
        <v>4.000663999999972</v>
      </c>
      <c r="AC56" s="450">
        <f t="shared" ref="AC56:AC60" si="77">IF((S56)=0,"",(AB56/S56))</f>
        <v>1.0458305817740618E-2</v>
      </c>
      <c r="AD56" s="52"/>
      <c r="AE56" s="446"/>
      <c r="AF56" s="446"/>
      <c r="AG56" s="448">
        <f>SUM(AG47:AG48,AG40,AG41:AG43)</f>
        <v>389.65527999999989</v>
      </c>
      <c r="AH56" s="449"/>
      <c r="AI56" s="448">
        <f t="shared" ref="AI56:AI60" si="78">AG56-Z56</f>
        <v>3.1200000000000045</v>
      </c>
      <c r="AJ56" s="450">
        <f t="shared" ref="AJ56:AJ60" si="79">IF((Z56)=0,"",(AI56/Z56))</f>
        <v>8.0717082280303241E-3</v>
      </c>
      <c r="AK56" s="52"/>
      <c r="AL56" s="446"/>
      <c r="AM56" s="446"/>
      <c r="AN56" s="448">
        <f>SUM(AN47:AN48,AN40,AN41:AN43)</f>
        <v>392.61527999999987</v>
      </c>
      <c r="AO56" s="449"/>
      <c r="AP56" s="448">
        <f t="shared" ref="AP56:AP60" si="80">AN56-AG56</f>
        <v>2.9599999999999795</v>
      </c>
      <c r="AQ56" s="450">
        <f t="shared" ref="AQ56:AQ60" si="81">IF((AG56)=0,"",(AP56/AG56))</f>
        <v>7.5964580795619668E-3</v>
      </c>
      <c r="AR56" s="451"/>
    </row>
    <row r="57" spans="1:44" ht="12" customHeight="1">
      <c r="A57" s="52"/>
      <c r="B57" s="452" t="s">
        <v>316</v>
      </c>
      <c r="C57" s="320"/>
      <c r="D57" s="320"/>
      <c r="E57" s="320"/>
      <c r="F57" s="445">
        <v>0.13</v>
      </c>
      <c r="G57" s="489"/>
      <c r="H57" s="490">
        <f>H56*F57</f>
        <v>47.846215559999997</v>
      </c>
      <c r="I57" s="417"/>
      <c r="J57" s="445">
        <v>0.13</v>
      </c>
      <c r="K57" s="453"/>
      <c r="L57" s="400">
        <f>L56*J57</f>
        <v>49.200400079999987</v>
      </c>
      <c r="M57" s="128"/>
      <c r="N57" s="401">
        <f t="shared" si="72"/>
        <v>1.3541845199999898</v>
      </c>
      <c r="O57" s="402">
        <f t="shared" si="73"/>
        <v>2.8302855390972742E-2</v>
      </c>
      <c r="P57" s="52"/>
      <c r="Q57" s="445">
        <v>0.13</v>
      </c>
      <c r="R57" s="453"/>
      <c r="S57" s="400">
        <f>S56*Q57</f>
        <v>49.729500079999994</v>
      </c>
      <c r="T57" s="128"/>
      <c r="U57" s="401">
        <f t="shared" si="74"/>
        <v>0.52910000000000679</v>
      </c>
      <c r="V57" s="402">
        <f t="shared" si="75"/>
        <v>1.0753977592452271E-2</v>
      </c>
      <c r="W57" s="52"/>
      <c r="X57" s="445">
        <v>0.13</v>
      </c>
      <c r="Y57" s="453"/>
      <c r="Z57" s="400">
        <f>Z56*X57</f>
        <v>50.249586399999984</v>
      </c>
      <c r="AA57" s="128"/>
      <c r="AB57" s="401">
        <f t="shared" si="76"/>
        <v>0.52008631999999011</v>
      </c>
      <c r="AC57" s="402">
        <f t="shared" si="77"/>
        <v>1.0458305817740491E-2</v>
      </c>
      <c r="AD57" s="52"/>
      <c r="AE57" s="445">
        <v>0.13</v>
      </c>
      <c r="AF57" s="453"/>
      <c r="AG57" s="400">
        <f>AG56*AE57</f>
        <v>50.655186399999991</v>
      </c>
      <c r="AH57" s="128"/>
      <c r="AI57" s="401">
        <f t="shared" si="78"/>
        <v>0.40560000000000684</v>
      </c>
      <c r="AJ57" s="402">
        <f t="shared" si="79"/>
        <v>8.071708228030449E-3</v>
      </c>
      <c r="AK57" s="52"/>
      <c r="AL57" s="445">
        <v>0.13</v>
      </c>
      <c r="AM57" s="453"/>
      <c r="AN57" s="400">
        <f>AN56*AL57</f>
        <v>51.039986399999982</v>
      </c>
      <c r="AO57" s="128"/>
      <c r="AP57" s="401">
        <f t="shared" si="80"/>
        <v>0.38479999999999137</v>
      </c>
      <c r="AQ57" s="402">
        <f t="shared" si="81"/>
        <v>7.5964580795618479E-3</v>
      </c>
      <c r="AR57" s="403"/>
    </row>
    <row r="58" spans="1:44" ht="12" customHeight="1">
      <c r="A58" s="52"/>
      <c r="B58" s="454" t="s">
        <v>361</v>
      </c>
      <c r="C58" s="320"/>
      <c r="D58" s="320"/>
      <c r="E58" s="320"/>
      <c r="F58" s="455"/>
      <c r="G58" s="128"/>
      <c r="H58" s="490">
        <f>H56+H57</f>
        <v>415.89402755999998</v>
      </c>
      <c r="I58" s="417"/>
      <c r="J58" s="455"/>
      <c r="K58" s="417"/>
      <c r="L58" s="400">
        <f>L56+L57</f>
        <v>427.66501607999987</v>
      </c>
      <c r="M58" s="128"/>
      <c r="N58" s="401">
        <f t="shared" si="72"/>
        <v>11.770988519999889</v>
      </c>
      <c r="O58" s="402">
        <f t="shared" si="73"/>
        <v>2.830285539097269E-2</v>
      </c>
      <c r="P58" s="52"/>
      <c r="Q58" s="417"/>
      <c r="R58" s="417"/>
      <c r="S58" s="400">
        <f>S56+S57</f>
        <v>432.26411607999989</v>
      </c>
      <c r="T58" s="128"/>
      <c r="U58" s="401">
        <f t="shared" si="74"/>
        <v>4.5991000000000213</v>
      </c>
      <c r="V58" s="402">
        <f t="shared" si="75"/>
        <v>1.0753977592452182E-2</v>
      </c>
      <c r="W58" s="52"/>
      <c r="X58" s="417"/>
      <c r="Y58" s="417"/>
      <c r="Z58" s="400">
        <f>Z56+Z57</f>
        <v>436.78486639999988</v>
      </c>
      <c r="AA58" s="128"/>
      <c r="AB58" s="401">
        <f t="shared" si="76"/>
        <v>4.5207503199999906</v>
      </c>
      <c r="AC58" s="402">
        <f t="shared" si="77"/>
        <v>1.0458305817740668E-2</v>
      </c>
      <c r="AD58" s="52"/>
      <c r="AE58" s="417"/>
      <c r="AF58" s="417"/>
      <c r="AG58" s="400">
        <f>AG56+AG57</f>
        <v>440.31046639999988</v>
      </c>
      <c r="AH58" s="128"/>
      <c r="AI58" s="401">
        <f t="shared" si="78"/>
        <v>3.5255999999999972</v>
      </c>
      <c r="AJ58" s="402">
        <f t="shared" si="79"/>
        <v>8.0717082280303068E-3</v>
      </c>
      <c r="AK58" s="52"/>
      <c r="AL58" s="417"/>
      <c r="AM58" s="417"/>
      <c r="AN58" s="400">
        <f>AN56+AN57</f>
        <v>443.65526639999985</v>
      </c>
      <c r="AO58" s="128"/>
      <c r="AP58" s="401">
        <f t="shared" si="80"/>
        <v>3.3447999999999638</v>
      </c>
      <c r="AQ58" s="402">
        <f t="shared" si="81"/>
        <v>7.5964580795619364E-3</v>
      </c>
      <c r="AR58" s="403"/>
    </row>
    <row r="59" spans="1:44" ht="12" customHeight="1">
      <c r="A59" s="52"/>
      <c r="B59" s="628" t="s">
        <v>273</v>
      </c>
      <c r="C59" s="615"/>
      <c r="D59" s="615"/>
      <c r="E59" s="320"/>
      <c r="F59" s="456">
        <f>F53</f>
        <v>0.23499999999999999</v>
      </c>
      <c r="G59" s="128"/>
      <c r="H59" s="492">
        <f>F59*H56</f>
        <v>86.491235819999986</v>
      </c>
      <c r="I59" s="417"/>
      <c r="J59" s="456">
        <f>J53</f>
        <v>0.23499999999999999</v>
      </c>
      <c r="K59" s="417"/>
      <c r="L59" s="457">
        <f>J59*L56</f>
        <v>88.939184759999961</v>
      </c>
      <c r="M59" s="128"/>
      <c r="N59" s="457">
        <f t="shared" si="72"/>
        <v>2.447948939999975</v>
      </c>
      <c r="O59" s="459">
        <f t="shared" si="73"/>
        <v>2.8302855390972669E-2</v>
      </c>
      <c r="P59" s="52"/>
      <c r="Q59" s="458">
        <f>Q53</f>
        <v>0.23499999999999999</v>
      </c>
      <c r="R59" s="417"/>
      <c r="S59" s="457">
        <f>Q59*S56</f>
        <v>89.895634759999979</v>
      </c>
      <c r="T59" s="128"/>
      <c r="U59" s="457">
        <f t="shared" si="74"/>
        <v>0.95645000000001801</v>
      </c>
      <c r="V59" s="459">
        <f t="shared" si="75"/>
        <v>1.0753977592452337E-2</v>
      </c>
      <c r="W59" s="52"/>
      <c r="X59" s="458">
        <f>X53</f>
        <v>0.23499999999999999</v>
      </c>
      <c r="Y59" s="417"/>
      <c r="Z59" s="457">
        <f>X59*Z56</f>
        <v>90.83579079999997</v>
      </c>
      <c r="AA59" s="128"/>
      <c r="AB59" s="457">
        <f t="shared" si="76"/>
        <v>0.94015603999999087</v>
      </c>
      <c r="AC59" s="459">
        <f t="shared" si="77"/>
        <v>1.0458305817740588E-2</v>
      </c>
      <c r="AD59" s="52"/>
      <c r="AE59" s="458">
        <f>AE53</f>
        <v>0.23499999999999999</v>
      </c>
      <c r="AF59" s="417"/>
      <c r="AG59" s="457">
        <f>AE59*AG56</f>
        <v>91.568990799999966</v>
      </c>
      <c r="AH59" s="128"/>
      <c r="AI59" s="457">
        <f t="shared" si="78"/>
        <v>0.73319999999999652</v>
      </c>
      <c r="AJ59" s="459">
        <f t="shared" si="79"/>
        <v>8.0717082280302756E-3</v>
      </c>
      <c r="AK59" s="52"/>
      <c r="AL59" s="458">
        <f>AL53</f>
        <v>0.23499999999999999</v>
      </c>
      <c r="AM59" s="417"/>
      <c r="AN59" s="457">
        <f>AL59*AN56</f>
        <v>92.264590799999965</v>
      </c>
      <c r="AO59" s="128"/>
      <c r="AP59" s="457">
        <f t="shared" si="80"/>
        <v>0.69559999999999889</v>
      </c>
      <c r="AQ59" s="459">
        <f t="shared" si="81"/>
        <v>7.5964580795620075E-3</v>
      </c>
      <c r="AR59" s="460"/>
    </row>
    <row r="60" spans="1:44" ht="12" customHeight="1">
      <c r="A60" s="52"/>
      <c r="B60" s="627" t="s">
        <v>321</v>
      </c>
      <c r="C60" s="613"/>
      <c r="D60" s="613"/>
      <c r="E60" s="461"/>
      <c r="F60" s="469"/>
      <c r="G60" s="495"/>
      <c r="H60" s="496">
        <f>H58-H59</f>
        <v>329.40279174</v>
      </c>
      <c r="I60" s="470"/>
      <c r="J60" s="469"/>
      <c r="K60" s="470"/>
      <c r="L60" s="471">
        <f>L58-L59</f>
        <v>338.72583131999988</v>
      </c>
      <c r="M60" s="472"/>
      <c r="N60" s="473">
        <f t="shared" si="72"/>
        <v>9.323039579999886</v>
      </c>
      <c r="O60" s="474">
        <f t="shared" si="73"/>
        <v>2.8302855390972607E-2</v>
      </c>
      <c r="P60" s="52"/>
      <c r="Q60" s="470"/>
      <c r="R60" s="470"/>
      <c r="S60" s="471">
        <f>S58-S59</f>
        <v>342.36848131999989</v>
      </c>
      <c r="T60" s="472"/>
      <c r="U60" s="473">
        <f t="shared" si="74"/>
        <v>3.6426500000000033</v>
      </c>
      <c r="V60" s="474">
        <f t="shared" si="75"/>
        <v>1.0753977592452144E-2</v>
      </c>
      <c r="W60" s="52"/>
      <c r="X60" s="470"/>
      <c r="Y60" s="470"/>
      <c r="Z60" s="471">
        <f>Z58-Z59</f>
        <v>345.9490755999999</v>
      </c>
      <c r="AA60" s="472"/>
      <c r="AB60" s="473">
        <f t="shared" si="76"/>
        <v>3.5805942800000139</v>
      </c>
      <c r="AC60" s="474">
        <f t="shared" si="77"/>
        <v>1.0458305817740732E-2</v>
      </c>
      <c r="AD60" s="52"/>
      <c r="AE60" s="470"/>
      <c r="AF60" s="470"/>
      <c r="AG60" s="471">
        <f>AG58-AG59</f>
        <v>348.74147559999994</v>
      </c>
      <c r="AH60" s="472"/>
      <c r="AI60" s="473">
        <f t="shared" si="78"/>
        <v>2.7924000000000433</v>
      </c>
      <c r="AJ60" s="474">
        <f t="shared" si="79"/>
        <v>8.0717082280304386E-3</v>
      </c>
      <c r="AK60" s="52"/>
      <c r="AL60" s="470"/>
      <c r="AM60" s="470"/>
      <c r="AN60" s="471">
        <f>AN58-AN59</f>
        <v>351.39067559999989</v>
      </c>
      <c r="AO60" s="472"/>
      <c r="AP60" s="473">
        <f t="shared" si="80"/>
        <v>2.6491999999999507</v>
      </c>
      <c r="AQ60" s="474">
        <f t="shared" si="81"/>
        <v>7.5964580795618766E-3</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479" t="s">
        <v>362</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row r="200" spans="1:44"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row>
    <row r="201" spans="1:44"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row>
    <row r="202" spans="1:44"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row>
    <row r="203" spans="1:44"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row>
    <row r="204" spans="1:44"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row>
    <row r="205" spans="1:44"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row>
    <row r="206" spans="1:44"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row>
    <row r="207" spans="1:44"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row>
    <row r="208" spans="1:44"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row>
    <row r="209" spans="1:44"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row>
    <row r="210" spans="1:44"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row>
    <row r="211" spans="1:44"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row>
    <row r="212" spans="1:44"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row>
    <row r="213" spans="1:44"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row>
    <row r="214" spans="1:44"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row>
    <row r="215" spans="1:44"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row>
    <row r="216" spans="1:44"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row>
    <row r="217" spans="1:44"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row>
    <row r="218" spans="1:44"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row>
    <row r="219" spans="1:44"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row>
    <row r="220" spans="1:44"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row>
    <row r="221" spans="1:44"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row>
    <row r="222" spans="1:44"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row>
    <row r="223" spans="1:44"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row>
    <row r="224" spans="1:44"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row>
    <row r="225" spans="1:44"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row>
    <row r="226" spans="1:44"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row>
    <row r="227" spans="1:44"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row>
    <row r="228" spans="1:44"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row>
    <row r="229" spans="1:44"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row>
    <row r="230" spans="1:44"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row>
    <row r="231" spans="1:44"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row>
    <row r="232" spans="1:44"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row>
    <row r="233" spans="1:44"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row>
    <row r="234" spans="1:44"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row>
    <row r="235" spans="1:44"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row>
    <row r="236" spans="1:44"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row>
    <row r="237" spans="1:44"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row>
    <row r="238" spans="1:44"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row>
    <row r="239" spans="1:44"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row>
    <row r="240" spans="1:44"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row>
    <row r="241" spans="1:44"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row>
    <row r="242" spans="1:44"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row>
    <row r="243" spans="1:44"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row>
    <row r="244" spans="1:44"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row>
    <row r="245" spans="1:44"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row>
    <row r="246" spans="1:44"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row>
    <row r="247" spans="1:44"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row>
    <row r="248" spans="1:44"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row>
    <row r="249" spans="1:44"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row>
    <row r="250" spans="1:44"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row>
    <row r="251" spans="1:44"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row>
    <row r="252" spans="1:44"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row>
    <row r="253" spans="1:44"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row>
    <row r="254" spans="1:44"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row>
    <row r="255" spans="1:44"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row>
    <row r="256" spans="1:44"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row>
    <row r="257" spans="1:44"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row>
    <row r="258" spans="1:44"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row>
    <row r="259" spans="1:44"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row>
    <row r="260" spans="1:44"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row>
    <row r="261" spans="1:44"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row>
    <row r="262" spans="1:44"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row>
    <row r="263" spans="1:44"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row>
    <row r="264" spans="1:44"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row>
    <row r="265" spans="1:44"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row>
    <row r="266" spans="1:44"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row>
    <row r="267" spans="1:44"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row>
    <row r="268" spans="1:44"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row>
    <row r="269" spans="1:44"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row>
    <row r="270" spans="1:44"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row>
    <row r="271" spans="1:44"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row>
    <row r="272" spans="1:44"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row>
    <row r="273" spans="1:44"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row>
    <row r="274" spans="1:44"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row>
    <row r="275" spans="1:44"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row>
    <row r="276" spans="1:44"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row>
    <row r="277" spans="1:44"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row>
    <row r="278" spans="1:44"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row>
    <row r="279" spans="1:44"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row>
    <row r="280" spans="1:44"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row>
    <row r="281" spans="1:44"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100-000000000000}">
      <formula1>"TOU,non-TOU"</formula1>
    </dataValidation>
    <dataValidation type="list" allowBlank="1" showErrorMessage="1" sqref="E15:E28 E30:E36 E38:E39 E41:E49 E55 E61" xr:uid="{00000000-0002-0000-1100-000001000000}">
      <formula1>#REF!</formula1>
    </dataValidation>
    <dataValidation type="list" allowBlank="1" showInputMessage="1" showErrorMessage="1" prompt="Select Charge Unit - monthly, per kWh, per kW" sqref="D15:D28 D30:D36 D38:D39 D41:D49 D55 D61" xr:uid="{00000000-0002-0000-1100-000002000000}">
      <formula1>"Monthly,per kWh,per kW"</formula1>
    </dataValidation>
  </dataValidations>
  <pageMargins left="0.74803149606299213" right="0.74803149606299213" top="0.98425196850393704" bottom="0.98425196850393704"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S1000"/>
  <sheetViews>
    <sheetView showGridLines="0" workbookViewId="0">
      <pane ySplit="14" topLeftCell="A15" activePane="bottomLeft" state="frozen"/>
      <selection pane="bottomLeft" activeCell="J26" sqref="J26"/>
    </sheetView>
  </sheetViews>
  <sheetFormatPr defaultColWidth="12.5703125" defaultRowHeight="15" customHeight="1"/>
  <cols>
    <col min="1" max="1" width="2.140625" customWidth="1"/>
    <col min="2" max="2" width="38" customWidth="1"/>
    <col min="3" max="3" width="3.42578125" customWidth="1"/>
    <col min="4" max="4" width="11.42578125" customWidth="1"/>
    <col min="5" max="5" width="1.42578125" customWidth="1"/>
    <col min="6" max="6" width="10.7109375" customWidth="1"/>
    <col min="7" max="7" width="8" customWidth="1"/>
    <col min="8" max="8" width="9.5703125" customWidth="1"/>
    <col min="9" max="9" width="0.42578125" customWidth="1"/>
    <col min="10" max="10" width="10.42578125" customWidth="1"/>
    <col min="11" max="11" width="8" customWidth="1"/>
    <col min="12" max="12" width="9.710937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5"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 customHeight="1">
      <c r="A6" s="52"/>
      <c r="B6" s="319" t="s">
        <v>294</v>
      </c>
      <c r="C6" s="52"/>
      <c r="D6" s="505" t="s">
        <v>220</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5"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 customHeight="1">
      <c r="A10" s="52"/>
      <c r="B10" s="52"/>
      <c r="C10" s="52"/>
      <c r="D10" s="306" t="s">
        <v>297</v>
      </c>
      <c r="E10" s="306"/>
      <c r="F10" s="386">
        <v>1000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28" si="20">AM15*AL15</f>
        <v>37</v>
      </c>
      <c r="AO15" s="128"/>
      <c r="AP15" s="401">
        <f t="shared" ref="AP15:AP48" si="21">AN15-AG15</f>
        <v>2</v>
      </c>
      <c r="AQ15" s="402">
        <f t="shared" ref="AQ15:AQ48" si="22">IF((AG15)=0,"",(AP15/AG15))</f>
        <v>5.7142857142857141E-2</v>
      </c>
      <c r="AR15" s="403"/>
    </row>
    <row r="16" spans="1:45"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1000</v>
      </c>
      <c r="H17" s="400">
        <f t="shared" si="2"/>
        <v>0</v>
      </c>
      <c r="I17" s="128"/>
      <c r="J17" s="414">
        <f>IFERROR(VLOOKUP($C17,'Proposed Rates'!$B:$J,J$11,FALSE),0)</f>
        <v>0</v>
      </c>
      <c r="K17" s="398">
        <f t="shared" si="3"/>
        <v>1000</v>
      </c>
      <c r="L17" s="400">
        <f t="shared" si="4"/>
        <v>0</v>
      </c>
      <c r="M17" s="128"/>
      <c r="N17" s="401">
        <f t="shared" si="5"/>
        <v>0</v>
      </c>
      <c r="O17" s="402" t="str">
        <f t="shared" si="6"/>
        <v/>
      </c>
      <c r="P17" s="52"/>
      <c r="Q17" s="414">
        <f>IFERROR(VLOOKUP($C17,'Proposed Rates'!$B:$J,Q$11,FALSE),0)</f>
        <v>0</v>
      </c>
      <c r="R17" s="398">
        <f t="shared" si="7"/>
        <v>1000</v>
      </c>
      <c r="S17" s="400">
        <f t="shared" si="8"/>
        <v>0</v>
      </c>
      <c r="T17" s="128"/>
      <c r="U17" s="401">
        <f t="shared" si="9"/>
        <v>0</v>
      </c>
      <c r="V17" s="402" t="str">
        <f t="shared" si="10"/>
        <v/>
      </c>
      <c r="W17" s="52"/>
      <c r="X17" s="414">
        <f>IFERROR(VLOOKUP($C17,'Proposed Rates'!$B:$J,X$11,FALSE),0)</f>
        <v>0</v>
      </c>
      <c r="Y17" s="398">
        <f t="shared" si="11"/>
        <v>1000</v>
      </c>
      <c r="Z17" s="400">
        <f t="shared" si="12"/>
        <v>0</v>
      </c>
      <c r="AA17" s="128"/>
      <c r="AB17" s="401">
        <f t="shared" si="13"/>
        <v>0</v>
      </c>
      <c r="AC17" s="402" t="str">
        <f t="shared" si="14"/>
        <v/>
      </c>
      <c r="AD17" s="52"/>
      <c r="AE17" s="414">
        <f>IFERROR(VLOOKUP($C17,'Proposed Rates'!$B:$J,AE$11,FALSE),0)</f>
        <v>0</v>
      </c>
      <c r="AF17" s="398">
        <f t="shared" si="15"/>
        <v>1000</v>
      </c>
      <c r="AG17" s="400">
        <f t="shared" si="16"/>
        <v>0</v>
      </c>
      <c r="AH17" s="128"/>
      <c r="AI17" s="401">
        <f t="shared" si="17"/>
        <v>0</v>
      </c>
      <c r="AJ17" s="402" t="str">
        <f t="shared" si="18"/>
        <v/>
      </c>
      <c r="AK17" s="52"/>
      <c r="AL17" s="414">
        <f>IFERROR(VLOOKUP($C17,'Proposed Rates'!$B:$J,AL$11,FALSE),0)</f>
        <v>0</v>
      </c>
      <c r="AM17" s="398">
        <f t="shared" si="19"/>
        <v>1000</v>
      </c>
      <c r="AN17" s="400">
        <f t="shared" si="20"/>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0"/>
        <v>0</v>
      </c>
      <c r="AO18" s="128"/>
      <c r="AP18" s="401">
        <f t="shared" si="21"/>
        <v>0</v>
      </c>
      <c r="AQ18" s="402" t="str">
        <f t="shared" si="22"/>
        <v/>
      </c>
      <c r="AR18" s="403"/>
    </row>
    <row r="19" spans="1:44"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1000</v>
      </c>
      <c r="H19" s="400">
        <f t="shared" si="2"/>
        <v>30.5</v>
      </c>
      <c r="I19" s="128"/>
      <c r="J19" s="414">
        <f>IFERROR(VLOOKUP($C19,'Proposed Rates'!$B:$J,J$11,FALSE),0)</f>
        <v>3.6400000000000002E-2</v>
      </c>
      <c r="K19" s="398">
        <f t="shared" si="3"/>
        <v>1000</v>
      </c>
      <c r="L19" s="400">
        <f t="shared" si="4"/>
        <v>36.4</v>
      </c>
      <c r="M19" s="128"/>
      <c r="N19" s="401">
        <f t="shared" si="5"/>
        <v>5.8999999999999986</v>
      </c>
      <c r="O19" s="402">
        <f t="shared" si="6"/>
        <v>0.19344262295081963</v>
      </c>
      <c r="P19" s="52"/>
      <c r="Q19" s="414">
        <f>IFERROR(VLOOKUP($C19,'Proposed Rates'!$B:$J,Q$11,FALSE),0)</f>
        <v>3.9100000000000003E-2</v>
      </c>
      <c r="R19" s="398">
        <f t="shared" si="7"/>
        <v>1000</v>
      </c>
      <c r="S19" s="400">
        <f t="shared" si="8"/>
        <v>39.1</v>
      </c>
      <c r="T19" s="128"/>
      <c r="U19" s="401">
        <f t="shared" si="9"/>
        <v>2.7000000000000028</v>
      </c>
      <c r="V19" s="402">
        <f t="shared" si="10"/>
        <v>7.4175824175824259E-2</v>
      </c>
      <c r="W19" s="52"/>
      <c r="X19" s="414">
        <f>IFERROR(VLOOKUP($C19,'Proposed Rates'!$B:$J,X$11,FALSE),0)</f>
        <v>4.2599999999999999E-2</v>
      </c>
      <c r="Y19" s="398">
        <f t="shared" si="11"/>
        <v>1000</v>
      </c>
      <c r="Z19" s="400">
        <f t="shared" si="12"/>
        <v>42.6</v>
      </c>
      <c r="AA19" s="128"/>
      <c r="AB19" s="401">
        <f t="shared" si="13"/>
        <v>3.5</v>
      </c>
      <c r="AC19" s="402">
        <f t="shared" si="14"/>
        <v>8.9514066496163683E-2</v>
      </c>
      <c r="AD19" s="52"/>
      <c r="AE19" s="414">
        <f>IFERROR(VLOOKUP($C19,'Proposed Rates'!$B:$J,AE$11,FALSE),0)</f>
        <v>4.53E-2</v>
      </c>
      <c r="AF19" s="398">
        <f t="shared" si="15"/>
        <v>1000</v>
      </c>
      <c r="AG19" s="400">
        <f t="shared" si="16"/>
        <v>45.3</v>
      </c>
      <c r="AH19" s="128"/>
      <c r="AI19" s="401">
        <f t="shared" si="17"/>
        <v>2.6999999999999957</v>
      </c>
      <c r="AJ19" s="402">
        <f t="shared" si="18"/>
        <v>6.3380281690140747E-2</v>
      </c>
      <c r="AK19" s="52"/>
      <c r="AL19" s="414">
        <f>IFERROR(VLOOKUP($C19,'Proposed Rates'!$B:$J,AL$11,FALSE),0)</f>
        <v>4.7899999999999998E-2</v>
      </c>
      <c r="AM19" s="398">
        <f t="shared" si="19"/>
        <v>1000</v>
      </c>
      <c r="AN19" s="400">
        <f t="shared" si="20"/>
        <v>47.9</v>
      </c>
      <c r="AO19" s="128"/>
      <c r="AP19" s="401">
        <f t="shared" si="21"/>
        <v>2.6000000000000014</v>
      </c>
      <c r="AQ19" s="402">
        <f t="shared" si="22"/>
        <v>5.7395143487858756E-2</v>
      </c>
      <c r="AR19" s="403"/>
    </row>
    <row r="20" spans="1:44" ht="12" customHeight="1">
      <c r="A20" s="52"/>
      <c r="B20" s="320" t="s">
        <v>309</v>
      </c>
      <c r="C20" s="395" t="str">
        <f t="shared" si="0"/>
        <v>General Service &lt; 50 kW.Smart Meter Disposition Rider</v>
      </c>
      <c r="D20" s="396" t="s">
        <v>308</v>
      </c>
      <c r="E20" s="320"/>
      <c r="F20" s="414">
        <f>IFERROR(VLOOKUP($C20,'Proposed Rates'!$B:$J,F$11,FALSE),0)</f>
        <v>0</v>
      </c>
      <c r="G20" s="398">
        <f t="shared" si="1"/>
        <v>1000</v>
      </c>
      <c r="H20" s="400">
        <f t="shared" si="2"/>
        <v>0</v>
      </c>
      <c r="I20" s="128"/>
      <c r="J20" s="414">
        <f>IFERROR(VLOOKUP($C20,'Proposed Rates'!$B:$J,J$11,FALSE),0)</f>
        <v>0</v>
      </c>
      <c r="K20" s="398">
        <f t="shared" si="3"/>
        <v>1000</v>
      </c>
      <c r="L20" s="400">
        <f t="shared" si="4"/>
        <v>0</v>
      </c>
      <c r="M20" s="128"/>
      <c r="N20" s="401">
        <f t="shared" si="5"/>
        <v>0</v>
      </c>
      <c r="O20" s="402" t="str">
        <f t="shared" si="6"/>
        <v/>
      </c>
      <c r="P20" s="52"/>
      <c r="Q20" s="414">
        <f>IFERROR(VLOOKUP($C20,'Proposed Rates'!$B:$J,Q$11,FALSE),0)</f>
        <v>0</v>
      </c>
      <c r="R20" s="398">
        <f t="shared" si="7"/>
        <v>1000</v>
      </c>
      <c r="S20" s="400">
        <f t="shared" si="8"/>
        <v>0</v>
      </c>
      <c r="T20" s="128"/>
      <c r="U20" s="401">
        <f t="shared" si="9"/>
        <v>0</v>
      </c>
      <c r="V20" s="402" t="str">
        <f t="shared" si="10"/>
        <v/>
      </c>
      <c r="W20" s="52"/>
      <c r="X20" s="414">
        <f>IFERROR(VLOOKUP($C20,'Proposed Rates'!$B:$J,X$11,FALSE),0)</f>
        <v>0</v>
      </c>
      <c r="Y20" s="398">
        <f t="shared" si="11"/>
        <v>1000</v>
      </c>
      <c r="Z20" s="400">
        <f t="shared" si="12"/>
        <v>0</v>
      </c>
      <c r="AA20" s="128"/>
      <c r="AB20" s="401">
        <f t="shared" si="13"/>
        <v>0</v>
      </c>
      <c r="AC20" s="402" t="str">
        <f t="shared" si="14"/>
        <v/>
      </c>
      <c r="AD20" s="52"/>
      <c r="AE20" s="414">
        <f>IFERROR(VLOOKUP($C20,'Proposed Rates'!$B:$J,AE$11,FALSE),0)</f>
        <v>0</v>
      </c>
      <c r="AF20" s="398">
        <f t="shared" si="15"/>
        <v>1000</v>
      </c>
      <c r="AG20" s="400">
        <f t="shared" si="16"/>
        <v>0</v>
      </c>
      <c r="AH20" s="128"/>
      <c r="AI20" s="401">
        <f t="shared" si="17"/>
        <v>0</v>
      </c>
      <c r="AJ20" s="402" t="str">
        <f t="shared" si="18"/>
        <v/>
      </c>
      <c r="AK20" s="52"/>
      <c r="AL20" s="414">
        <f>IFERROR(VLOOKUP($C20,'Proposed Rates'!$B:$J,AL$11,FALSE),0)</f>
        <v>0</v>
      </c>
      <c r="AM20" s="398">
        <f t="shared" si="19"/>
        <v>1000</v>
      </c>
      <c r="AN20" s="400">
        <f t="shared" si="20"/>
        <v>0</v>
      </c>
      <c r="AO20" s="128"/>
      <c r="AP20" s="401">
        <f t="shared" si="21"/>
        <v>0</v>
      </c>
      <c r="AQ20" s="402" t="str">
        <f t="shared" si="22"/>
        <v/>
      </c>
      <c r="AR20" s="403"/>
    </row>
    <row r="21" spans="1:44" ht="12" customHeight="1">
      <c r="A21" s="52"/>
      <c r="B21" s="320" t="s">
        <v>241</v>
      </c>
      <c r="C21" s="395" t="str">
        <f t="shared" si="0"/>
        <v>General Service &lt; 50 kW.LRAM Rate Rider</v>
      </c>
      <c r="D21" s="396" t="s">
        <v>308</v>
      </c>
      <c r="E21" s="320"/>
      <c r="F21" s="414">
        <f>'Proposed Rates'!E78+'Proposed Rates'!E91</f>
        <v>6.9999999999999999E-4</v>
      </c>
      <c r="G21" s="398">
        <f t="shared" si="1"/>
        <v>1000</v>
      </c>
      <c r="H21" s="400">
        <f t="shared" si="2"/>
        <v>0.7</v>
      </c>
      <c r="I21" s="128"/>
      <c r="J21" s="414">
        <f>'Proposed Rates'!F78+'Proposed Rates'!F91</f>
        <v>4.0000000000000002E-4</v>
      </c>
      <c r="K21" s="398">
        <f t="shared" si="3"/>
        <v>1000</v>
      </c>
      <c r="L21" s="400">
        <f t="shared" si="4"/>
        <v>0.4</v>
      </c>
      <c r="M21" s="128"/>
      <c r="N21" s="401">
        <f t="shared" si="5"/>
        <v>-0.29999999999999993</v>
      </c>
      <c r="O21" s="402">
        <f t="shared" si="6"/>
        <v>-0.42857142857142849</v>
      </c>
      <c r="P21" s="52"/>
      <c r="Q21" s="414">
        <f>'Proposed Rates'!G78+'Proposed Rates'!G91</f>
        <v>0</v>
      </c>
      <c r="R21" s="398">
        <f t="shared" si="7"/>
        <v>1000</v>
      </c>
      <c r="S21" s="400">
        <f t="shared" si="8"/>
        <v>0</v>
      </c>
      <c r="T21" s="128"/>
      <c r="U21" s="401">
        <f t="shared" si="9"/>
        <v>-0.4</v>
      </c>
      <c r="V21" s="402">
        <f t="shared" si="10"/>
        <v>-1</v>
      </c>
      <c r="W21" s="52"/>
      <c r="X21" s="414">
        <f>IFERROR(VLOOKUP($C21,'Proposed Rates'!$B:$J,X$11,FALSE),0)</f>
        <v>0</v>
      </c>
      <c r="Y21" s="398">
        <f t="shared" si="11"/>
        <v>1000</v>
      </c>
      <c r="Z21" s="400">
        <f t="shared" si="12"/>
        <v>0</v>
      </c>
      <c r="AA21" s="128"/>
      <c r="AB21" s="401">
        <f t="shared" si="13"/>
        <v>0</v>
      </c>
      <c r="AC21" s="402" t="str">
        <f t="shared" si="14"/>
        <v/>
      </c>
      <c r="AD21" s="52"/>
      <c r="AE21" s="414">
        <f>IFERROR(VLOOKUP($C21,'Proposed Rates'!$B:$J,AE$11,FALSE),0)</f>
        <v>0</v>
      </c>
      <c r="AF21" s="398">
        <f t="shared" si="15"/>
        <v>1000</v>
      </c>
      <c r="AG21" s="400">
        <f t="shared" si="16"/>
        <v>0</v>
      </c>
      <c r="AH21" s="128"/>
      <c r="AI21" s="401">
        <f t="shared" si="17"/>
        <v>0</v>
      </c>
      <c r="AJ21" s="402" t="str">
        <f t="shared" si="18"/>
        <v/>
      </c>
      <c r="AK21" s="52"/>
      <c r="AL21" s="414">
        <f>IFERROR(VLOOKUP($C21,'Proposed Rates'!$B:$J,AL$11,FALSE),0)</f>
        <v>0</v>
      </c>
      <c r="AM21" s="398">
        <f t="shared" si="19"/>
        <v>1000</v>
      </c>
      <c r="AN21" s="400">
        <f t="shared" si="20"/>
        <v>0</v>
      </c>
      <c r="AO21" s="128"/>
      <c r="AP21" s="401">
        <f t="shared" si="21"/>
        <v>0</v>
      </c>
      <c r="AQ21" s="402" t="str">
        <f t="shared" si="22"/>
        <v/>
      </c>
      <c r="AR21" s="403"/>
    </row>
    <row r="22" spans="1:44"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1000</v>
      </c>
      <c r="H22" s="400">
        <f t="shared" si="2"/>
        <v>0</v>
      </c>
      <c r="I22" s="128"/>
      <c r="J22" s="414">
        <f>IFERROR(VLOOKUP($C22,'Proposed Rates'!$B:$J,J$11,FALSE),0)</f>
        <v>-5.9999999999999995E-4</v>
      </c>
      <c r="K22" s="398">
        <f t="shared" si="3"/>
        <v>1000</v>
      </c>
      <c r="L22" s="400">
        <f t="shared" si="4"/>
        <v>-0.6</v>
      </c>
      <c r="M22" s="128"/>
      <c r="N22" s="401">
        <f t="shared" si="5"/>
        <v>-0.6</v>
      </c>
      <c r="O22" s="402" t="str">
        <f t="shared" si="6"/>
        <v/>
      </c>
      <c r="P22" s="52"/>
      <c r="Q22" s="414">
        <f>IFERROR(VLOOKUP($C22,'Proposed Rates'!$B:$J,Q$11,FALSE),0)</f>
        <v>0</v>
      </c>
      <c r="R22" s="398">
        <f t="shared" si="7"/>
        <v>1000</v>
      </c>
      <c r="S22" s="400">
        <f t="shared" si="8"/>
        <v>0</v>
      </c>
      <c r="T22" s="128"/>
      <c r="U22" s="401">
        <f t="shared" si="9"/>
        <v>0.6</v>
      </c>
      <c r="V22" s="402">
        <f t="shared" si="10"/>
        <v>-1</v>
      </c>
      <c r="W22" s="52"/>
      <c r="X22" s="414">
        <f>IFERROR(VLOOKUP($C22,'Proposed Rates'!$B:$J,X$11,FALSE),0)</f>
        <v>0</v>
      </c>
      <c r="Y22" s="398">
        <f t="shared" si="11"/>
        <v>1000</v>
      </c>
      <c r="Z22" s="400">
        <f t="shared" si="12"/>
        <v>0</v>
      </c>
      <c r="AA22" s="128"/>
      <c r="AB22" s="401">
        <f t="shared" si="13"/>
        <v>0</v>
      </c>
      <c r="AC22" s="402" t="str">
        <f t="shared" si="14"/>
        <v/>
      </c>
      <c r="AD22" s="52"/>
      <c r="AE22" s="414">
        <f>IFERROR(VLOOKUP($C22,'Proposed Rates'!$B:$J,AE$11,FALSE),0)</f>
        <v>0</v>
      </c>
      <c r="AF22" s="398">
        <f t="shared" si="15"/>
        <v>1000</v>
      </c>
      <c r="AG22" s="400">
        <f t="shared" si="16"/>
        <v>0</v>
      </c>
      <c r="AH22" s="128"/>
      <c r="AI22" s="401">
        <f t="shared" si="17"/>
        <v>0</v>
      </c>
      <c r="AJ22" s="402" t="str">
        <f t="shared" si="18"/>
        <v/>
      </c>
      <c r="AK22" s="52"/>
      <c r="AL22" s="414">
        <f>IFERROR(VLOOKUP($C22,'Proposed Rates'!$B:$J,AL$11,FALSE),0)</f>
        <v>0</v>
      </c>
      <c r="AM22" s="398">
        <f t="shared" si="19"/>
        <v>1000</v>
      </c>
      <c r="AN22" s="400">
        <f t="shared" si="20"/>
        <v>0</v>
      </c>
      <c r="AO22" s="128"/>
      <c r="AP22" s="401">
        <f t="shared" si="21"/>
        <v>0</v>
      </c>
      <c r="AQ22" s="402" t="str">
        <f t="shared" si="22"/>
        <v/>
      </c>
      <c r="AR22" s="403"/>
    </row>
    <row r="23" spans="1:44"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0"/>
        <v>0</v>
      </c>
      <c r="AO23" s="128"/>
      <c r="AP23" s="401">
        <f t="shared" si="21"/>
        <v>0</v>
      </c>
      <c r="AQ23" s="402" t="str">
        <f t="shared" si="22"/>
        <v/>
      </c>
      <c r="AR23" s="403"/>
    </row>
    <row r="24" spans="1:44"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0"/>
        <v>0</v>
      </c>
      <c r="AO24" s="128"/>
      <c r="AP24" s="401">
        <f t="shared" si="21"/>
        <v>0</v>
      </c>
      <c r="AQ24" s="402" t="str">
        <f t="shared" si="22"/>
        <v/>
      </c>
      <c r="AR24" s="403"/>
    </row>
    <row r="25" spans="1:44"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0"/>
        <v>0</v>
      </c>
      <c r="AO25" s="128"/>
      <c r="AP25" s="401">
        <f t="shared" si="21"/>
        <v>0</v>
      </c>
      <c r="AQ25" s="402" t="str">
        <f t="shared" si="22"/>
        <v/>
      </c>
      <c r="AR25" s="403"/>
    </row>
    <row r="26" spans="1:44"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0"/>
        <v>0</v>
      </c>
      <c r="AO26" s="128"/>
      <c r="AP26" s="401">
        <f t="shared" si="21"/>
        <v>0</v>
      </c>
      <c r="AQ26" s="402" t="str">
        <f t="shared" si="22"/>
        <v/>
      </c>
      <c r="AR26" s="403"/>
    </row>
    <row r="27" spans="1:44"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0"/>
        <v>0</v>
      </c>
      <c r="AO27" s="128"/>
      <c r="AP27" s="401">
        <f t="shared" si="21"/>
        <v>0</v>
      </c>
      <c r="AQ27" s="402" t="str">
        <f t="shared" si="22"/>
        <v/>
      </c>
      <c r="AR27" s="403"/>
    </row>
    <row r="28" spans="1:44"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0"/>
        <v>0</v>
      </c>
      <c r="AO28" s="128"/>
      <c r="AP28" s="401">
        <f t="shared" si="21"/>
        <v>0</v>
      </c>
      <c r="AQ28" s="402" t="str">
        <f t="shared" si="22"/>
        <v/>
      </c>
      <c r="AR28" s="403"/>
    </row>
    <row r="29" spans="1:44" ht="12" customHeight="1">
      <c r="A29" s="306"/>
      <c r="B29" s="405" t="s">
        <v>310</v>
      </c>
      <c r="C29" s="406"/>
      <c r="D29" s="406"/>
      <c r="E29" s="406"/>
      <c r="F29" s="407"/>
      <c r="G29" s="500"/>
      <c r="H29" s="409">
        <f>SUM(H15:H28)</f>
        <v>54.730000000000004</v>
      </c>
      <c r="I29" s="410"/>
      <c r="J29" s="407"/>
      <c r="K29" s="500"/>
      <c r="L29" s="409">
        <f>SUM(L15:L28)</f>
        <v>64.28</v>
      </c>
      <c r="M29" s="410"/>
      <c r="N29" s="411">
        <f t="shared" si="5"/>
        <v>9.5499999999999972</v>
      </c>
      <c r="O29" s="412">
        <f t="shared" si="6"/>
        <v>0.17449296546683712</v>
      </c>
      <c r="P29" s="306"/>
      <c r="Q29" s="407"/>
      <c r="R29" s="500"/>
      <c r="S29" s="409">
        <f>SUM(S15:S28)</f>
        <v>69.3</v>
      </c>
      <c r="T29" s="410"/>
      <c r="U29" s="411">
        <f t="shared" si="9"/>
        <v>5.019999999999996</v>
      </c>
      <c r="V29" s="412">
        <f t="shared" si="10"/>
        <v>7.80958307405102E-2</v>
      </c>
      <c r="W29" s="306"/>
      <c r="X29" s="407"/>
      <c r="Y29" s="500"/>
      <c r="Z29" s="409">
        <f>SUM(Z15:Z28)</f>
        <v>75.5</v>
      </c>
      <c r="AA29" s="410"/>
      <c r="AB29" s="411">
        <f t="shared" si="13"/>
        <v>6.2000000000000028</v>
      </c>
      <c r="AC29" s="412">
        <f t="shared" si="14"/>
        <v>8.9466089466089513E-2</v>
      </c>
      <c r="AD29" s="306"/>
      <c r="AE29" s="407"/>
      <c r="AF29" s="500"/>
      <c r="AG29" s="409">
        <f>SUM(AG15:AG28)</f>
        <v>80.3</v>
      </c>
      <c r="AH29" s="410"/>
      <c r="AI29" s="411">
        <f t="shared" si="17"/>
        <v>4.7999999999999972</v>
      </c>
      <c r="AJ29" s="412">
        <f t="shared" si="18"/>
        <v>6.3576158940397309E-2</v>
      </c>
      <c r="AK29" s="306"/>
      <c r="AL29" s="407"/>
      <c r="AM29" s="500"/>
      <c r="AN29" s="409">
        <f>SUM(AN15:AN28)</f>
        <v>84.9</v>
      </c>
      <c r="AO29" s="410"/>
      <c r="AP29" s="411">
        <f t="shared" si="21"/>
        <v>4.6000000000000085</v>
      </c>
      <c r="AQ29" s="412">
        <f t="shared" si="22"/>
        <v>5.7285180572851917E-2</v>
      </c>
      <c r="AR29" s="413"/>
    </row>
    <row r="30" spans="1:44" ht="12" customHeight="1">
      <c r="A30" s="52"/>
      <c r="B30" s="404" t="s">
        <v>234</v>
      </c>
      <c r="C30" s="395" t="str">
        <f t="shared" ref="C30:C36" si="23">D$6&amp;"."&amp;B30</f>
        <v>General Service &lt; 50 kW.DVA Disposition Rate Rider Group 1 -2025</v>
      </c>
      <c r="D30" s="396" t="s">
        <v>308</v>
      </c>
      <c r="E30" s="320"/>
      <c r="F30" s="414">
        <f>IFERROR(VLOOKUP($C30,'Proposed Rates'!$B:$J,F$11,FALSE),0)</f>
        <v>0</v>
      </c>
      <c r="G30" s="398">
        <f t="shared" ref="G30:G33" si="24">IF($D30="Monthly",1,IF($D30="per KWH",$F$10,0))</f>
        <v>1000</v>
      </c>
      <c r="H30" s="400">
        <f t="shared" ref="H30:H36" si="25">G30*F30</f>
        <v>0</v>
      </c>
      <c r="I30" s="128"/>
      <c r="J30" s="414">
        <f>IFERROR(VLOOKUP($C30,'Proposed Rates'!$B:$J,J$11,FALSE),0)</f>
        <v>-5.0000000000000001E-4</v>
      </c>
      <c r="K30" s="398">
        <f t="shared" ref="K30:K33" si="26">IF($D30="Monthly",1,IF($D30="per KWH",$F$10,0))</f>
        <v>1000</v>
      </c>
      <c r="L30" s="416">
        <f t="shared" ref="L30:L36" si="27">K30*J30</f>
        <v>-0.5</v>
      </c>
      <c r="M30" s="128"/>
      <c r="N30" s="401">
        <f t="shared" si="5"/>
        <v>-0.5</v>
      </c>
      <c r="O30" s="402" t="str">
        <f t="shared" si="6"/>
        <v/>
      </c>
      <c r="P30" s="52"/>
      <c r="Q30" s="414">
        <f>IFERROR(VLOOKUP($C30,'Proposed Rates'!$B:$J,Q$11,FALSE),0)</f>
        <v>0</v>
      </c>
      <c r="R30" s="398">
        <f t="shared" ref="R30:R33" si="28">IF($D30="Monthly",1,IF($D30="per KWH",$F$10,0))</f>
        <v>1000</v>
      </c>
      <c r="S30" s="400">
        <f t="shared" ref="S30:S36" si="29">R30*Q30</f>
        <v>0</v>
      </c>
      <c r="T30" s="128"/>
      <c r="U30" s="401">
        <f t="shared" si="9"/>
        <v>0.5</v>
      </c>
      <c r="V30" s="402">
        <f t="shared" si="10"/>
        <v>-1</v>
      </c>
      <c r="W30" s="52"/>
      <c r="X30" s="414">
        <f>IFERROR(VLOOKUP($C30,'Proposed Rates'!$B:$J,X$11,FALSE),0)</f>
        <v>0</v>
      </c>
      <c r="Y30" s="398">
        <f t="shared" ref="Y30:Y33" si="30">IF($D30="Monthly",1,IF($D30="per KWH",$F$10,0))</f>
        <v>1000</v>
      </c>
      <c r="Z30" s="400">
        <f t="shared" ref="Z30:Z36" si="31">Y30*X30</f>
        <v>0</v>
      </c>
      <c r="AA30" s="128"/>
      <c r="AB30" s="401">
        <f t="shared" si="13"/>
        <v>0</v>
      </c>
      <c r="AC30" s="402" t="str">
        <f t="shared" si="14"/>
        <v/>
      </c>
      <c r="AD30" s="52"/>
      <c r="AE30" s="414">
        <f>IFERROR(VLOOKUP($C30,'Proposed Rates'!$B:$J,AE$11,FALSE),0)</f>
        <v>0</v>
      </c>
      <c r="AF30" s="398">
        <f t="shared" ref="AF30:AF33" si="32">IF($D30="Monthly",1,IF($D30="per KWH",$F$10,0))</f>
        <v>1000</v>
      </c>
      <c r="AG30" s="400">
        <f t="shared" ref="AG30:AG36" si="33">AF30*AE30</f>
        <v>0</v>
      </c>
      <c r="AH30" s="128"/>
      <c r="AI30" s="401">
        <f t="shared" si="17"/>
        <v>0</v>
      </c>
      <c r="AJ30" s="402" t="str">
        <f t="shared" si="18"/>
        <v/>
      </c>
      <c r="AK30" s="52"/>
      <c r="AL30" s="414">
        <f>IFERROR(VLOOKUP($C30,'Proposed Rates'!$B:$J,AL$11,FALSE),0)</f>
        <v>0</v>
      </c>
      <c r="AM30" s="398">
        <f t="shared" ref="AM30:AM33" si="34">IF($D30="Monthly",1,IF($D30="per KWH",$F$10,0))</f>
        <v>1000</v>
      </c>
      <c r="AN30" s="400">
        <f t="shared" ref="AN30:AN36" si="35">AM30*AL30</f>
        <v>0</v>
      </c>
      <c r="AO30" s="128"/>
      <c r="AP30" s="401">
        <f t="shared" si="21"/>
        <v>0</v>
      </c>
      <c r="AQ30" s="402" t="str">
        <f t="shared" si="22"/>
        <v/>
      </c>
      <c r="AR30" s="403"/>
    </row>
    <row r="31" spans="1:44" ht="12" customHeight="1">
      <c r="A31" s="52"/>
      <c r="B31" s="404" t="s">
        <v>236</v>
      </c>
      <c r="C31" s="395" t="str">
        <f t="shared" si="23"/>
        <v>General Service &lt; 50 kW.DVA Disposition Rate Rider Group 1 - 2024</v>
      </c>
      <c r="D31" s="396" t="s">
        <v>308</v>
      </c>
      <c r="E31" s="320"/>
      <c r="F31" s="414">
        <f>IFERROR(VLOOKUP($C31,'Proposed Rates'!$B:$J,F$11,FALSE),0)</f>
        <v>0</v>
      </c>
      <c r="G31" s="398">
        <f t="shared" si="24"/>
        <v>1000</v>
      </c>
      <c r="H31" s="400">
        <f t="shared" si="25"/>
        <v>0</v>
      </c>
      <c r="I31" s="485"/>
      <c r="J31" s="414">
        <f>IFERROR(VLOOKUP($C31,'Proposed Rates'!$B:$J,J$11,FALSE),0)</f>
        <v>0</v>
      </c>
      <c r="K31" s="398">
        <f t="shared" si="26"/>
        <v>1000</v>
      </c>
      <c r="L31" s="400">
        <f t="shared" si="27"/>
        <v>0</v>
      </c>
      <c r="M31" s="417"/>
      <c r="N31" s="401">
        <f t="shared" si="5"/>
        <v>0</v>
      </c>
      <c r="O31" s="402" t="str">
        <f t="shared" si="6"/>
        <v/>
      </c>
      <c r="P31" s="52"/>
      <c r="Q31" s="414">
        <f>IFERROR(VLOOKUP($C31,'Proposed Rates'!$B:$J,Q$11,FALSE),0)</f>
        <v>0</v>
      </c>
      <c r="R31" s="398">
        <f t="shared" si="28"/>
        <v>1000</v>
      </c>
      <c r="S31" s="400">
        <f t="shared" si="29"/>
        <v>0</v>
      </c>
      <c r="T31" s="128"/>
      <c r="U31" s="401">
        <f t="shared" si="9"/>
        <v>0</v>
      </c>
      <c r="V31" s="402" t="str">
        <f t="shared" si="10"/>
        <v/>
      </c>
      <c r="W31" s="52"/>
      <c r="X31" s="414">
        <f>IFERROR(VLOOKUP($C31,'Proposed Rates'!$B:$J,X$11,FALSE),0)</f>
        <v>0</v>
      </c>
      <c r="Y31" s="398">
        <f t="shared" si="30"/>
        <v>1000</v>
      </c>
      <c r="Z31" s="400">
        <f t="shared" si="31"/>
        <v>0</v>
      </c>
      <c r="AA31" s="128"/>
      <c r="AB31" s="401">
        <f t="shared" si="13"/>
        <v>0</v>
      </c>
      <c r="AC31" s="402" t="str">
        <f t="shared" si="14"/>
        <v/>
      </c>
      <c r="AD31" s="52"/>
      <c r="AE31" s="414">
        <f>IFERROR(VLOOKUP($C31,'Proposed Rates'!$B:$J,AE$11,FALSE),0)</f>
        <v>0</v>
      </c>
      <c r="AF31" s="398">
        <f t="shared" si="32"/>
        <v>1000</v>
      </c>
      <c r="AG31" s="400">
        <f t="shared" si="33"/>
        <v>0</v>
      </c>
      <c r="AH31" s="128"/>
      <c r="AI31" s="401">
        <f t="shared" si="17"/>
        <v>0</v>
      </c>
      <c r="AJ31" s="402" t="str">
        <f t="shared" si="18"/>
        <v/>
      </c>
      <c r="AK31" s="52"/>
      <c r="AL31" s="414">
        <f>IFERROR(VLOOKUP($C31,'Proposed Rates'!$B:$J,AL$11,FALSE),0)</f>
        <v>0</v>
      </c>
      <c r="AM31" s="398">
        <f t="shared" si="34"/>
        <v>1000</v>
      </c>
      <c r="AN31" s="400">
        <f t="shared" si="35"/>
        <v>0</v>
      </c>
      <c r="AO31" s="128"/>
      <c r="AP31" s="401">
        <f t="shared" si="21"/>
        <v>0</v>
      </c>
      <c r="AQ31" s="402" t="str">
        <f t="shared" si="22"/>
        <v/>
      </c>
      <c r="AR31" s="403"/>
    </row>
    <row r="32" spans="1:44" ht="12" customHeight="1">
      <c r="A32" s="52"/>
      <c r="B32" s="404" t="s">
        <v>244</v>
      </c>
      <c r="C32" s="395" t="str">
        <f t="shared" si="23"/>
        <v>General Service &lt; 50 kW.CBR Class B Rate Riders</v>
      </c>
      <c r="D32" s="396" t="s">
        <v>308</v>
      </c>
      <c r="E32" s="320"/>
      <c r="F32" s="414">
        <f>IFERROR(VLOOKUP($C32,'Proposed Rates'!$B:$J,F$11,FALSE),0)</f>
        <v>2.0000000000000001E-4</v>
      </c>
      <c r="G32" s="398">
        <f t="shared" si="24"/>
        <v>1000</v>
      </c>
      <c r="H32" s="400">
        <f t="shared" si="25"/>
        <v>0.2</v>
      </c>
      <c r="I32" s="485"/>
      <c r="J32" s="414">
        <f>IFERROR(VLOOKUP($C32,'Proposed Rates'!$B:$J,J$11,FALSE),0)</f>
        <v>4.0000000000000002E-4</v>
      </c>
      <c r="K32" s="398">
        <f t="shared" si="26"/>
        <v>1000</v>
      </c>
      <c r="L32" s="400">
        <f t="shared" si="27"/>
        <v>0.4</v>
      </c>
      <c r="M32" s="417"/>
      <c r="N32" s="401">
        <f t="shared" si="5"/>
        <v>0.2</v>
      </c>
      <c r="O32" s="402">
        <f t="shared" si="6"/>
        <v>1</v>
      </c>
      <c r="P32" s="52"/>
      <c r="Q32" s="414">
        <f>IFERROR(VLOOKUP($C32,'Proposed Rates'!$B:$J,Q$11,FALSE),0)</f>
        <v>0</v>
      </c>
      <c r="R32" s="398">
        <f t="shared" si="28"/>
        <v>1000</v>
      </c>
      <c r="S32" s="400">
        <f t="shared" si="29"/>
        <v>0</v>
      </c>
      <c r="T32" s="417"/>
      <c r="U32" s="401">
        <f t="shared" si="9"/>
        <v>-0.4</v>
      </c>
      <c r="V32" s="402">
        <f t="shared" si="10"/>
        <v>-1</v>
      </c>
      <c r="W32" s="52"/>
      <c r="X32" s="414">
        <f>IFERROR(VLOOKUP($C32,'Proposed Rates'!$B:$J,X$11,FALSE),0)</f>
        <v>0</v>
      </c>
      <c r="Y32" s="398">
        <f t="shared" si="30"/>
        <v>1000</v>
      </c>
      <c r="Z32" s="400">
        <f t="shared" si="31"/>
        <v>0</v>
      </c>
      <c r="AA32" s="417"/>
      <c r="AB32" s="401">
        <f t="shared" si="13"/>
        <v>0</v>
      </c>
      <c r="AC32" s="402" t="str">
        <f t="shared" si="14"/>
        <v/>
      </c>
      <c r="AD32" s="52"/>
      <c r="AE32" s="414">
        <f>IFERROR(VLOOKUP($C32,'Proposed Rates'!$B:$J,AE$11,FALSE),0)</f>
        <v>0</v>
      </c>
      <c r="AF32" s="398">
        <f t="shared" si="32"/>
        <v>1000</v>
      </c>
      <c r="AG32" s="400">
        <f t="shared" si="33"/>
        <v>0</v>
      </c>
      <c r="AH32" s="417"/>
      <c r="AI32" s="401">
        <f t="shared" si="17"/>
        <v>0</v>
      </c>
      <c r="AJ32" s="402" t="str">
        <f t="shared" si="18"/>
        <v/>
      </c>
      <c r="AK32" s="52"/>
      <c r="AL32" s="414">
        <f>IFERROR(VLOOKUP($C32,'Proposed Rates'!$B:$J,AL$11,FALSE),0)</f>
        <v>0</v>
      </c>
      <c r="AM32" s="398">
        <f t="shared" si="34"/>
        <v>1000</v>
      </c>
      <c r="AN32" s="400">
        <f t="shared" si="35"/>
        <v>0</v>
      </c>
      <c r="AO32" s="417"/>
      <c r="AP32" s="401">
        <f t="shared" si="21"/>
        <v>0</v>
      </c>
      <c r="AQ32" s="402" t="str">
        <f t="shared" si="22"/>
        <v/>
      </c>
      <c r="AR32" s="403"/>
    </row>
    <row r="33" spans="1:44" ht="12" customHeight="1">
      <c r="A33" s="52"/>
      <c r="B33" s="404" t="s">
        <v>311</v>
      </c>
      <c r="C33" s="395" t="str">
        <f t="shared" si="23"/>
        <v>General Service &lt; 50 kW.GA Disposition Rate Rider-NonRPP</v>
      </c>
      <c r="D33" s="396" t="s">
        <v>308</v>
      </c>
      <c r="E33" s="320"/>
      <c r="F33" s="414">
        <f>IFERROR(VLOOKUP($C33,'Proposed Rates'!$B:$J,F$11,FALSE),0)</f>
        <v>0</v>
      </c>
      <c r="G33" s="398">
        <f t="shared" si="24"/>
        <v>1000</v>
      </c>
      <c r="H33" s="400">
        <f t="shared" si="25"/>
        <v>0</v>
      </c>
      <c r="I33" s="485"/>
      <c r="J33" s="414">
        <f>IFERROR(VLOOKUP($C33,'Proposed Rates'!$B:$J,J$11,FALSE),0)</f>
        <v>0</v>
      </c>
      <c r="K33" s="398">
        <f t="shared" si="26"/>
        <v>1000</v>
      </c>
      <c r="L33" s="400">
        <f t="shared" si="27"/>
        <v>0</v>
      </c>
      <c r="M33" s="417"/>
      <c r="N33" s="401">
        <f t="shared" si="5"/>
        <v>0</v>
      </c>
      <c r="O33" s="402" t="str">
        <f t="shared" si="6"/>
        <v/>
      </c>
      <c r="P33" s="52"/>
      <c r="Q33" s="414">
        <f>IFERROR(VLOOKUP($C33,'Proposed Rates'!$B:$J,Q$11,FALSE),0)</f>
        <v>0</v>
      </c>
      <c r="R33" s="398">
        <f t="shared" si="28"/>
        <v>1000</v>
      </c>
      <c r="S33" s="400">
        <f t="shared" si="29"/>
        <v>0</v>
      </c>
      <c r="T33" s="417"/>
      <c r="U33" s="401">
        <f t="shared" si="9"/>
        <v>0</v>
      </c>
      <c r="V33" s="402" t="str">
        <f t="shared" si="10"/>
        <v/>
      </c>
      <c r="W33" s="52"/>
      <c r="X33" s="414">
        <f>IFERROR(VLOOKUP($C33,'Proposed Rates'!$B:$J,X$11,FALSE),0)</f>
        <v>0</v>
      </c>
      <c r="Y33" s="398">
        <f t="shared" si="30"/>
        <v>1000</v>
      </c>
      <c r="Z33" s="400">
        <f t="shared" si="31"/>
        <v>0</v>
      </c>
      <c r="AA33" s="417"/>
      <c r="AB33" s="401">
        <f t="shared" si="13"/>
        <v>0</v>
      </c>
      <c r="AC33" s="402" t="str">
        <f t="shared" si="14"/>
        <v/>
      </c>
      <c r="AD33" s="52"/>
      <c r="AE33" s="414">
        <f>IFERROR(VLOOKUP($C33,'Proposed Rates'!$B:$J,AE$11,FALSE),0)</f>
        <v>0</v>
      </c>
      <c r="AF33" s="398">
        <f t="shared" si="32"/>
        <v>1000</v>
      </c>
      <c r="AG33" s="400">
        <f t="shared" si="33"/>
        <v>0</v>
      </c>
      <c r="AH33" s="417"/>
      <c r="AI33" s="401">
        <f t="shared" si="17"/>
        <v>0</v>
      </c>
      <c r="AJ33" s="402" t="str">
        <f t="shared" si="18"/>
        <v/>
      </c>
      <c r="AK33" s="52"/>
      <c r="AL33" s="414">
        <f>IFERROR(VLOOKUP($C33,'Proposed Rates'!$B:$J,AL$11,FALSE),0)</f>
        <v>0</v>
      </c>
      <c r="AM33" s="398">
        <f t="shared" si="34"/>
        <v>1000</v>
      </c>
      <c r="AN33" s="400">
        <f t="shared" si="35"/>
        <v>0</v>
      </c>
      <c r="AO33" s="417"/>
      <c r="AP33" s="401">
        <f t="shared" si="21"/>
        <v>0</v>
      </c>
      <c r="AQ33" s="402" t="str">
        <f t="shared" si="22"/>
        <v/>
      </c>
      <c r="AR33" s="403"/>
    </row>
    <row r="34" spans="1:44" ht="12" customHeight="1">
      <c r="A34" s="52"/>
      <c r="B34" s="320" t="s">
        <v>269</v>
      </c>
      <c r="C34" s="395" t="str">
        <f t="shared" si="23"/>
        <v>General Service &lt; 50 kW.Low Voltage Service Charge</v>
      </c>
      <c r="D34" s="396" t="s">
        <v>308</v>
      </c>
      <c r="E34" s="320"/>
      <c r="F34" s="418">
        <f>IFERROR(VLOOKUP($C34,'Proposed Rates'!$B:$J,F$11,FALSE),0)</f>
        <v>5.0000000000000002E-5</v>
      </c>
      <c r="G34" s="419">
        <f>$F$10*(1+F$63)</f>
        <v>1033.8</v>
      </c>
      <c r="H34" s="400">
        <f t="shared" si="25"/>
        <v>5.169E-2</v>
      </c>
      <c r="I34" s="128"/>
      <c r="J34" s="418">
        <f>IFERROR(VLOOKUP($C34,'Proposed Rates'!$B:$J,J$11,FALSE),0)</f>
        <v>6.0000000000000002E-5</v>
      </c>
      <c r="K34" s="419">
        <f>$F$10*(1+J$63)</f>
        <v>1033.1999999999998</v>
      </c>
      <c r="L34" s="400">
        <f t="shared" si="27"/>
        <v>6.1991999999999992E-2</v>
      </c>
      <c r="M34" s="128"/>
      <c r="N34" s="401">
        <f t="shared" si="5"/>
        <v>1.0301999999999992E-2</v>
      </c>
      <c r="O34" s="402">
        <f t="shared" si="6"/>
        <v>0.19930354033662201</v>
      </c>
      <c r="P34" s="52"/>
      <c r="Q34" s="418">
        <f>IFERROR(VLOOKUP($C34,'Proposed Rates'!$B:$J,Q$11,FALSE),0)</f>
        <v>6.0000000000000002E-5</v>
      </c>
      <c r="R34" s="419">
        <f>$F$10*(1+Q$63)</f>
        <v>1033.1999999999998</v>
      </c>
      <c r="S34" s="400">
        <f t="shared" si="29"/>
        <v>6.1991999999999992E-2</v>
      </c>
      <c r="T34" s="128"/>
      <c r="U34" s="401">
        <f t="shared" si="9"/>
        <v>0</v>
      </c>
      <c r="V34" s="402">
        <f t="shared" si="10"/>
        <v>0</v>
      </c>
      <c r="W34" s="52"/>
      <c r="X34" s="418">
        <f>IFERROR(VLOOKUP($C34,'Proposed Rates'!$B:$J,X$11,FALSE),0)</f>
        <v>6.0000000000000002E-5</v>
      </c>
      <c r="Y34" s="419">
        <f>$F$10*(1+X$63)</f>
        <v>1033.1999999999998</v>
      </c>
      <c r="Z34" s="400">
        <f t="shared" si="31"/>
        <v>6.1991999999999992E-2</v>
      </c>
      <c r="AA34" s="128"/>
      <c r="AB34" s="401">
        <f t="shared" si="13"/>
        <v>0</v>
      </c>
      <c r="AC34" s="402">
        <f t="shared" si="14"/>
        <v>0</v>
      </c>
      <c r="AD34" s="52"/>
      <c r="AE34" s="418">
        <f>IFERROR(VLOOKUP($C34,'Proposed Rates'!$B:$J,AE$11,FALSE),0)</f>
        <v>6.0000000000000002E-5</v>
      </c>
      <c r="AF34" s="419">
        <f>$F$10*(1+AE$63)</f>
        <v>1033.1999999999998</v>
      </c>
      <c r="AG34" s="400">
        <f t="shared" si="33"/>
        <v>6.1991999999999992E-2</v>
      </c>
      <c r="AH34" s="128"/>
      <c r="AI34" s="401">
        <f t="shared" si="17"/>
        <v>0</v>
      </c>
      <c r="AJ34" s="402">
        <f t="shared" si="18"/>
        <v>0</v>
      </c>
      <c r="AK34" s="52"/>
      <c r="AL34" s="418">
        <f>IFERROR(VLOOKUP($C34,'Proposed Rates'!$B:$J,AL$11,FALSE),0)</f>
        <v>6.0000000000000002E-5</v>
      </c>
      <c r="AM34" s="419">
        <f>$F$10*(1+AL$63)</f>
        <v>1033.1999999999998</v>
      </c>
      <c r="AN34" s="400">
        <f t="shared" si="35"/>
        <v>6.1991999999999992E-2</v>
      </c>
      <c r="AO34" s="128"/>
      <c r="AP34" s="401">
        <f t="shared" si="21"/>
        <v>0</v>
      </c>
      <c r="AQ34" s="402">
        <f t="shared" si="22"/>
        <v>0</v>
      </c>
      <c r="AR34" s="403"/>
    </row>
    <row r="35" spans="1:44" ht="12" customHeight="1">
      <c r="A35" s="52"/>
      <c r="B35" s="320" t="s">
        <v>312</v>
      </c>
      <c r="C35" s="395" t="str">
        <f t="shared" si="23"/>
        <v>General Service &lt; 50 kW.Line Losses on Cost of Power</v>
      </c>
      <c r="D35" s="396" t="s">
        <v>308</v>
      </c>
      <c r="E35" s="320"/>
      <c r="F35" s="420">
        <f>'Proposed Rates'!$K$249*F$44+'Proposed Rates'!$K$250*F$45+'Proposed Rates'!$K$251*F$46</f>
        <v>0.12752000000000002</v>
      </c>
      <c r="G35" s="507">
        <f>$F$10*(1+F$63)-$F$10</f>
        <v>33.799999999999955</v>
      </c>
      <c r="H35" s="400">
        <f t="shared" si="25"/>
        <v>4.3101759999999949</v>
      </c>
      <c r="I35" s="128"/>
      <c r="J35" s="420">
        <f>'Proposed Rates'!$K$249*J$44+'Proposed Rates'!$K$250*J$45+'Proposed Rates'!$K$251*J$46</f>
        <v>0.12752000000000002</v>
      </c>
      <c r="K35" s="507">
        <f>$F$10*(1+J$63)-$F$10</f>
        <v>33.199999999999818</v>
      </c>
      <c r="L35" s="400">
        <f t="shared" si="27"/>
        <v>4.2336639999999779</v>
      </c>
      <c r="M35" s="128"/>
      <c r="N35" s="401">
        <f t="shared" si="5"/>
        <v>-7.6512000000017011E-2</v>
      </c>
      <c r="O35" s="402">
        <f t="shared" si="6"/>
        <v>-1.7751479289944794E-2</v>
      </c>
      <c r="P35" s="52"/>
      <c r="Q35" s="420">
        <f>'Proposed Rates'!$K$249*Q$44+'Proposed Rates'!$K$250*Q$45+'Proposed Rates'!$K$251*Q$46</f>
        <v>0.12752000000000002</v>
      </c>
      <c r="R35" s="507">
        <f>$F$10*(1+Q$63)-$F$10</f>
        <v>33.199999999999818</v>
      </c>
      <c r="S35" s="400">
        <f t="shared" si="29"/>
        <v>4.2336639999999779</v>
      </c>
      <c r="T35" s="128"/>
      <c r="U35" s="401">
        <f t="shared" si="9"/>
        <v>0</v>
      </c>
      <c r="V35" s="402">
        <f t="shared" si="10"/>
        <v>0</v>
      </c>
      <c r="W35" s="52"/>
      <c r="X35" s="420">
        <f>'Proposed Rates'!$K$249*X$44+'Proposed Rates'!$K$250*X$45+'Proposed Rates'!$K$251*X$46</f>
        <v>0.12752000000000002</v>
      </c>
      <c r="Y35" s="507">
        <f>$F$10*(1+X$63)-$F$10</f>
        <v>33.199999999999818</v>
      </c>
      <c r="Z35" s="400">
        <f t="shared" si="31"/>
        <v>4.2336639999999779</v>
      </c>
      <c r="AA35" s="128"/>
      <c r="AB35" s="401">
        <f t="shared" si="13"/>
        <v>0</v>
      </c>
      <c r="AC35" s="402">
        <f t="shared" si="14"/>
        <v>0</v>
      </c>
      <c r="AD35" s="52"/>
      <c r="AE35" s="420">
        <f>'Proposed Rates'!$K$249*AE$44+'Proposed Rates'!$K$250*AE$45+'Proposed Rates'!$K$251*AE$46</f>
        <v>0.12752000000000002</v>
      </c>
      <c r="AF35" s="507">
        <f>$F$10*(1+AE$63)-$F$10</f>
        <v>33.199999999999818</v>
      </c>
      <c r="AG35" s="400">
        <f t="shared" si="33"/>
        <v>4.2336639999999779</v>
      </c>
      <c r="AH35" s="128"/>
      <c r="AI35" s="401">
        <f t="shared" si="17"/>
        <v>0</v>
      </c>
      <c r="AJ35" s="402">
        <f t="shared" si="18"/>
        <v>0</v>
      </c>
      <c r="AK35" s="52"/>
      <c r="AL35" s="420">
        <f>'Proposed Rates'!$K$249*AL$44+'Proposed Rates'!$K$250*AL$45+'Proposed Rates'!$K$251*AL$46</f>
        <v>0.12752000000000002</v>
      </c>
      <c r="AM35" s="507">
        <f>$F$10*(1+AL$63)-$F$10</f>
        <v>33.199999999999818</v>
      </c>
      <c r="AN35" s="400">
        <f t="shared" si="35"/>
        <v>4.2336639999999779</v>
      </c>
      <c r="AO35" s="128"/>
      <c r="AP35" s="401">
        <f t="shared" si="21"/>
        <v>0</v>
      </c>
      <c r="AQ35" s="402">
        <f t="shared" si="22"/>
        <v>0</v>
      </c>
      <c r="AR35" s="403"/>
    </row>
    <row r="36" spans="1:44" ht="12" customHeight="1">
      <c r="A36" s="52"/>
      <c r="B36" s="320" t="s">
        <v>271</v>
      </c>
      <c r="C36" s="395" t="str">
        <f t="shared" si="23"/>
        <v>General Service &lt; 50 kW.Smart Meter Entity Charge</v>
      </c>
      <c r="D36" s="396" t="s">
        <v>306</v>
      </c>
      <c r="E36" s="320"/>
      <c r="F36" s="397">
        <f>IFERROR(VLOOKUP($C36,'Proposed Rates'!$B:$J,F$11,FALSE),0)</f>
        <v>0.42</v>
      </c>
      <c r="G36" s="398">
        <f>IF($D36="Monthly",1,IF($D36="per KWH",$F$10,0))</f>
        <v>1</v>
      </c>
      <c r="H36" s="400">
        <f t="shared" si="25"/>
        <v>0.42</v>
      </c>
      <c r="I36" s="128"/>
      <c r="J36" s="397">
        <f>IFERROR(VLOOKUP($C36,'Proposed Rates'!$B:$J,J$11,FALSE),0)</f>
        <v>0.42</v>
      </c>
      <c r="K36" s="398">
        <f>IF($D36="Monthly",1,IF($D36="per KWH",$F$10,0))</f>
        <v>1</v>
      </c>
      <c r="L36" s="400">
        <f t="shared" si="27"/>
        <v>0.42</v>
      </c>
      <c r="M36" s="128"/>
      <c r="N36" s="401">
        <f t="shared" si="5"/>
        <v>0</v>
      </c>
      <c r="O36" s="402">
        <f t="shared" si="6"/>
        <v>0</v>
      </c>
      <c r="P36" s="52"/>
      <c r="Q36" s="397">
        <f>IFERROR(VLOOKUP($C36,'Proposed Rates'!$B:$J,Q$11,FALSE),0)</f>
        <v>0.42</v>
      </c>
      <c r="R36" s="398">
        <f>IF($D36="Monthly",1,IF($D36="per KWH",$F$10,0))</f>
        <v>1</v>
      </c>
      <c r="S36" s="400">
        <f t="shared" si="29"/>
        <v>0.42</v>
      </c>
      <c r="T36" s="128"/>
      <c r="U36" s="401">
        <f t="shared" si="9"/>
        <v>0</v>
      </c>
      <c r="V36" s="402">
        <f t="shared" si="10"/>
        <v>0</v>
      </c>
      <c r="W36" s="52"/>
      <c r="X36" s="397">
        <f>IFERROR(VLOOKUP($C36,'Proposed Rates'!$B:$J,X$11,FALSE),0)</f>
        <v>0.43</v>
      </c>
      <c r="Y36" s="398">
        <f>IF($D36="Monthly",1,IF($D36="per KWH",$F$10,0))</f>
        <v>1</v>
      </c>
      <c r="Z36" s="400">
        <f t="shared" si="31"/>
        <v>0.43</v>
      </c>
      <c r="AA36" s="128"/>
      <c r="AB36" s="401">
        <f t="shared" si="13"/>
        <v>1.0000000000000009E-2</v>
      </c>
      <c r="AC36" s="402">
        <f t="shared" si="14"/>
        <v>2.3809523809523832E-2</v>
      </c>
      <c r="AD36" s="52"/>
      <c r="AE36" s="397">
        <f>IFERROR(VLOOKUP($C36,'Proposed Rates'!$B:$J,AE$11,FALSE),0)</f>
        <v>0.44</v>
      </c>
      <c r="AF36" s="398">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5"/>
        <v>0.45</v>
      </c>
      <c r="AO36" s="128"/>
      <c r="AP36" s="401">
        <f t="shared" si="21"/>
        <v>1.0000000000000009E-2</v>
      </c>
      <c r="AQ36" s="402">
        <f t="shared" si="22"/>
        <v>2.2727272727272749E-2</v>
      </c>
      <c r="AR36" s="403"/>
    </row>
    <row r="37" spans="1:44" ht="12" customHeight="1">
      <c r="A37" s="52"/>
      <c r="B37" s="405" t="s">
        <v>313</v>
      </c>
      <c r="C37" s="422"/>
      <c r="D37" s="422"/>
      <c r="E37" s="422"/>
      <c r="F37" s="423"/>
      <c r="G37" s="501"/>
      <c r="H37" s="409">
        <f>SUM(H30:H36)+H29</f>
        <v>59.711866000000001</v>
      </c>
      <c r="I37" s="425"/>
      <c r="J37" s="423"/>
      <c r="K37" s="501"/>
      <c r="L37" s="409">
        <f>SUM(L30:L36)+L29</f>
        <v>68.895655999999974</v>
      </c>
      <c r="M37" s="425"/>
      <c r="N37" s="411">
        <f t="shared" si="5"/>
        <v>9.1837899999999735</v>
      </c>
      <c r="O37" s="412">
        <f t="shared" si="6"/>
        <v>0.1538017585985334</v>
      </c>
      <c r="P37" s="52"/>
      <c r="Q37" s="423"/>
      <c r="R37" s="501"/>
      <c r="S37" s="409">
        <f>SUM(S30:S36)+S29</f>
        <v>74.015655999999979</v>
      </c>
      <c r="T37" s="425"/>
      <c r="U37" s="411">
        <f t="shared" si="9"/>
        <v>5.1200000000000045</v>
      </c>
      <c r="V37" s="412">
        <f t="shared" si="10"/>
        <v>7.4315280487350407E-2</v>
      </c>
      <c r="W37" s="52"/>
      <c r="X37" s="423"/>
      <c r="Y37" s="501"/>
      <c r="Z37" s="409">
        <f>SUM(Z30:Z36)+Z29</f>
        <v>80.225655999999972</v>
      </c>
      <c r="AA37" s="425"/>
      <c r="AB37" s="411">
        <f t="shared" si="13"/>
        <v>6.2099999999999937</v>
      </c>
      <c r="AC37" s="412">
        <f t="shared" si="14"/>
        <v>8.3901168152856684E-2</v>
      </c>
      <c r="AD37" s="52"/>
      <c r="AE37" s="423"/>
      <c r="AF37" s="501"/>
      <c r="AG37" s="409">
        <f>SUM(AG30:AG36)+AG29</f>
        <v>85.035655999999975</v>
      </c>
      <c r="AH37" s="425"/>
      <c r="AI37" s="411">
        <f t="shared" si="17"/>
        <v>4.8100000000000023</v>
      </c>
      <c r="AJ37" s="412">
        <f t="shared" si="18"/>
        <v>5.9955882442394789E-2</v>
      </c>
      <c r="AK37" s="52"/>
      <c r="AL37" s="423"/>
      <c r="AM37" s="501"/>
      <c r="AN37" s="409">
        <f>SUM(AN30:AN36)+AN29</f>
        <v>89.645655999999988</v>
      </c>
      <c r="AO37" s="425"/>
      <c r="AP37" s="411">
        <f t="shared" si="21"/>
        <v>4.6100000000000136</v>
      </c>
      <c r="AQ37" s="412">
        <f t="shared" si="22"/>
        <v>5.4212552908394274E-2</v>
      </c>
      <c r="AR37" s="413"/>
    </row>
    <row r="38" spans="1:44" ht="12" customHeight="1">
      <c r="A38" s="52"/>
      <c r="B38" s="128" t="s">
        <v>255</v>
      </c>
      <c r="C38" s="395" t="str">
        <f t="shared" ref="C38:C39" si="36">D$6&amp;"."&amp;B38</f>
        <v>General Service &lt; 50 kW.RTSR - Network</v>
      </c>
      <c r="D38" s="426" t="s">
        <v>308</v>
      </c>
      <c r="E38" s="128"/>
      <c r="F38" s="414">
        <f>IFERROR(VLOOKUP($C38,'Proposed Rates'!$B:$J,F$11,FALSE),0)</f>
        <v>1.18E-2</v>
      </c>
      <c r="G38" s="508">
        <f t="shared" ref="G38:G39" si="37">$F$10*(1+F$63)</f>
        <v>1033.8</v>
      </c>
      <c r="H38" s="400">
        <f t="shared" ref="H38:H39" si="38">G38*F38</f>
        <v>12.198839999999999</v>
      </c>
      <c r="I38" s="128"/>
      <c r="J38" s="414">
        <f>IFERROR(VLOOKUP($C38,'Proposed Rates'!$B:$J,J$11,FALSE),0)</f>
        <v>1.0699999999999999E-2</v>
      </c>
      <c r="K38" s="508">
        <f t="shared" ref="K38:K39" si="39">$F$10*(1+J$63)</f>
        <v>1033.1999999999998</v>
      </c>
      <c r="L38" s="400">
        <f t="shared" ref="L38:L39" si="40">K38*J38</f>
        <v>11.055239999999998</v>
      </c>
      <c r="M38" s="128"/>
      <c r="N38" s="401">
        <f t="shared" si="5"/>
        <v>-1.1436000000000011</v>
      </c>
      <c r="O38" s="402">
        <f t="shared" si="6"/>
        <v>-9.3746618530942377E-2</v>
      </c>
      <c r="P38" s="52"/>
      <c r="Q38" s="414">
        <f>IFERROR(VLOOKUP($C38,'Proposed Rates'!$B:$J,Q$11,FALSE),0)</f>
        <v>1.0699999999999999E-2</v>
      </c>
      <c r="R38" s="508">
        <f t="shared" ref="R38:R39" si="41">$F$10*(1+Q$63)</f>
        <v>1033.1999999999998</v>
      </c>
      <c r="S38" s="400">
        <f t="shared" ref="S38:S39" si="42">R38*Q38</f>
        <v>11.055239999999998</v>
      </c>
      <c r="T38" s="128"/>
      <c r="U38" s="401">
        <f t="shared" si="9"/>
        <v>0</v>
      </c>
      <c r="V38" s="402">
        <f t="shared" si="10"/>
        <v>0</v>
      </c>
      <c r="W38" s="52"/>
      <c r="X38" s="414">
        <f>IFERROR(VLOOKUP($C38,'Proposed Rates'!$B:$J,X$11,FALSE),0)</f>
        <v>1.0699999999999999E-2</v>
      </c>
      <c r="Y38" s="508">
        <f t="shared" ref="Y38:Y39" si="43">$F$10*(1+X$63)</f>
        <v>1033.1999999999998</v>
      </c>
      <c r="Z38" s="400">
        <f t="shared" ref="Z38:Z39" si="44">Y38*X38</f>
        <v>11.055239999999998</v>
      </c>
      <c r="AA38" s="128"/>
      <c r="AB38" s="401">
        <f t="shared" si="13"/>
        <v>0</v>
      </c>
      <c r="AC38" s="402">
        <f t="shared" si="14"/>
        <v>0</v>
      </c>
      <c r="AD38" s="52"/>
      <c r="AE38" s="414">
        <f>IFERROR(VLOOKUP($C38,'Proposed Rates'!$B:$J,AE$11,FALSE),0)</f>
        <v>1.0699999999999999E-2</v>
      </c>
      <c r="AF38" s="508">
        <f t="shared" ref="AF38:AF39" si="45">$F$10*(1+AE$63)</f>
        <v>1033.1999999999998</v>
      </c>
      <c r="AG38" s="400">
        <f t="shared" ref="AG38:AG39" si="46">AF38*AE38</f>
        <v>11.055239999999998</v>
      </c>
      <c r="AH38" s="128"/>
      <c r="AI38" s="401">
        <f t="shared" si="17"/>
        <v>0</v>
      </c>
      <c r="AJ38" s="402">
        <f t="shared" si="18"/>
        <v>0</v>
      </c>
      <c r="AK38" s="52"/>
      <c r="AL38" s="414">
        <f>IFERROR(VLOOKUP($C38,'Proposed Rates'!$B:$J,AL$11,FALSE),0)</f>
        <v>1.0699999999999999E-2</v>
      </c>
      <c r="AM38" s="508">
        <f t="shared" ref="AM38:AM39" si="47">$F$10*(1+AL$63)</f>
        <v>1033.1999999999998</v>
      </c>
      <c r="AN38" s="400">
        <f t="shared" ref="AN38:AN39" si="48">AM38*AL38</f>
        <v>11.055239999999998</v>
      </c>
      <c r="AO38" s="128"/>
      <c r="AP38" s="401">
        <f t="shared" si="21"/>
        <v>0</v>
      </c>
      <c r="AQ38" s="402">
        <f t="shared" si="22"/>
        <v>0</v>
      </c>
      <c r="AR38" s="403"/>
    </row>
    <row r="39" spans="1:44" ht="12" customHeight="1">
      <c r="A39" s="52"/>
      <c r="B39" s="128" t="s">
        <v>256</v>
      </c>
      <c r="C39" s="395" t="str">
        <f t="shared" si="36"/>
        <v>General Service &lt; 50 kW.RTSR - Line and Transformation Connection</v>
      </c>
      <c r="D39" s="426" t="s">
        <v>308</v>
      </c>
      <c r="E39" s="128"/>
      <c r="F39" s="414">
        <f>IFERROR(VLOOKUP($C39,'Proposed Rates'!$B:$J,F$11,FALSE),0)</f>
        <v>7.0000000000000001E-3</v>
      </c>
      <c r="G39" s="508">
        <f t="shared" si="37"/>
        <v>1033.8</v>
      </c>
      <c r="H39" s="400">
        <f t="shared" si="38"/>
        <v>7.2366000000000001</v>
      </c>
      <c r="I39" s="128"/>
      <c r="J39" s="414">
        <f>IFERROR(VLOOKUP($C39,'Proposed Rates'!$B:$J,J$11,FALSE),0)</f>
        <v>6.1000000000000004E-3</v>
      </c>
      <c r="K39" s="508">
        <f t="shared" si="39"/>
        <v>1033.1999999999998</v>
      </c>
      <c r="L39" s="400">
        <f t="shared" si="40"/>
        <v>6.3025199999999995</v>
      </c>
      <c r="M39" s="128"/>
      <c r="N39" s="401">
        <f t="shared" si="5"/>
        <v>-0.93408000000000069</v>
      </c>
      <c r="O39" s="402">
        <f t="shared" si="6"/>
        <v>-0.12907719094602446</v>
      </c>
      <c r="P39" s="52"/>
      <c r="Q39" s="414">
        <f>IFERROR(VLOOKUP($C39,'Proposed Rates'!$B:$J,Q$11,FALSE),0)</f>
        <v>6.1000000000000004E-3</v>
      </c>
      <c r="R39" s="508">
        <f t="shared" si="41"/>
        <v>1033.1999999999998</v>
      </c>
      <c r="S39" s="400">
        <f t="shared" si="42"/>
        <v>6.3025199999999995</v>
      </c>
      <c r="T39" s="128"/>
      <c r="U39" s="401">
        <f t="shared" si="9"/>
        <v>0</v>
      </c>
      <c r="V39" s="402">
        <f t="shared" si="10"/>
        <v>0</v>
      </c>
      <c r="W39" s="52"/>
      <c r="X39" s="414">
        <f>IFERROR(VLOOKUP($C39,'Proposed Rates'!$B:$J,X$11,FALSE),0)</f>
        <v>6.1000000000000004E-3</v>
      </c>
      <c r="Y39" s="508">
        <f t="shared" si="43"/>
        <v>1033.1999999999998</v>
      </c>
      <c r="Z39" s="400">
        <f t="shared" si="44"/>
        <v>6.3025199999999995</v>
      </c>
      <c r="AA39" s="128"/>
      <c r="AB39" s="401">
        <f t="shared" si="13"/>
        <v>0</v>
      </c>
      <c r="AC39" s="402">
        <f t="shared" si="14"/>
        <v>0</v>
      </c>
      <c r="AD39" s="52"/>
      <c r="AE39" s="414">
        <f>IFERROR(VLOOKUP($C39,'Proposed Rates'!$B:$J,AE$11,FALSE),0)</f>
        <v>6.1000000000000004E-3</v>
      </c>
      <c r="AF39" s="508">
        <f t="shared" si="45"/>
        <v>1033.1999999999998</v>
      </c>
      <c r="AG39" s="400">
        <f t="shared" si="46"/>
        <v>6.3025199999999995</v>
      </c>
      <c r="AH39" s="128"/>
      <c r="AI39" s="401">
        <f t="shared" si="17"/>
        <v>0</v>
      </c>
      <c r="AJ39" s="402">
        <f t="shared" si="18"/>
        <v>0</v>
      </c>
      <c r="AK39" s="52"/>
      <c r="AL39" s="414">
        <f>IFERROR(VLOOKUP($C39,'Proposed Rates'!$B:$J,AL$11,FALSE),0)</f>
        <v>6.1000000000000004E-3</v>
      </c>
      <c r="AM39" s="508">
        <f t="shared" si="47"/>
        <v>1033.1999999999998</v>
      </c>
      <c r="AN39" s="400">
        <f t="shared" si="48"/>
        <v>6.3025199999999995</v>
      </c>
      <c r="AO39" s="128"/>
      <c r="AP39" s="401">
        <f t="shared" si="21"/>
        <v>0</v>
      </c>
      <c r="AQ39" s="402">
        <f t="shared" si="22"/>
        <v>0</v>
      </c>
      <c r="AR39" s="403"/>
    </row>
    <row r="40" spans="1:44" ht="12" customHeight="1">
      <c r="A40" s="52"/>
      <c r="B40" s="405" t="s">
        <v>314</v>
      </c>
      <c r="C40" s="427"/>
      <c r="D40" s="427"/>
      <c r="E40" s="427"/>
      <c r="F40" s="428"/>
      <c r="G40" s="501"/>
      <c r="H40" s="409">
        <f>SUM(H37:H39)</f>
        <v>79.147306</v>
      </c>
      <c r="I40" s="410"/>
      <c r="J40" s="428"/>
      <c r="K40" s="501"/>
      <c r="L40" s="409">
        <f>SUM(L37:L39)</f>
        <v>86.253415999999973</v>
      </c>
      <c r="M40" s="410"/>
      <c r="N40" s="411">
        <f t="shared" si="5"/>
        <v>7.1061099999999726</v>
      </c>
      <c r="O40" s="412">
        <f t="shared" si="6"/>
        <v>8.9783346510871415E-2</v>
      </c>
      <c r="P40" s="52"/>
      <c r="Q40" s="428"/>
      <c r="R40" s="501"/>
      <c r="S40" s="409">
        <f>SUM(S37:S39)</f>
        <v>91.373415999999978</v>
      </c>
      <c r="T40" s="410"/>
      <c r="U40" s="411">
        <f t="shared" si="9"/>
        <v>5.1200000000000045</v>
      </c>
      <c r="V40" s="412">
        <f t="shared" si="10"/>
        <v>5.9359967841737492E-2</v>
      </c>
      <c r="W40" s="52"/>
      <c r="X40" s="428"/>
      <c r="Y40" s="501"/>
      <c r="Z40" s="409">
        <f>SUM(Z37:Z39)</f>
        <v>97.583415999999971</v>
      </c>
      <c r="AA40" s="410"/>
      <c r="AB40" s="411">
        <f t="shared" si="13"/>
        <v>6.2099999999999937</v>
      </c>
      <c r="AC40" s="412">
        <f t="shared" si="14"/>
        <v>6.7962874453549982E-2</v>
      </c>
      <c r="AD40" s="52"/>
      <c r="AE40" s="428"/>
      <c r="AF40" s="501"/>
      <c r="AG40" s="409">
        <f>SUM(AG37:AG39)</f>
        <v>102.39341599999997</v>
      </c>
      <c r="AH40" s="410"/>
      <c r="AI40" s="411">
        <f t="shared" si="17"/>
        <v>4.8100000000000023</v>
      </c>
      <c r="AJ40" s="412">
        <f t="shared" si="18"/>
        <v>4.9291162342584974E-2</v>
      </c>
      <c r="AK40" s="52"/>
      <c r="AL40" s="428"/>
      <c r="AM40" s="501"/>
      <c r="AN40" s="409">
        <f>SUM(AN37:AN39)</f>
        <v>107.00341599999999</v>
      </c>
      <c r="AO40" s="410"/>
      <c r="AP40" s="411">
        <f t="shared" si="21"/>
        <v>4.6100000000000136</v>
      </c>
      <c r="AQ40" s="412">
        <f t="shared" si="22"/>
        <v>4.5022426051300163E-2</v>
      </c>
      <c r="AR40" s="413"/>
    </row>
    <row r="41" spans="1:44" ht="12" customHeight="1">
      <c r="A41" s="52"/>
      <c r="B41" s="320" t="s">
        <v>257</v>
      </c>
      <c r="C41" s="395" t="str">
        <f t="shared" ref="C41:C48" si="49">D$6&amp;"."&amp;B41</f>
        <v>General Service &lt; 50 kW.Wholesale Market Service Charge (WMSC)</v>
      </c>
      <c r="D41" s="396" t="s">
        <v>308</v>
      </c>
      <c r="E41" s="320"/>
      <c r="F41" s="414">
        <f>IFERROR(VLOOKUP($C41,'Proposed Rates'!$B:$J,F$11,FALSE),0)</f>
        <v>4.4999999999999997E-3</v>
      </c>
      <c r="G41" s="508">
        <f t="shared" ref="G41:G42" si="50">$F$10*(1+F$63)</f>
        <v>1033.8</v>
      </c>
      <c r="H41" s="400">
        <f t="shared" ref="H41:H48" si="51">G41*F41</f>
        <v>4.652099999999999</v>
      </c>
      <c r="I41" s="128"/>
      <c r="J41" s="414">
        <f>IFERROR(VLOOKUP($C41,'Proposed Rates'!$B:$J,J$11,FALSE),0)</f>
        <v>4.4999999999999997E-3</v>
      </c>
      <c r="K41" s="508">
        <f t="shared" ref="K41:K42" si="52">$F$10*(1+J$63)</f>
        <v>1033.1999999999998</v>
      </c>
      <c r="L41" s="400">
        <f t="shared" ref="L41:L48" si="53">K41*J41</f>
        <v>4.6493999999999991</v>
      </c>
      <c r="M41" s="128"/>
      <c r="N41" s="401">
        <f t="shared" si="5"/>
        <v>-2.6999999999999247E-3</v>
      </c>
      <c r="O41" s="402">
        <f t="shared" si="6"/>
        <v>-5.8038305281484176E-4</v>
      </c>
      <c r="P41" s="52"/>
      <c r="Q41" s="414">
        <f>IFERROR(VLOOKUP($C41,'Proposed Rates'!$B:$J,Q$11,FALSE),0)</f>
        <v>4.4999999999999997E-3</v>
      </c>
      <c r="R41" s="508">
        <f t="shared" ref="R41:R42" si="54">$F$10*(1+Q$63)</f>
        <v>1033.1999999999998</v>
      </c>
      <c r="S41" s="400">
        <f t="shared" ref="S41:S48" si="55">R41*Q41</f>
        <v>4.6493999999999991</v>
      </c>
      <c r="T41" s="128"/>
      <c r="U41" s="401">
        <f t="shared" si="9"/>
        <v>0</v>
      </c>
      <c r="V41" s="402">
        <f t="shared" si="10"/>
        <v>0</v>
      </c>
      <c r="W41" s="52"/>
      <c r="X41" s="414">
        <f>IFERROR(VLOOKUP($C41,'Proposed Rates'!$B:$J,X$11,FALSE),0)</f>
        <v>4.4999999999999997E-3</v>
      </c>
      <c r="Y41" s="508">
        <f t="shared" ref="Y41:Y42" si="56">$F$10*(1+X$63)</f>
        <v>1033.1999999999998</v>
      </c>
      <c r="Z41" s="400">
        <f t="shared" ref="Z41:Z48" si="57">Y41*X41</f>
        <v>4.6493999999999991</v>
      </c>
      <c r="AA41" s="128"/>
      <c r="AB41" s="401">
        <f t="shared" si="13"/>
        <v>0</v>
      </c>
      <c r="AC41" s="402">
        <f t="shared" si="14"/>
        <v>0</v>
      </c>
      <c r="AD41" s="52"/>
      <c r="AE41" s="414">
        <f>IFERROR(VLOOKUP($C41,'Proposed Rates'!$B:$J,AE$11,FALSE),0)</f>
        <v>4.4999999999999997E-3</v>
      </c>
      <c r="AF41" s="508">
        <f t="shared" ref="AF41:AF42" si="58">$F$10*(1+AE$63)</f>
        <v>1033.1999999999998</v>
      </c>
      <c r="AG41" s="400">
        <f t="shared" ref="AG41:AG48" si="59">AF41*AE41</f>
        <v>4.6493999999999991</v>
      </c>
      <c r="AH41" s="128"/>
      <c r="AI41" s="401">
        <f t="shared" si="17"/>
        <v>0</v>
      </c>
      <c r="AJ41" s="402">
        <f t="shared" si="18"/>
        <v>0</v>
      </c>
      <c r="AK41" s="52"/>
      <c r="AL41" s="414">
        <f>IFERROR(VLOOKUP($C41,'Proposed Rates'!$B:$J,AL$11,FALSE),0)</f>
        <v>4.4999999999999997E-3</v>
      </c>
      <c r="AM41" s="508">
        <f t="shared" ref="AM41:AM42" si="60">$F$10*(1+AL$63)</f>
        <v>1033.1999999999998</v>
      </c>
      <c r="AN41" s="400">
        <f t="shared" ref="AN41:AN48" si="61">AM41*AL41</f>
        <v>4.6493999999999991</v>
      </c>
      <c r="AO41" s="128"/>
      <c r="AP41" s="401">
        <f t="shared" si="21"/>
        <v>0</v>
      </c>
      <c r="AQ41" s="402">
        <f t="shared" si="22"/>
        <v>0</v>
      </c>
      <c r="AR41" s="403"/>
    </row>
    <row r="42" spans="1:44" ht="12" customHeight="1">
      <c r="A42" s="52"/>
      <c r="B42" s="320" t="s">
        <v>258</v>
      </c>
      <c r="C42" s="395" t="str">
        <f t="shared" si="49"/>
        <v>General Service &lt; 50 kW.Rural and Remote Rate Protection (RRRP)</v>
      </c>
      <c r="D42" s="396" t="s">
        <v>308</v>
      </c>
      <c r="E42" s="320"/>
      <c r="F42" s="414">
        <f>IFERROR(VLOOKUP($C42,'Proposed Rates'!$B:$J,F$11,FALSE),0)</f>
        <v>1.5E-3</v>
      </c>
      <c r="G42" s="508">
        <f t="shared" si="50"/>
        <v>1033.8</v>
      </c>
      <c r="H42" s="400">
        <f t="shared" si="51"/>
        <v>1.5507</v>
      </c>
      <c r="I42" s="128"/>
      <c r="J42" s="414">
        <f>IFERROR(VLOOKUP($C42,'Proposed Rates'!$B:$J,J$11,FALSE),0)</f>
        <v>1.5E-3</v>
      </c>
      <c r="K42" s="508">
        <f t="shared" si="52"/>
        <v>1033.1999999999998</v>
      </c>
      <c r="L42" s="400">
        <f t="shared" si="53"/>
        <v>1.5497999999999998</v>
      </c>
      <c r="M42" s="128"/>
      <c r="N42" s="401">
        <f t="shared" si="5"/>
        <v>-9.0000000000012292E-4</v>
      </c>
      <c r="O42" s="402">
        <f t="shared" si="6"/>
        <v>-5.8038305281493706E-4</v>
      </c>
      <c r="P42" s="52"/>
      <c r="Q42" s="414">
        <f>IFERROR(VLOOKUP($C42,'Proposed Rates'!$B:$J,Q$11,FALSE),0)</f>
        <v>1.5E-3</v>
      </c>
      <c r="R42" s="508">
        <f t="shared" si="54"/>
        <v>1033.1999999999998</v>
      </c>
      <c r="S42" s="400">
        <f t="shared" si="55"/>
        <v>1.5497999999999998</v>
      </c>
      <c r="T42" s="128"/>
      <c r="U42" s="401">
        <f t="shared" si="9"/>
        <v>0</v>
      </c>
      <c r="V42" s="402">
        <f t="shared" si="10"/>
        <v>0</v>
      </c>
      <c r="W42" s="52"/>
      <c r="X42" s="414">
        <f>IFERROR(VLOOKUP($C42,'Proposed Rates'!$B:$J,X$11,FALSE),0)</f>
        <v>1.5E-3</v>
      </c>
      <c r="Y42" s="508">
        <f t="shared" si="56"/>
        <v>1033.1999999999998</v>
      </c>
      <c r="Z42" s="400">
        <f t="shared" si="57"/>
        <v>1.5497999999999998</v>
      </c>
      <c r="AA42" s="128"/>
      <c r="AB42" s="401">
        <f t="shared" si="13"/>
        <v>0</v>
      </c>
      <c r="AC42" s="402">
        <f t="shared" si="14"/>
        <v>0</v>
      </c>
      <c r="AD42" s="52"/>
      <c r="AE42" s="414">
        <f>IFERROR(VLOOKUP($C42,'Proposed Rates'!$B:$J,AE$11,FALSE),0)</f>
        <v>1.5E-3</v>
      </c>
      <c r="AF42" s="508">
        <f t="shared" si="58"/>
        <v>1033.1999999999998</v>
      </c>
      <c r="AG42" s="400">
        <f t="shared" si="59"/>
        <v>1.5497999999999998</v>
      </c>
      <c r="AH42" s="128"/>
      <c r="AI42" s="401">
        <f t="shared" si="17"/>
        <v>0</v>
      </c>
      <c r="AJ42" s="402">
        <f t="shared" si="18"/>
        <v>0</v>
      </c>
      <c r="AK42" s="52"/>
      <c r="AL42" s="414">
        <f>IFERROR(VLOOKUP($C42,'Proposed Rates'!$B:$J,AL$11,FALSE),0)</f>
        <v>1.5E-3</v>
      </c>
      <c r="AM42" s="508">
        <f t="shared" si="60"/>
        <v>1033.1999999999998</v>
      </c>
      <c r="AN42" s="400">
        <f t="shared" si="61"/>
        <v>1.5497999999999998</v>
      </c>
      <c r="AO42" s="128"/>
      <c r="AP42" s="401">
        <f t="shared" si="21"/>
        <v>0</v>
      </c>
      <c r="AQ42" s="402">
        <f t="shared" si="22"/>
        <v>0</v>
      </c>
      <c r="AR42" s="403"/>
    </row>
    <row r="43" spans="1:44" ht="12" customHeight="1">
      <c r="A43" s="52"/>
      <c r="B43" s="320" t="s">
        <v>260</v>
      </c>
      <c r="C43" s="395" t="str">
        <f t="shared" si="49"/>
        <v>General Service &lt; 50 kW.Standard Supply Service Charge</v>
      </c>
      <c r="D43" s="396" t="s">
        <v>306</v>
      </c>
      <c r="E43" s="320"/>
      <c r="F43" s="397">
        <f>IFERROR(VLOOKUP($C43,'Proposed Rates'!$B:$J,F$11,FALSE),0)</f>
        <v>0.25</v>
      </c>
      <c r="G43" s="398">
        <f>IF($D43="Monthly",1,IF($D43="per KWH",$F$10,0))</f>
        <v>1</v>
      </c>
      <c r="H43" s="400">
        <f t="shared" si="51"/>
        <v>0.25</v>
      </c>
      <c r="I43" s="128"/>
      <c r="J43" s="397">
        <f>IFERROR(VLOOKUP($C43,'Proposed Rates'!$B:$J,J$11,FALSE),0)</f>
        <v>1.51</v>
      </c>
      <c r="K43" s="398">
        <f>IF($D43="Monthly",1,IF($D43="per KWH",$F$10,0))</f>
        <v>1</v>
      </c>
      <c r="L43" s="400">
        <f t="shared" si="53"/>
        <v>1.51</v>
      </c>
      <c r="M43" s="128"/>
      <c r="N43" s="401">
        <f t="shared" si="5"/>
        <v>1.26</v>
      </c>
      <c r="O43" s="402">
        <f t="shared" si="6"/>
        <v>5.04</v>
      </c>
      <c r="P43" s="52"/>
      <c r="Q43" s="397">
        <f>IFERROR(VLOOKUP($C43,'Proposed Rates'!$B:$J,Q$11,FALSE),0)</f>
        <v>1.54</v>
      </c>
      <c r="R43" s="398">
        <f>IF($D43="Monthly",1,IF($D43="per KWH",$F$10,0))</f>
        <v>1</v>
      </c>
      <c r="S43" s="400">
        <f t="shared" si="55"/>
        <v>1.54</v>
      </c>
      <c r="T43" s="128"/>
      <c r="U43" s="401">
        <f t="shared" si="9"/>
        <v>3.0000000000000027E-2</v>
      </c>
      <c r="V43" s="402">
        <f t="shared" si="10"/>
        <v>1.986754966887419E-2</v>
      </c>
      <c r="W43" s="52"/>
      <c r="X43" s="397">
        <f>IFERROR(VLOOKUP($C43,'Proposed Rates'!$B:$J,X$11,FALSE),0)</f>
        <v>1.57</v>
      </c>
      <c r="Y43" s="398">
        <f>IF($D43="Monthly",1,IF($D43="per KWH",$F$10,0))</f>
        <v>1</v>
      </c>
      <c r="Z43" s="400">
        <f t="shared" si="57"/>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59"/>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1"/>
        <v>1.63</v>
      </c>
      <c r="AO43" s="128"/>
      <c r="AP43" s="401">
        <f t="shared" si="21"/>
        <v>2.9999999999999805E-2</v>
      </c>
      <c r="AQ43" s="402">
        <f t="shared" si="22"/>
        <v>1.8749999999999878E-2</v>
      </c>
      <c r="AR43" s="403"/>
    </row>
    <row r="44" spans="1:44" ht="12" customHeight="1">
      <c r="A44" s="52"/>
      <c r="B44" s="320" t="s">
        <v>262</v>
      </c>
      <c r="C44" s="395" t="str">
        <f t="shared" si="49"/>
        <v>General Service &lt; 50 kW.TOU - Off Peak</v>
      </c>
      <c r="D44" s="396" t="s">
        <v>308</v>
      </c>
      <c r="E44" s="320"/>
      <c r="F44" s="430">
        <f>VLOOKUP($B44,'Proposed Rates'!$D$248:$J$254,+F$11-2,FALSE)</f>
        <v>9.8000000000000004E-2</v>
      </c>
      <c r="G44" s="508">
        <f>'Proposed Rates'!$K$249*$F$10</f>
        <v>640</v>
      </c>
      <c r="H44" s="400">
        <f t="shared" si="51"/>
        <v>62.72</v>
      </c>
      <c r="I44" s="128"/>
      <c r="J44" s="430">
        <f>VLOOKUP($B44,'Proposed Rates'!$D$248:$J$254,+J$11-2,FALSE)</f>
        <v>9.8000000000000004E-2</v>
      </c>
      <c r="K44" s="508">
        <f>'Proposed Rates'!$K$249*$F$10</f>
        <v>640</v>
      </c>
      <c r="L44" s="400">
        <f t="shared" si="53"/>
        <v>62.72</v>
      </c>
      <c r="M44" s="128"/>
      <c r="N44" s="401">
        <f t="shared" si="5"/>
        <v>0</v>
      </c>
      <c r="O44" s="402">
        <f t="shared" si="6"/>
        <v>0</v>
      </c>
      <c r="P44" s="52"/>
      <c r="Q44" s="430">
        <f>VLOOKUP($B44,'Proposed Rates'!$D$248:$J$254,+Q$11-2,FALSE)</f>
        <v>9.8000000000000004E-2</v>
      </c>
      <c r="R44" s="508">
        <f>'Proposed Rates'!$K$249*$F$10</f>
        <v>640</v>
      </c>
      <c r="S44" s="400">
        <f t="shared" si="55"/>
        <v>62.72</v>
      </c>
      <c r="T44" s="128"/>
      <c r="U44" s="401">
        <f t="shared" si="9"/>
        <v>0</v>
      </c>
      <c r="V44" s="402">
        <f t="shared" si="10"/>
        <v>0</v>
      </c>
      <c r="W44" s="52"/>
      <c r="X44" s="430">
        <f>VLOOKUP($B44,'Proposed Rates'!$D$248:$J$254,+X$11-2,FALSE)</f>
        <v>9.8000000000000004E-2</v>
      </c>
      <c r="Y44" s="508">
        <f>'Proposed Rates'!$K$249*$F$10</f>
        <v>640</v>
      </c>
      <c r="Z44" s="400">
        <f t="shared" si="57"/>
        <v>62.72</v>
      </c>
      <c r="AA44" s="128"/>
      <c r="AB44" s="401">
        <f t="shared" si="13"/>
        <v>0</v>
      </c>
      <c r="AC44" s="402">
        <f t="shared" si="14"/>
        <v>0</v>
      </c>
      <c r="AD44" s="52"/>
      <c r="AE44" s="430">
        <f>VLOOKUP($B44,'Proposed Rates'!$D$248:$J$254,+AE$11-2,FALSE)</f>
        <v>9.8000000000000004E-2</v>
      </c>
      <c r="AF44" s="508">
        <f>'Proposed Rates'!$K$249*$F$10</f>
        <v>640</v>
      </c>
      <c r="AG44" s="400">
        <f t="shared" si="59"/>
        <v>62.72</v>
      </c>
      <c r="AH44" s="128"/>
      <c r="AI44" s="401">
        <f t="shared" si="17"/>
        <v>0</v>
      </c>
      <c r="AJ44" s="402">
        <f t="shared" si="18"/>
        <v>0</v>
      </c>
      <c r="AK44" s="52"/>
      <c r="AL44" s="430">
        <f>VLOOKUP($B44,'Proposed Rates'!$D$248:$J$254,+AL$11-2,FALSE)</f>
        <v>9.8000000000000004E-2</v>
      </c>
      <c r="AM44" s="508">
        <f>'Proposed Rates'!$K$249*$F$10</f>
        <v>640</v>
      </c>
      <c r="AN44" s="400">
        <f t="shared" si="61"/>
        <v>62.72</v>
      </c>
      <c r="AO44" s="128"/>
      <c r="AP44" s="401">
        <f t="shared" si="21"/>
        <v>0</v>
      </c>
      <c r="AQ44" s="402">
        <f t="shared" si="22"/>
        <v>0</v>
      </c>
      <c r="AR44" s="403"/>
    </row>
    <row r="45" spans="1:44" ht="12" customHeight="1">
      <c r="A45" s="52"/>
      <c r="B45" s="320" t="s">
        <v>263</v>
      </c>
      <c r="C45" s="395" t="str">
        <f t="shared" si="49"/>
        <v>General Service &lt; 50 kW.TOU - Mid Peak</v>
      </c>
      <c r="D45" s="396" t="s">
        <v>308</v>
      </c>
      <c r="E45" s="320"/>
      <c r="F45" s="430">
        <f>VLOOKUP($B45,'Proposed Rates'!$D$248:$J$254,+F$11-2,FALSE)</f>
        <v>0.157</v>
      </c>
      <c r="G45" s="508">
        <f>'Proposed Rates'!$K$250*$F$10</f>
        <v>180</v>
      </c>
      <c r="H45" s="400">
        <f t="shared" si="51"/>
        <v>28.26</v>
      </c>
      <c r="I45" s="128"/>
      <c r="J45" s="430">
        <f>VLOOKUP($B45,'Proposed Rates'!$D$248:$J$254,+J$11-2,FALSE)</f>
        <v>0.157</v>
      </c>
      <c r="K45" s="508">
        <f>'Proposed Rates'!$K$250*$F$10</f>
        <v>180</v>
      </c>
      <c r="L45" s="400">
        <f t="shared" si="53"/>
        <v>28.26</v>
      </c>
      <c r="M45" s="128"/>
      <c r="N45" s="401">
        <f t="shared" si="5"/>
        <v>0</v>
      </c>
      <c r="O45" s="402">
        <f t="shared" si="6"/>
        <v>0</v>
      </c>
      <c r="P45" s="52"/>
      <c r="Q45" s="430">
        <f>VLOOKUP($B45,'Proposed Rates'!$D$248:$J$254,+Q$11-2,FALSE)</f>
        <v>0.157</v>
      </c>
      <c r="R45" s="508">
        <f>'Proposed Rates'!$K$250*$F$10</f>
        <v>180</v>
      </c>
      <c r="S45" s="400">
        <f t="shared" si="55"/>
        <v>28.26</v>
      </c>
      <c r="T45" s="128"/>
      <c r="U45" s="401">
        <f t="shared" si="9"/>
        <v>0</v>
      </c>
      <c r="V45" s="402">
        <f t="shared" si="10"/>
        <v>0</v>
      </c>
      <c r="W45" s="52"/>
      <c r="X45" s="430">
        <f>VLOOKUP($B45,'Proposed Rates'!$D$248:$J$254,+X$11-2,FALSE)</f>
        <v>0.157</v>
      </c>
      <c r="Y45" s="508">
        <f>'Proposed Rates'!$K$250*$F$10</f>
        <v>180</v>
      </c>
      <c r="Z45" s="400">
        <f t="shared" si="57"/>
        <v>28.26</v>
      </c>
      <c r="AA45" s="128"/>
      <c r="AB45" s="401">
        <f t="shared" si="13"/>
        <v>0</v>
      </c>
      <c r="AC45" s="402">
        <f t="shared" si="14"/>
        <v>0</v>
      </c>
      <c r="AD45" s="52"/>
      <c r="AE45" s="430">
        <f>VLOOKUP($B45,'Proposed Rates'!$D$248:$J$254,+AE$11-2,FALSE)</f>
        <v>0.157</v>
      </c>
      <c r="AF45" s="508">
        <f>'Proposed Rates'!$K$250*$F$10</f>
        <v>180</v>
      </c>
      <c r="AG45" s="400">
        <f t="shared" si="59"/>
        <v>28.26</v>
      </c>
      <c r="AH45" s="128"/>
      <c r="AI45" s="401">
        <f t="shared" si="17"/>
        <v>0</v>
      </c>
      <c r="AJ45" s="402">
        <f t="shared" si="18"/>
        <v>0</v>
      </c>
      <c r="AK45" s="52"/>
      <c r="AL45" s="430">
        <f>VLOOKUP($B45,'Proposed Rates'!$D$248:$J$254,+AL$11-2,FALSE)</f>
        <v>0.157</v>
      </c>
      <c r="AM45" s="508">
        <f>'Proposed Rates'!$K$250*$F$10</f>
        <v>180</v>
      </c>
      <c r="AN45" s="400">
        <f t="shared" si="61"/>
        <v>28.26</v>
      </c>
      <c r="AO45" s="128"/>
      <c r="AP45" s="401">
        <f t="shared" si="21"/>
        <v>0</v>
      </c>
      <c r="AQ45" s="402">
        <f t="shared" si="22"/>
        <v>0</v>
      </c>
      <c r="AR45" s="403"/>
    </row>
    <row r="46" spans="1:44" ht="12" customHeight="1">
      <c r="A46" s="52"/>
      <c r="B46" s="52" t="s">
        <v>264</v>
      </c>
      <c r="C46" s="395" t="str">
        <f t="shared" si="49"/>
        <v>General Service &lt; 50 kW.TOU - On Peak</v>
      </c>
      <c r="D46" s="396" t="s">
        <v>308</v>
      </c>
      <c r="E46" s="320"/>
      <c r="F46" s="430">
        <f>VLOOKUP($B46,'Proposed Rates'!$D$248:$J$254,+F$11-2,FALSE)</f>
        <v>0.20300000000000001</v>
      </c>
      <c r="G46" s="508">
        <f>'Proposed Rates'!$K$251*$F$10</f>
        <v>180</v>
      </c>
      <c r="H46" s="400">
        <f t="shared" si="51"/>
        <v>36.54</v>
      </c>
      <c r="I46" s="128"/>
      <c r="J46" s="430">
        <f>VLOOKUP($B46,'Proposed Rates'!$D$248:$J$254,+J$11-2,FALSE)</f>
        <v>0.20300000000000001</v>
      </c>
      <c r="K46" s="508">
        <f>'Proposed Rates'!$K$251*$F$10</f>
        <v>180</v>
      </c>
      <c r="L46" s="400">
        <f t="shared" si="53"/>
        <v>36.54</v>
      </c>
      <c r="M46" s="128"/>
      <c r="N46" s="401">
        <f t="shared" si="5"/>
        <v>0</v>
      </c>
      <c r="O46" s="402">
        <f t="shared" si="6"/>
        <v>0</v>
      </c>
      <c r="P46" s="52"/>
      <c r="Q46" s="430">
        <f>VLOOKUP($B46,'Proposed Rates'!$D$248:$J$254,+Q$11-2,FALSE)</f>
        <v>0.20300000000000001</v>
      </c>
      <c r="R46" s="508">
        <f>'Proposed Rates'!$K$251*$F$10</f>
        <v>180</v>
      </c>
      <c r="S46" s="400">
        <f t="shared" si="55"/>
        <v>36.54</v>
      </c>
      <c r="T46" s="128"/>
      <c r="U46" s="401">
        <f t="shared" si="9"/>
        <v>0</v>
      </c>
      <c r="V46" s="402">
        <f t="shared" si="10"/>
        <v>0</v>
      </c>
      <c r="W46" s="52"/>
      <c r="X46" s="430">
        <f>VLOOKUP($B46,'Proposed Rates'!$D$248:$J$254,+X$11-2,FALSE)</f>
        <v>0.20300000000000001</v>
      </c>
      <c r="Y46" s="508">
        <f>'Proposed Rates'!$K$251*$F$10</f>
        <v>180</v>
      </c>
      <c r="Z46" s="400">
        <f t="shared" si="57"/>
        <v>36.54</v>
      </c>
      <c r="AA46" s="128"/>
      <c r="AB46" s="401">
        <f t="shared" si="13"/>
        <v>0</v>
      </c>
      <c r="AC46" s="402">
        <f t="shared" si="14"/>
        <v>0</v>
      </c>
      <c r="AD46" s="52"/>
      <c r="AE46" s="430">
        <f>VLOOKUP($B46,'Proposed Rates'!$D$248:$J$254,+AE$11-2,FALSE)</f>
        <v>0.20300000000000001</v>
      </c>
      <c r="AF46" s="508">
        <f>'Proposed Rates'!$K$251*$F$10</f>
        <v>180</v>
      </c>
      <c r="AG46" s="400">
        <f t="shared" si="59"/>
        <v>36.54</v>
      </c>
      <c r="AH46" s="128"/>
      <c r="AI46" s="401">
        <f t="shared" si="17"/>
        <v>0</v>
      </c>
      <c r="AJ46" s="402">
        <f t="shared" si="18"/>
        <v>0</v>
      </c>
      <c r="AK46" s="52"/>
      <c r="AL46" s="430">
        <f>VLOOKUP($B46,'Proposed Rates'!$D$248:$J$254,+AL$11-2,FALSE)</f>
        <v>0.20300000000000001</v>
      </c>
      <c r="AM46" s="508">
        <f>'Proposed Rates'!$K$251*$F$10</f>
        <v>180</v>
      </c>
      <c r="AN46" s="400">
        <f t="shared" si="61"/>
        <v>36.54</v>
      </c>
      <c r="AO46" s="128"/>
      <c r="AP46" s="401">
        <f t="shared" si="21"/>
        <v>0</v>
      </c>
      <c r="AQ46" s="402">
        <f t="shared" si="22"/>
        <v>0</v>
      </c>
      <c r="AR46" s="403"/>
    </row>
    <row r="47" spans="1:44" ht="12" customHeight="1">
      <c r="A47" s="52"/>
      <c r="B47" s="320" t="s">
        <v>265</v>
      </c>
      <c r="C47" s="395" t="str">
        <f t="shared" si="49"/>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1"/>
        <v>90</v>
      </c>
      <c r="I47" s="128"/>
      <c r="J47" s="430">
        <f>VLOOKUP($B47,'Proposed Rates'!$D$248:$J$254,+J$11-2,FALSE)</f>
        <v>0.12</v>
      </c>
      <c r="K47" s="508">
        <f>IF(AND($S$2=1, $F$10&gt;=750), 750, IF(AND($S$2=1, AND($F$10&lt;750, $F$10&gt;=0)), $F$10, IF(AND($S$2=2, $F$10&gt;=1000), 1000, IF(AND($S$2=2, AND($F$10&lt;1000, $F$10&gt;=0)), $F$10))))</f>
        <v>750</v>
      </c>
      <c r="L47" s="400">
        <f t="shared" si="53"/>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5"/>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7"/>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59"/>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1"/>
        <v>90</v>
      </c>
      <c r="AO47" s="128"/>
      <c r="AP47" s="401">
        <f t="shared" si="21"/>
        <v>0</v>
      </c>
      <c r="AQ47" s="402">
        <f t="shared" si="22"/>
        <v>0</v>
      </c>
      <c r="AR47" s="403"/>
    </row>
    <row r="48" spans="1:44" ht="12" customHeight="1">
      <c r="A48" s="52"/>
      <c r="B48" s="320" t="s">
        <v>266</v>
      </c>
      <c r="C48" s="395" t="str">
        <f t="shared" si="49"/>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250</v>
      </c>
      <c r="H48" s="400">
        <f t="shared" si="51"/>
        <v>35.5</v>
      </c>
      <c r="I48" s="128"/>
      <c r="J48" s="430">
        <f>VLOOKUP($B48,'Proposed Rates'!$D$248:$J$254,+J$11-2,FALSE)</f>
        <v>0.14199999999999999</v>
      </c>
      <c r="K48" s="508">
        <f>IF(AND($S$2=1, $F$10&gt;=750), $F$10-750, IF(AND($S$2=1, AND($F$10&lt;750, $F$10&gt;=0)), 0, IF(AND($S$2=2, $F$10&gt;=1000), $F$10-1000, IF(AND($S$2=2, AND($F$10&lt;1000, $F$10&gt;=0)), 0))))</f>
        <v>250</v>
      </c>
      <c r="L48" s="400">
        <f t="shared" si="53"/>
        <v>35.5</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250</v>
      </c>
      <c r="S48" s="400">
        <f t="shared" si="55"/>
        <v>35.5</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250</v>
      </c>
      <c r="Z48" s="400">
        <f t="shared" si="57"/>
        <v>35.5</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250</v>
      </c>
      <c r="AG48" s="400">
        <f t="shared" si="59"/>
        <v>35.5</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250</v>
      </c>
      <c r="AN48" s="400">
        <f t="shared" si="61"/>
        <v>35.5</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213.12010600000002</v>
      </c>
      <c r="I50" s="482"/>
      <c r="J50" s="445"/>
      <c r="K50" s="446"/>
      <c r="L50" s="447">
        <f>SUM(L41:L46,L40)</f>
        <v>221.48261599999995</v>
      </c>
      <c r="M50" s="449"/>
      <c r="N50" s="448">
        <f t="shared" ref="N50:N54" si="62">L50-H50</f>
        <v>8.3625099999999293</v>
      </c>
      <c r="O50" s="450">
        <f t="shared" ref="O50:O54" si="63">IF((H50)=0,"",(N50/H50))</f>
        <v>3.9238484612990614E-2</v>
      </c>
      <c r="P50" s="52"/>
      <c r="Q50" s="446"/>
      <c r="R50" s="446"/>
      <c r="S50" s="448">
        <f>SUM(S41:S46,S40)</f>
        <v>226.63261599999998</v>
      </c>
      <c r="T50" s="449"/>
      <c r="U50" s="448">
        <f t="shared" ref="U50:U54" si="64">S50-L50</f>
        <v>5.1500000000000341</v>
      </c>
      <c r="V50" s="450">
        <f t="shared" ref="V50:V54" si="65">IF((L50)=0,"",(U50/L50))</f>
        <v>2.325238925297882E-2</v>
      </c>
      <c r="W50" s="52"/>
      <c r="X50" s="446"/>
      <c r="Y50" s="446"/>
      <c r="Z50" s="448">
        <f>SUM(Z41:Z46,Z40)</f>
        <v>232.87261599999997</v>
      </c>
      <c r="AA50" s="449"/>
      <c r="AB50" s="448">
        <f t="shared" ref="AB50:AB54" si="66">Z50-S50</f>
        <v>6.2399999999999807</v>
      </c>
      <c r="AC50" s="450">
        <f t="shared" ref="AC50:AC54" si="67">IF((S50)=0,"",(AB50/S50))</f>
        <v>2.7533547951456294E-2</v>
      </c>
      <c r="AD50" s="52"/>
      <c r="AE50" s="446"/>
      <c r="AF50" s="446"/>
      <c r="AG50" s="448">
        <f>SUM(AG41:AG46,AG40)</f>
        <v>237.71261599999997</v>
      </c>
      <c r="AH50" s="449"/>
      <c r="AI50" s="448">
        <f t="shared" ref="AI50:AI54" si="68">AG50-Z50</f>
        <v>4.8400000000000034</v>
      </c>
      <c r="AJ50" s="450">
        <f t="shared" ref="AJ50:AJ54" si="69">IF((Z50)=0,"",(AI50/Z50))</f>
        <v>2.0783895002922988E-2</v>
      </c>
      <c r="AK50" s="52"/>
      <c r="AL50" s="446"/>
      <c r="AM50" s="446"/>
      <c r="AN50" s="448">
        <f>SUM(AN41:AN46,AN40)</f>
        <v>242.35261599999998</v>
      </c>
      <c r="AO50" s="449"/>
      <c r="AP50" s="448">
        <f t="shared" ref="AP50:AP54" si="70">AN50-AG50</f>
        <v>4.6400000000000148</v>
      </c>
      <c r="AQ50" s="450">
        <f t="shared" ref="AQ50:AQ54" si="71">IF((AG50)=0,"",(AP50/AG50))</f>
        <v>1.9519367874021525E-2</v>
      </c>
      <c r="AR50" s="451"/>
    </row>
    <row r="51" spans="1:44" ht="12" customHeight="1">
      <c r="A51" s="52"/>
      <c r="B51" s="452" t="s">
        <v>316</v>
      </c>
      <c r="C51" s="320"/>
      <c r="D51" s="320"/>
      <c r="E51" s="320"/>
      <c r="F51" s="445">
        <v>0.13</v>
      </c>
      <c r="G51" s="128"/>
      <c r="H51" s="490">
        <f>H50*F51</f>
        <v>27.705613780000004</v>
      </c>
      <c r="I51" s="417"/>
      <c r="J51" s="445">
        <v>0.13</v>
      </c>
      <c r="K51" s="417"/>
      <c r="L51" s="400">
        <f>L50*J51</f>
        <v>28.792740079999994</v>
      </c>
      <c r="M51" s="128"/>
      <c r="N51" s="401">
        <f t="shared" si="62"/>
        <v>1.0871262999999907</v>
      </c>
      <c r="O51" s="402">
        <f t="shared" si="63"/>
        <v>3.9238484612990607E-2</v>
      </c>
      <c r="P51" s="52"/>
      <c r="Q51" s="453">
        <v>0.13</v>
      </c>
      <c r="R51" s="417"/>
      <c r="S51" s="400">
        <f>S50*Q51</f>
        <v>29.462240079999997</v>
      </c>
      <c r="T51" s="128"/>
      <c r="U51" s="401">
        <f t="shared" si="64"/>
        <v>0.66950000000000287</v>
      </c>
      <c r="V51" s="402">
        <f t="shared" si="65"/>
        <v>2.3252389252978768E-2</v>
      </c>
      <c r="W51" s="52"/>
      <c r="X51" s="453">
        <v>0.13</v>
      </c>
      <c r="Y51" s="417"/>
      <c r="Z51" s="400">
        <f>Z50*X51</f>
        <v>30.273440079999997</v>
      </c>
      <c r="AA51" s="128"/>
      <c r="AB51" s="401">
        <f t="shared" si="66"/>
        <v>0.81119999999999948</v>
      </c>
      <c r="AC51" s="402">
        <f t="shared" si="67"/>
        <v>2.7533547951456364E-2</v>
      </c>
      <c r="AD51" s="52"/>
      <c r="AE51" s="453">
        <v>0.13</v>
      </c>
      <c r="AF51" s="417"/>
      <c r="AG51" s="400">
        <f>AG50*AE51</f>
        <v>30.902640079999998</v>
      </c>
      <c r="AH51" s="128"/>
      <c r="AI51" s="401">
        <f t="shared" si="68"/>
        <v>0.62920000000000087</v>
      </c>
      <c r="AJ51" s="402">
        <f t="shared" si="69"/>
        <v>2.0783895002923002E-2</v>
      </c>
      <c r="AK51" s="52"/>
      <c r="AL51" s="453">
        <v>0.13</v>
      </c>
      <c r="AM51" s="417"/>
      <c r="AN51" s="400">
        <f>AN50*AL51</f>
        <v>31.505840079999999</v>
      </c>
      <c r="AO51" s="128"/>
      <c r="AP51" s="401">
        <f t="shared" si="70"/>
        <v>0.60320000000000107</v>
      </c>
      <c r="AQ51" s="402">
        <f t="shared" si="71"/>
        <v>1.9519367874021497E-2</v>
      </c>
      <c r="AR51" s="403"/>
    </row>
    <row r="52" spans="1:44" ht="12" customHeight="1">
      <c r="A52" s="52"/>
      <c r="B52" s="454" t="s">
        <v>363</v>
      </c>
      <c r="C52" s="320"/>
      <c r="D52" s="320"/>
      <c r="E52" s="320"/>
      <c r="F52" s="455"/>
      <c r="G52" s="128"/>
      <c r="H52" s="490">
        <f>H50+H51</f>
        <v>240.82571978000001</v>
      </c>
      <c r="I52" s="417"/>
      <c r="J52" s="455"/>
      <c r="K52" s="417"/>
      <c r="L52" s="400">
        <f>L50+L51</f>
        <v>250.27535607999994</v>
      </c>
      <c r="M52" s="128"/>
      <c r="N52" s="401">
        <f t="shared" si="62"/>
        <v>9.4496362999999235</v>
      </c>
      <c r="O52" s="402">
        <f t="shared" si="63"/>
        <v>3.9238484612990628E-2</v>
      </c>
      <c r="P52" s="52"/>
      <c r="Q52" s="417"/>
      <c r="R52" s="417"/>
      <c r="S52" s="400">
        <f>S50+S51</f>
        <v>256.09485608</v>
      </c>
      <c r="T52" s="128"/>
      <c r="U52" s="401">
        <f t="shared" si="64"/>
        <v>5.8195000000000618</v>
      </c>
      <c r="V52" s="402">
        <f t="shared" si="65"/>
        <v>2.3252389252978914E-2</v>
      </c>
      <c r="W52" s="52"/>
      <c r="X52" s="417"/>
      <c r="Y52" s="417"/>
      <c r="Z52" s="400">
        <f>Z50+Z51</f>
        <v>263.14605607999994</v>
      </c>
      <c r="AA52" s="128"/>
      <c r="AB52" s="401">
        <f t="shared" si="66"/>
        <v>7.0511999999999375</v>
      </c>
      <c r="AC52" s="402">
        <f t="shared" si="67"/>
        <v>2.7533547951456135E-2</v>
      </c>
      <c r="AD52" s="52"/>
      <c r="AE52" s="417"/>
      <c r="AF52" s="417"/>
      <c r="AG52" s="400">
        <f>AG50+AG51</f>
        <v>268.61525607999999</v>
      </c>
      <c r="AH52" s="128"/>
      <c r="AI52" s="401">
        <f t="shared" si="68"/>
        <v>5.4692000000000576</v>
      </c>
      <c r="AJ52" s="402">
        <f t="shared" si="69"/>
        <v>2.0783895002923197E-2</v>
      </c>
      <c r="AK52" s="52"/>
      <c r="AL52" s="417"/>
      <c r="AM52" s="417"/>
      <c r="AN52" s="400">
        <f>AN50+AN51</f>
        <v>273.85845608</v>
      </c>
      <c r="AO52" s="128"/>
      <c r="AP52" s="401">
        <f t="shared" si="70"/>
        <v>5.2432000000000016</v>
      </c>
      <c r="AQ52" s="402">
        <f t="shared" si="71"/>
        <v>1.9519367874021469E-2</v>
      </c>
      <c r="AR52" s="403"/>
    </row>
    <row r="53" spans="1:44" ht="12" customHeight="1">
      <c r="A53" s="52"/>
      <c r="B53" s="628" t="s">
        <v>273</v>
      </c>
      <c r="C53" s="615"/>
      <c r="D53" s="615"/>
      <c r="E53" s="320"/>
      <c r="F53" s="456">
        <f>'Proposed Rates'!E286</f>
        <v>0.23499999999999999</v>
      </c>
      <c r="G53" s="128"/>
      <c r="H53" s="492">
        <f>F53*H50</f>
        <v>50.083224910000006</v>
      </c>
      <c r="I53" s="417"/>
      <c r="J53" s="456">
        <f>'Proposed Rates'!F286</f>
        <v>0.23499999999999999</v>
      </c>
      <c r="K53" s="417"/>
      <c r="L53" s="457">
        <f>J53*L50</f>
        <v>52.048414759999986</v>
      </c>
      <c r="M53" s="128"/>
      <c r="N53" s="457">
        <f t="shared" si="62"/>
        <v>1.9651898499999803</v>
      </c>
      <c r="O53" s="459">
        <f t="shared" si="63"/>
        <v>3.9238484612990551E-2</v>
      </c>
      <c r="P53" s="52"/>
      <c r="Q53" s="458">
        <f>'Proposed Rates'!G286</f>
        <v>0.23499999999999999</v>
      </c>
      <c r="R53" s="417"/>
      <c r="S53" s="457">
        <f>Q53*S50</f>
        <v>53.258664759999995</v>
      </c>
      <c r="T53" s="128"/>
      <c r="U53" s="457">
        <f t="shared" si="64"/>
        <v>1.2102500000000092</v>
      </c>
      <c r="V53" s="459">
        <f t="shared" si="65"/>
        <v>2.3252389252978845E-2</v>
      </c>
      <c r="W53" s="52"/>
      <c r="X53" s="458">
        <f>'Proposed Rates'!H286</f>
        <v>0.23499999999999999</v>
      </c>
      <c r="Y53" s="417"/>
      <c r="Z53" s="457">
        <f>X53*Z50</f>
        <v>54.725064759999988</v>
      </c>
      <c r="AA53" s="128"/>
      <c r="AB53" s="457">
        <f t="shared" si="66"/>
        <v>1.466399999999993</v>
      </c>
      <c r="AC53" s="459">
        <f t="shared" si="67"/>
        <v>2.7533547951456249E-2</v>
      </c>
      <c r="AD53" s="52"/>
      <c r="AE53" s="458">
        <f>'Proposed Rates'!I286</f>
        <v>0.23499999999999999</v>
      </c>
      <c r="AF53" s="417"/>
      <c r="AG53" s="457">
        <f>AE53*AG50</f>
        <v>55.862464759999988</v>
      </c>
      <c r="AH53" s="128"/>
      <c r="AI53" s="457">
        <f t="shared" si="68"/>
        <v>1.1373999999999995</v>
      </c>
      <c r="AJ53" s="459">
        <f t="shared" si="69"/>
        <v>2.0783895002922968E-2</v>
      </c>
      <c r="AK53" s="52"/>
      <c r="AL53" s="458">
        <f>'Proposed Rates'!J286</f>
        <v>0.23499999999999999</v>
      </c>
      <c r="AM53" s="417"/>
      <c r="AN53" s="457">
        <f>AL53*AN50</f>
        <v>56.95286475999999</v>
      </c>
      <c r="AO53" s="128"/>
      <c r="AP53" s="457">
        <f t="shared" si="70"/>
        <v>1.0904000000000025</v>
      </c>
      <c r="AQ53" s="459">
        <f t="shared" si="71"/>
        <v>1.9519367874021511E-2</v>
      </c>
      <c r="AR53" s="460"/>
    </row>
    <row r="54" spans="1:44" ht="12" customHeight="1">
      <c r="A54" s="52"/>
      <c r="B54" s="627" t="s">
        <v>318</v>
      </c>
      <c r="C54" s="613"/>
      <c r="D54" s="613"/>
      <c r="E54" s="461"/>
      <c r="F54" s="462"/>
      <c r="G54" s="493"/>
      <c r="H54" s="494">
        <f>H52-H53</f>
        <v>190.74249487</v>
      </c>
      <c r="I54" s="463"/>
      <c r="J54" s="462"/>
      <c r="K54" s="463"/>
      <c r="L54" s="464">
        <f>L52-L53</f>
        <v>198.22694131999995</v>
      </c>
      <c r="M54" s="465"/>
      <c r="N54" s="466">
        <f t="shared" si="62"/>
        <v>7.4844464499999503</v>
      </c>
      <c r="O54" s="467">
        <f t="shared" si="63"/>
        <v>3.923848461299069E-2</v>
      </c>
      <c r="P54" s="52"/>
      <c r="Q54" s="463"/>
      <c r="R54" s="463"/>
      <c r="S54" s="464">
        <f>S52-S53</f>
        <v>202.83619132000001</v>
      </c>
      <c r="T54" s="465"/>
      <c r="U54" s="466">
        <f t="shared" si="64"/>
        <v>4.6092500000000598</v>
      </c>
      <c r="V54" s="467">
        <f t="shared" si="65"/>
        <v>2.3252389252978969E-2</v>
      </c>
      <c r="W54" s="52"/>
      <c r="X54" s="463"/>
      <c r="Y54" s="463"/>
      <c r="Z54" s="464">
        <f>Z52-Z53</f>
        <v>208.42099131999996</v>
      </c>
      <c r="AA54" s="465"/>
      <c r="AB54" s="466">
        <f t="shared" si="66"/>
        <v>5.5847999999999445</v>
      </c>
      <c r="AC54" s="467">
        <f t="shared" si="67"/>
        <v>2.7533547951456103E-2</v>
      </c>
      <c r="AD54" s="52"/>
      <c r="AE54" s="463"/>
      <c r="AF54" s="463"/>
      <c r="AG54" s="464">
        <f>AG52-AG53</f>
        <v>212.75279132</v>
      </c>
      <c r="AH54" s="465"/>
      <c r="AI54" s="466">
        <f t="shared" si="68"/>
        <v>4.3318000000000438</v>
      </c>
      <c r="AJ54" s="467">
        <f t="shared" si="69"/>
        <v>2.0783895002923186E-2</v>
      </c>
      <c r="AK54" s="52"/>
      <c r="AL54" s="463"/>
      <c r="AM54" s="463"/>
      <c r="AN54" s="464">
        <f>AN52-AN53</f>
        <v>216.90559132000001</v>
      </c>
      <c r="AO54" s="465"/>
      <c r="AP54" s="466">
        <f t="shared" si="70"/>
        <v>4.1528000000000134</v>
      </c>
      <c r="AQ54" s="467">
        <f t="shared" si="71"/>
        <v>1.9519367874021525E-2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211.10010600000001</v>
      </c>
      <c r="I56" s="482"/>
      <c r="J56" s="445"/>
      <c r="K56" s="446"/>
      <c r="L56" s="447">
        <f>SUM(L47:L48,L40,L41:L43)</f>
        <v>219.46261599999994</v>
      </c>
      <c r="M56" s="449"/>
      <c r="N56" s="448">
        <f t="shared" ref="N56:N60" si="72">L56-H56</f>
        <v>8.3625099999999293</v>
      </c>
      <c r="O56" s="450">
        <f t="shared" ref="O56:O60" si="73">IF((H56)=0,"",(N56/H56))</f>
        <v>3.9613954528283986E-2</v>
      </c>
      <c r="P56" s="52"/>
      <c r="Q56" s="446"/>
      <c r="R56" s="446"/>
      <c r="S56" s="448">
        <f>SUM(S47:S48,S40,S41:S43)</f>
        <v>224.61261599999995</v>
      </c>
      <c r="T56" s="449"/>
      <c r="U56" s="448">
        <f t="shared" ref="U56:U60" si="74">S56-L56</f>
        <v>5.1500000000000057</v>
      </c>
      <c r="V56" s="450">
        <f t="shared" ref="V56:V60" si="75">IF((L56)=0,"",(U56/L56))</f>
        <v>2.3466411245184497E-2</v>
      </c>
      <c r="W56" s="52"/>
      <c r="X56" s="446"/>
      <c r="Y56" s="446"/>
      <c r="Z56" s="448">
        <f>SUM(Z47:Z48,Z40,Z41:Z43)</f>
        <v>230.85261599999995</v>
      </c>
      <c r="AA56" s="449"/>
      <c r="AB56" s="448">
        <f t="shared" ref="AB56:AB60" si="76">Z56-S56</f>
        <v>6.2400000000000091</v>
      </c>
      <c r="AC56" s="450">
        <f t="shared" ref="AC56:AC60" si="77">IF((S56)=0,"",(AB56/S56))</f>
        <v>2.7781164349201162E-2</v>
      </c>
      <c r="AD56" s="52"/>
      <c r="AE56" s="446"/>
      <c r="AF56" s="446"/>
      <c r="AG56" s="448">
        <f>SUM(AG47:AG48,AG40,AG41:AG43)</f>
        <v>235.69261599999996</v>
      </c>
      <c r="AH56" s="449"/>
      <c r="AI56" s="448">
        <f t="shared" ref="AI56:AI60" si="78">AG56-Z56</f>
        <v>4.8400000000000034</v>
      </c>
      <c r="AJ56" s="450">
        <f t="shared" ref="AJ56:AJ60" si="79">IF((Z56)=0,"",(AI56/Z56))</f>
        <v>2.0965757650327013E-2</v>
      </c>
      <c r="AK56" s="52"/>
      <c r="AL56" s="446"/>
      <c r="AM56" s="446"/>
      <c r="AN56" s="448">
        <f>SUM(AN47:AN48,AN40,AN41:AN43)</f>
        <v>240.33261599999997</v>
      </c>
      <c r="AO56" s="449"/>
      <c r="AP56" s="448">
        <f t="shared" ref="AP56:AP60" si="80">AN56-AG56</f>
        <v>4.6400000000000148</v>
      </c>
      <c r="AQ56" s="450">
        <f t="shared" ref="AQ56:AQ60" si="81">IF((AG56)=0,"",(AP56/AG56))</f>
        <v>1.9686658321107588E-2</v>
      </c>
      <c r="AR56" s="451"/>
    </row>
    <row r="57" spans="1:44" ht="12" customHeight="1">
      <c r="A57" s="52"/>
      <c r="B57" s="452" t="s">
        <v>316</v>
      </c>
      <c r="C57" s="320"/>
      <c r="D57" s="320"/>
      <c r="E57" s="320"/>
      <c r="F57" s="445">
        <v>0.13</v>
      </c>
      <c r="G57" s="489"/>
      <c r="H57" s="490">
        <f>H56*F57</f>
        <v>27.443013780000001</v>
      </c>
      <c r="I57" s="417"/>
      <c r="J57" s="445">
        <v>0.13</v>
      </c>
      <c r="K57" s="453"/>
      <c r="L57" s="400">
        <f>L56*J57</f>
        <v>28.530140079999992</v>
      </c>
      <c r="M57" s="128"/>
      <c r="N57" s="401">
        <f t="shared" si="72"/>
        <v>1.0871262999999907</v>
      </c>
      <c r="O57" s="402">
        <f t="shared" si="73"/>
        <v>3.9613954528283979E-2</v>
      </c>
      <c r="P57" s="52"/>
      <c r="Q57" s="445">
        <v>0.13</v>
      </c>
      <c r="R57" s="453"/>
      <c r="S57" s="400">
        <f>S56*Q57</f>
        <v>29.199640079999995</v>
      </c>
      <c r="T57" s="128"/>
      <c r="U57" s="401">
        <f t="shared" si="74"/>
        <v>0.66950000000000287</v>
      </c>
      <c r="V57" s="402">
        <f t="shared" si="75"/>
        <v>2.3466411245184574E-2</v>
      </c>
      <c r="W57" s="52"/>
      <c r="X57" s="445">
        <v>0.13</v>
      </c>
      <c r="Y57" s="453"/>
      <c r="Z57" s="400">
        <f>Z56*X57</f>
        <v>30.010840079999994</v>
      </c>
      <c r="AA57" s="128"/>
      <c r="AB57" s="401">
        <f t="shared" si="76"/>
        <v>0.81119999999999948</v>
      </c>
      <c r="AC57" s="402">
        <f t="shared" si="77"/>
        <v>2.7781164349201103E-2</v>
      </c>
      <c r="AD57" s="52"/>
      <c r="AE57" s="445">
        <v>0.13</v>
      </c>
      <c r="AF57" s="453"/>
      <c r="AG57" s="400">
        <f>AG56*AE57</f>
        <v>30.640040079999995</v>
      </c>
      <c r="AH57" s="128"/>
      <c r="AI57" s="401">
        <f t="shared" si="78"/>
        <v>0.62920000000000087</v>
      </c>
      <c r="AJ57" s="402">
        <f t="shared" si="79"/>
        <v>2.0965757650327026E-2</v>
      </c>
      <c r="AK57" s="52"/>
      <c r="AL57" s="445">
        <v>0.13</v>
      </c>
      <c r="AM57" s="453"/>
      <c r="AN57" s="400">
        <f>AN56*AL57</f>
        <v>31.243240079999996</v>
      </c>
      <c r="AO57" s="128"/>
      <c r="AP57" s="401">
        <f t="shared" si="80"/>
        <v>0.60320000000000107</v>
      </c>
      <c r="AQ57" s="402">
        <f t="shared" si="81"/>
        <v>1.968665832110756E-2</v>
      </c>
      <c r="AR57" s="403"/>
    </row>
    <row r="58" spans="1:44" ht="12" customHeight="1">
      <c r="A58" s="52"/>
      <c r="B58" s="454" t="s">
        <v>364</v>
      </c>
      <c r="C58" s="320"/>
      <c r="D58" s="320"/>
      <c r="E58" s="320"/>
      <c r="F58" s="455"/>
      <c r="G58" s="128"/>
      <c r="H58" s="490">
        <f>H56+H57</f>
        <v>238.54311978000001</v>
      </c>
      <c r="I58" s="417"/>
      <c r="J58" s="455"/>
      <c r="K58" s="417"/>
      <c r="L58" s="400">
        <f>L56+L57</f>
        <v>247.99275607999994</v>
      </c>
      <c r="M58" s="128"/>
      <c r="N58" s="401">
        <f t="shared" si="72"/>
        <v>9.4496362999999235</v>
      </c>
      <c r="O58" s="402">
        <f t="shared" si="73"/>
        <v>3.9613954528284E-2</v>
      </c>
      <c r="P58" s="52"/>
      <c r="Q58" s="417"/>
      <c r="R58" s="417"/>
      <c r="S58" s="400">
        <f>S56+S57</f>
        <v>253.81225607999994</v>
      </c>
      <c r="T58" s="128"/>
      <c r="U58" s="401">
        <f t="shared" si="74"/>
        <v>5.819500000000005</v>
      </c>
      <c r="V58" s="402">
        <f t="shared" si="75"/>
        <v>2.346641124518449E-2</v>
      </c>
      <c r="W58" s="52"/>
      <c r="X58" s="417"/>
      <c r="Y58" s="417"/>
      <c r="Z58" s="400">
        <f>Z56+Z57</f>
        <v>260.86345607999993</v>
      </c>
      <c r="AA58" s="128"/>
      <c r="AB58" s="401">
        <f t="shared" si="76"/>
        <v>7.0511999999999944</v>
      </c>
      <c r="AC58" s="402">
        <f t="shared" si="77"/>
        <v>2.7781164349201099E-2</v>
      </c>
      <c r="AD58" s="52"/>
      <c r="AE58" s="417"/>
      <c r="AF58" s="417"/>
      <c r="AG58" s="400">
        <f>AG56+AG57</f>
        <v>266.33265607999994</v>
      </c>
      <c r="AH58" s="128"/>
      <c r="AI58" s="401">
        <f t="shared" si="78"/>
        <v>5.4692000000000007</v>
      </c>
      <c r="AJ58" s="402">
        <f t="shared" si="79"/>
        <v>2.0965757650327002E-2</v>
      </c>
      <c r="AK58" s="52"/>
      <c r="AL58" s="417"/>
      <c r="AM58" s="417"/>
      <c r="AN58" s="400">
        <f>AN56+AN57</f>
        <v>271.57585607999999</v>
      </c>
      <c r="AO58" s="128"/>
      <c r="AP58" s="401">
        <f t="shared" si="80"/>
        <v>5.2432000000000585</v>
      </c>
      <c r="AQ58" s="402">
        <f t="shared" si="81"/>
        <v>1.9686658321107747E-2</v>
      </c>
      <c r="AR58" s="403"/>
    </row>
    <row r="59" spans="1:44" ht="12" customHeight="1">
      <c r="A59" s="52"/>
      <c r="B59" s="628" t="s">
        <v>273</v>
      </c>
      <c r="C59" s="615"/>
      <c r="D59" s="615"/>
      <c r="E59" s="320"/>
      <c r="F59" s="456">
        <f>F53</f>
        <v>0.23499999999999999</v>
      </c>
      <c r="G59" s="128"/>
      <c r="H59" s="492">
        <f>F59*H56</f>
        <v>49.60852491</v>
      </c>
      <c r="I59" s="417"/>
      <c r="J59" s="456">
        <f>J53</f>
        <v>0.23499999999999999</v>
      </c>
      <c r="K59" s="417"/>
      <c r="L59" s="457">
        <f>J59*L56</f>
        <v>51.57371475999998</v>
      </c>
      <c r="M59" s="128"/>
      <c r="N59" s="457">
        <f t="shared" si="72"/>
        <v>1.9651898499999803</v>
      </c>
      <c r="O59" s="459">
        <f t="shared" si="73"/>
        <v>3.9613954528283923E-2</v>
      </c>
      <c r="P59" s="52"/>
      <c r="Q59" s="458">
        <f>Q53</f>
        <v>0.23499999999999999</v>
      </c>
      <c r="R59" s="417"/>
      <c r="S59" s="457">
        <f>Q59*S56</f>
        <v>52.783964759999982</v>
      </c>
      <c r="T59" s="128"/>
      <c r="U59" s="457">
        <f t="shared" si="74"/>
        <v>1.210250000000002</v>
      </c>
      <c r="V59" s="459">
        <f t="shared" si="75"/>
        <v>2.3466411245184515E-2</v>
      </c>
      <c r="W59" s="52"/>
      <c r="X59" s="458">
        <f>X53</f>
        <v>0.23499999999999999</v>
      </c>
      <c r="Y59" s="417"/>
      <c r="Z59" s="457">
        <f>X59*Z56</f>
        <v>54.250364759999989</v>
      </c>
      <c r="AA59" s="128"/>
      <c r="AB59" s="457">
        <f t="shared" si="76"/>
        <v>1.4664000000000073</v>
      </c>
      <c r="AC59" s="459">
        <f t="shared" si="77"/>
        <v>2.7781164349201262E-2</v>
      </c>
      <c r="AD59" s="52"/>
      <c r="AE59" s="458">
        <f>AE53</f>
        <v>0.23499999999999999</v>
      </c>
      <c r="AF59" s="417"/>
      <c r="AG59" s="457">
        <f>AE59*AG56</f>
        <v>55.387764759999989</v>
      </c>
      <c r="AH59" s="128"/>
      <c r="AI59" s="457">
        <f t="shared" si="78"/>
        <v>1.1373999999999995</v>
      </c>
      <c r="AJ59" s="459">
        <f t="shared" si="79"/>
        <v>2.0965757650326992E-2</v>
      </c>
      <c r="AK59" s="52"/>
      <c r="AL59" s="458">
        <f>AL53</f>
        <v>0.23499999999999999</v>
      </c>
      <c r="AM59" s="417"/>
      <c r="AN59" s="457">
        <f>AL59*AN56</f>
        <v>56.478164759999991</v>
      </c>
      <c r="AO59" s="128"/>
      <c r="AP59" s="457">
        <f t="shared" si="80"/>
        <v>1.0904000000000025</v>
      </c>
      <c r="AQ59" s="459">
        <f t="shared" si="81"/>
        <v>1.968665832110757E-2</v>
      </c>
      <c r="AR59" s="460"/>
    </row>
    <row r="60" spans="1:44" ht="12" customHeight="1">
      <c r="A60" s="52"/>
      <c r="B60" s="627" t="s">
        <v>321</v>
      </c>
      <c r="C60" s="613"/>
      <c r="D60" s="613"/>
      <c r="E60" s="461"/>
      <c r="F60" s="469"/>
      <c r="G60" s="495"/>
      <c r="H60" s="496">
        <f>H58-H59</f>
        <v>188.93459487000001</v>
      </c>
      <c r="I60" s="470"/>
      <c r="J60" s="469"/>
      <c r="K60" s="470"/>
      <c r="L60" s="471">
        <f>L58-L59</f>
        <v>196.41904131999996</v>
      </c>
      <c r="M60" s="472"/>
      <c r="N60" s="473">
        <f t="shared" si="72"/>
        <v>7.4844464499999503</v>
      </c>
      <c r="O60" s="474">
        <f t="shared" si="73"/>
        <v>3.9613954528284055E-2</v>
      </c>
      <c r="P60" s="52"/>
      <c r="Q60" s="470"/>
      <c r="R60" s="470"/>
      <c r="S60" s="471">
        <f>S58-S59</f>
        <v>201.02829131999997</v>
      </c>
      <c r="T60" s="472"/>
      <c r="U60" s="473">
        <f t="shared" si="74"/>
        <v>4.609250000000003</v>
      </c>
      <c r="V60" s="474">
        <f t="shared" si="75"/>
        <v>2.3466411245184483E-2</v>
      </c>
      <c r="W60" s="52"/>
      <c r="X60" s="470"/>
      <c r="Y60" s="470"/>
      <c r="Z60" s="471">
        <f>Z58-Z59</f>
        <v>206.61309131999994</v>
      </c>
      <c r="AA60" s="472"/>
      <c r="AB60" s="473">
        <f t="shared" si="76"/>
        <v>5.5847999999999729</v>
      </c>
      <c r="AC60" s="474">
        <f t="shared" si="77"/>
        <v>2.7781164349200985E-2</v>
      </c>
      <c r="AD60" s="52"/>
      <c r="AE60" s="470"/>
      <c r="AF60" s="470"/>
      <c r="AG60" s="471">
        <f>AG58-AG59</f>
        <v>210.94489131999995</v>
      </c>
      <c r="AH60" s="472"/>
      <c r="AI60" s="473">
        <f t="shared" si="78"/>
        <v>4.3318000000000154</v>
      </c>
      <c r="AJ60" s="474">
        <f t="shared" si="79"/>
        <v>2.0965757650327075E-2</v>
      </c>
      <c r="AK60" s="52"/>
      <c r="AL60" s="470"/>
      <c r="AM60" s="470"/>
      <c r="AN60" s="471">
        <f>AN58-AN59</f>
        <v>215.09769132</v>
      </c>
      <c r="AO60" s="472"/>
      <c r="AP60" s="473">
        <f t="shared" si="80"/>
        <v>4.1528000000000418</v>
      </c>
      <c r="AQ60" s="474">
        <f t="shared" si="81"/>
        <v>1.9686658321107726E-2</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200-000000000000}">
      <formula1>"TOU,non-TOU"</formula1>
    </dataValidation>
    <dataValidation type="list" allowBlank="1" showErrorMessage="1" sqref="E15:E28 E30:E36 E38:E39 E41:E49 E55 E61" xr:uid="{00000000-0002-0000-1200-000001000000}">
      <formula1>#REF!</formula1>
    </dataValidation>
    <dataValidation type="list" allowBlank="1" showInputMessage="1" showErrorMessage="1" prompt="Select Charge Unit - monthly, per kWh, per kW" sqref="D15:D28 D30:D36 D38:D39 D41:D49 D55 D61" xr:uid="{00000000-0002-0000-1200-000002000000}">
      <formula1>"Monthly,per kWh,per kW"</formula1>
    </dataValidation>
  </dataValidations>
  <pageMargins left="0.74803149606299213" right="0.74803149606299213" top="0.98425196850393704" bottom="0.98425196850393704"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D1"/>
    </sheetView>
  </sheetViews>
  <sheetFormatPr defaultColWidth="12.5703125" defaultRowHeight="15" customHeight="1"/>
  <cols>
    <col min="1" max="1" width="62.7109375" customWidth="1"/>
    <col min="2" max="2" width="3.28515625" customWidth="1"/>
    <col min="3" max="3" width="10.42578125" customWidth="1"/>
    <col min="4" max="4" width="9.42578125" customWidth="1"/>
    <col min="5" max="24" width="9.140625" customWidth="1"/>
  </cols>
  <sheetData>
    <row r="1" spans="1:26" ht="23.25" customHeight="1">
      <c r="A1" s="597" t="s">
        <v>26</v>
      </c>
      <c r="B1" s="595"/>
      <c r="C1" s="595"/>
      <c r="D1" s="596"/>
      <c r="E1" s="53"/>
      <c r="F1" s="53"/>
      <c r="G1" s="53"/>
      <c r="H1" s="53"/>
      <c r="I1" s="53"/>
      <c r="J1" s="53"/>
      <c r="K1" s="53"/>
      <c r="L1" s="53"/>
      <c r="M1" s="53"/>
      <c r="N1" s="53"/>
      <c r="O1" s="53"/>
      <c r="P1" s="53"/>
      <c r="Q1" s="53"/>
      <c r="R1" s="53"/>
      <c r="S1" s="53"/>
      <c r="T1" s="53"/>
      <c r="U1" s="53"/>
      <c r="V1" s="53"/>
      <c r="W1" s="53"/>
      <c r="X1" s="53"/>
      <c r="Y1" s="53"/>
      <c r="Z1" s="53"/>
    </row>
    <row r="2" spans="1:26" ht="18" customHeight="1">
      <c r="A2" s="598" t="s">
        <v>27</v>
      </c>
      <c r="B2" s="595"/>
      <c r="C2" s="595"/>
      <c r="D2" s="596"/>
      <c r="E2" s="53"/>
      <c r="F2" s="53"/>
      <c r="G2" s="53"/>
      <c r="H2" s="53"/>
      <c r="I2" s="53"/>
      <c r="J2" s="53"/>
      <c r="K2" s="53"/>
      <c r="L2" s="53"/>
      <c r="M2" s="53"/>
      <c r="N2" s="53"/>
      <c r="O2" s="53"/>
      <c r="P2" s="53"/>
      <c r="Q2" s="53"/>
      <c r="R2" s="53"/>
      <c r="S2" s="53"/>
      <c r="T2" s="53"/>
      <c r="U2" s="53"/>
      <c r="V2" s="53"/>
      <c r="W2" s="53"/>
      <c r="X2" s="53"/>
      <c r="Y2" s="53"/>
      <c r="Z2" s="53"/>
    </row>
    <row r="3" spans="1:26" ht="15.75" customHeight="1">
      <c r="A3" s="599" t="s">
        <v>28</v>
      </c>
      <c r="B3" s="595"/>
      <c r="C3" s="595"/>
      <c r="D3" s="596"/>
      <c r="E3" s="53"/>
      <c r="F3" s="53"/>
      <c r="G3" s="53"/>
      <c r="H3" s="53"/>
      <c r="I3" s="53"/>
      <c r="J3" s="53"/>
      <c r="K3" s="53"/>
      <c r="L3" s="53"/>
      <c r="M3" s="53"/>
      <c r="N3" s="53"/>
      <c r="O3" s="53"/>
      <c r="P3" s="53"/>
      <c r="Q3" s="53"/>
      <c r="R3" s="53"/>
      <c r="S3" s="53"/>
      <c r="T3" s="53"/>
      <c r="U3" s="53"/>
      <c r="V3" s="53"/>
      <c r="W3" s="53"/>
      <c r="X3" s="53"/>
      <c r="Y3" s="53"/>
      <c r="Z3" s="53"/>
    </row>
    <row r="4" spans="1:26" ht="11.25" customHeight="1">
      <c r="A4" s="600" t="s">
        <v>29</v>
      </c>
      <c r="B4" s="595"/>
      <c r="C4" s="595"/>
      <c r="D4" s="596"/>
      <c r="E4" s="53"/>
      <c r="F4" s="53"/>
      <c r="G4" s="53"/>
      <c r="H4" s="53"/>
      <c r="I4" s="53"/>
      <c r="J4" s="53"/>
      <c r="K4" s="53"/>
      <c r="L4" s="53"/>
      <c r="M4" s="53"/>
      <c r="N4" s="53"/>
      <c r="O4" s="53"/>
      <c r="P4" s="53"/>
      <c r="Q4" s="53"/>
      <c r="R4" s="53"/>
      <c r="S4" s="53"/>
      <c r="T4" s="53"/>
      <c r="U4" s="53"/>
      <c r="V4" s="53"/>
      <c r="W4" s="53"/>
      <c r="X4" s="53"/>
      <c r="Y4" s="53"/>
      <c r="Z4" s="53"/>
    </row>
    <row r="5" spans="1:26" ht="11.25" customHeight="1">
      <c r="A5" s="600" t="s">
        <v>30</v>
      </c>
      <c r="B5" s="595"/>
      <c r="C5" s="595"/>
      <c r="D5" s="596"/>
      <c r="E5" s="53"/>
      <c r="F5" s="53"/>
      <c r="G5" s="53"/>
      <c r="H5" s="53"/>
      <c r="I5" s="53"/>
      <c r="J5" s="53"/>
      <c r="K5" s="53"/>
      <c r="L5" s="53"/>
      <c r="M5" s="53"/>
      <c r="N5" s="53"/>
      <c r="O5" s="53"/>
      <c r="P5" s="53"/>
      <c r="Q5" s="53"/>
      <c r="R5" s="53"/>
      <c r="S5" s="53"/>
      <c r="T5" s="53"/>
      <c r="U5" s="53"/>
      <c r="V5" s="53"/>
      <c r="W5" s="53"/>
      <c r="X5" s="53"/>
      <c r="Y5" s="53"/>
      <c r="Z5" s="53"/>
    </row>
    <row r="6" spans="1:26" ht="11.25" customHeight="1">
      <c r="A6" s="601" t="s">
        <v>31</v>
      </c>
      <c r="B6" s="595"/>
      <c r="C6" s="595"/>
      <c r="D6" s="596"/>
      <c r="E6" s="53"/>
      <c r="F6" s="53"/>
      <c r="G6" s="53"/>
      <c r="H6" s="53"/>
      <c r="I6" s="53"/>
      <c r="J6" s="53"/>
      <c r="K6" s="53"/>
      <c r="L6" s="53"/>
      <c r="M6" s="53"/>
      <c r="N6" s="53"/>
      <c r="O6" s="53"/>
      <c r="P6" s="53"/>
      <c r="Q6" s="53"/>
      <c r="R6" s="53"/>
      <c r="S6" s="53"/>
      <c r="T6" s="53"/>
      <c r="U6" s="53"/>
      <c r="V6" s="53"/>
      <c r="W6" s="53"/>
      <c r="X6" s="53"/>
      <c r="Y6" s="53"/>
      <c r="Z6" s="53"/>
    </row>
    <row r="7" spans="1:26" ht="18.75" customHeight="1">
      <c r="A7" s="602" t="s">
        <v>32</v>
      </c>
      <c r="B7" s="595"/>
      <c r="C7" s="595"/>
      <c r="D7" s="596"/>
      <c r="E7" s="53"/>
      <c r="F7" s="53"/>
      <c r="G7" s="53"/>
      <c r="H7" s="53"/>
      <c r="I7" s="53"/>
      <c r="J7" s="53"/>
      <c r="K7" s="53"/>
      <c r="L7" s="53"/>
      <c r="M7" s="53"/>
      <c r="N7" s="53"/>
      <c r="O7" s="53"/>
      <c r="P7" s="53"/>
      <c r="Q7" s="53"/>
      <c r="R7" s="53"/>
      <c r="S7" s="53"/>
      <c r="T7" s="53"/>
      <c r="U7" s="53"/>
      <c r="V7" s="53"/>
      <c r="W7" s="53"/>
      <c r="X7" s="53"/>
      <c r="Y7" s="53"/>
      <c r="Z7" s="53"/>
    </row>
    <row r="8" spans="1:26" ht="72" customHeight="1">
      <c r="A8" s="603" t="s">
        <v>33</v>
      </c>
      <c r="B8" s="595"/>
      <c r="C8" s="595"/>
      <c r="D8" s="596"/>
      <c r="E8" s="53"/>
      <c r="F8" s="53"/>
      <c r="G8" s="53"/>
      <c r="H8" s="53"/>
      <c r="I8" s="53"/>
      <c r="J8" s="53"/>
      <c r="K8" s="53"/>
      <c r="L8" s="53"/>
      <c r="M8" s="53"/>
      <c r="N8" s="53"/>
      <c r="O8" s="53"/>
      <c r="P8" s="53"/>
      <c r="Q8" s="53"/>
      <c r="R8" s="53"/>
      <c r="S8" s="53"/>
      <c r="T8" s="53"/>
      <c r="U8" s="53"/>
      <c r="V8" s="53"/>
      <c r="W8" s="53"/>
      <c r="X8" s="53"/>
      <c r="Y8" s="53"/>
      <c r="Z8" s="53"/>
    </row>
    <row r="9" spans="1:26" ht="6.75" customHeight="1">
      <c r="A9" s="54"/>
      <c r="B9" s="54"/>
      <c r="C9" s="54"/>
      <c r="D9" s="55"/>
      <c r="E9" s="53"/>
      <c r="F9" s="53"/>
      <c r="G9" s="53"/>
      <c r="H9" s="53"/>
      <c r="I9" s="53"/>
      <c r="J9" s="53"/>
      <c r="K9" s="53"/>
      <c r="L9" s="53"/>
      <c r="M9" s="53"/>
      <c r="N9" s="53"/>
      <c r="O9" s="53"/>
      <c r="P9" s="53"/>
      <c r="Q9" s="53"/>
      <c r="R9" s="53"/>
      <c r="S9" s="53"/>
      <c r="T9" s="53"/>
      <c r="U9" s="53"/>
      <c r="V9" s="53"/>
      <c r="W9" s="53"/>
      <c r="X9" s="53"/>
      <c r="Y9" s="53"/>
      <c r="Z9" s="53"/>
    </row>
    <row r="10" spans="1:26" ht="11.25" customHeight="1">
      <c r="A10" s="604" t="s">
        <v>34</v>
      </c>
      <c r="B10" s="595"/>
      <c r="C10" s="595"/>
      <c r="D10" s="596"/>
      <c r="E10" s="53"/>
      <c r="F10" s="53"/>
      <c r="G10" s="53"/>
      <c r="H10" s="53"/>
      <c r="I10" s="53"/>
      <c r="J10" s="53"/>
      <c r="K10" s="53"/>
      <c r="L10" s="53"/>
      <c r="M10" s="53"/>
      <c r="N10" s="53"/>
      <c r="O10" s="53"/>
      <c r="P10" s="53"/>
      <c r="Q10" s="53"/>
      <c r="R10" s="53"/>
      <c r="S10" s="53"/>
      <c r="T10" s="53"/>
      <c r="U10" s="53"/>
      <c r="V10" s="53"/>
      <c r="W10" s="53"/>
      <c r="X10" s="53"/>
      <c r="Y10" s="53"/>
      <c r="Z10" s="53"/>
    </row>
    <row r="11" spans="1:26" ht="6.75" customHeight="1">
      <c r="A11" s="56"/>
      <c r="B11" s="57"/>
      <c r="C11" s="57"/>
      <c r="D11" s="58"/>
      <c r="E11" s="53"/>
      <c r="F11" s="53"/>
      <c r="G11" s="53"/>
      <c r="H11" s="53"/>
      <c r="I11" s="53"/>
      <c r="J11" s="53"/>
      <c r="K11" s="53"/>
      <c r="L11" s="53"/>
      <c r="M11" s="53"/>
      <c r="N11" s="53"/>
      <c r="O11" s="53"/>
      <c r="P11" s="53"/>
      <c r="Q11" s="53"/>
      <c r="R11" s="53"/>
      <c r="S11" s="53"/>
      <c r="T11" s="53"/>
      <c r="U11" s="53"/>
      <c r="V11" s="53"/>
      <c r="W11" s="53"/>
      <c r="X11" s="53"/>
      <c r="Y11" s="53"/>
      <c r="Z11" s="53"/>
    </row>
    <row r="12" spans="1:26" ht="36" customHeight="1">
      <c r="A12" s="603" t="s">
        <v>35</v>
      </c>
      <c r="B12" s="595"/>
      <c r="C12" s="595"/>
      <c r="D12" s="596"/>
      <c r="E12" s="53"/>
      <c r="F12" s="53"/>
      <c r="G12" s="53"/>
      <c r="H12" s="53"/>
      <c r="I12" s="53"/>
      <c r="J12" s="53"/>
      <c r="K12" s="53"/>
      <c r="L12" s="53"/>
      <c r="M12" s="53"/>
      <c r="N12" s="53"/>
      <c r="O12" s="53"/>
      <c r="P12" s="53"/>
      <c r="Q12" s="53"/>
      <c r="R12" s="53"/>
      <c r="S12" s="53"/>
      <c r="T12" s="53"/>
      <c r="U12" s="53"/>
      <c r="V12" s="53"/>
      <c r="W12" s="53"/>
      <c r="X12" s="53"/>
      <c r="Y12" s="53"/>
      <c r="Z12" s="53"/>
    </row>
    <row r="13" spans="1:26" ht="6.75" customHeight="1">
      <c r="A13" s="54"/>
      <c r="B13" s="54"/>
      <c r="C13" s="54"/>
      <c r="D13" s="55"/>
      <c r="E13" s="53"/>
      <c r="F13" s="53"/>
      <c r="G13" s="53"/>
      <c r="H13" s="53"/>
      <c r="I13" s="53"/>
      <c r="J13" s="53"/>
      <c r="K13" s="53"/>
      <c r="L13" s="53"/>
      <c r="M13" s="53"/>
      <c r="N13" s="53"/>
      <c r="O13" s="53"/>
      <c r="P13" s="53"/>
      <c r="Q13" s="53"/>
      <c r="R13" s="53"/>
      <c r="S13" s="53"/>
      <c r="T13" s="53"/>
      <c r="U13" s="53"/>
      <c r="V13" s="53"/>
      <c r="W13" s="53"/>
      <c r="X13" s="53"/>
      <c r="Y13" s="53"/>
      <c r="Z13" s="53"/>
    </row>
    <row r="14" spans="1:26" ht="48" customHeight="1">
      <c r="A14" s="603" t="s">
        <v>36</v>
      </c>
      <c r="B14" s="595"/>
      <c r="C14" s="595"/>
      <c r="D14" s="596"/>
      <c r="E14" s="53"/>
      <c r="F14" s="53"/>
      <c r="G14" s="53"/>
      <c r="H14" s="53"/>
      <c r="I14" s="53"/>
      <c r="J14" s="53"/>
      <c r="K14" s="53"/>
      <c r="L14" s="53"/>
      <c r="M14" s="53"/>
      <c r="N14" s="53"/>
      <c r="O14" s="53"/>
      <c r="P14" s="53"/>
      <c r="Q14" s="53"/>
      <c r="R14" s="53"/>
      <c r="S14" s="53"/>
      <c r="T14" s="53"/>
      <c r="U14" s="53"/>
      <c r="V14" s="53"/>
      <c r="W14" s="53"/>
      <c r="X14" s="53"/>
      <c r="Y14" s="53"/>
      <c r="Z14" s="53"/>
    </row>
    <row r="15" spans="1:26" ht="6.75" customHeight="1">
      <c r="A15" s="54"/>
      <c r="B15" s="54"/>
      <c r="C15" s="54"/>
      <c r="D15" s="55"/>
      <c r="E15" s="53"/>
      <c r="F15" s="53"/>
      <c r="G15" s="53"/>
      <c r="H15" s="53"/>
      <c r="I15" s="53"/>
      <c r="J15" s="53"/>
      <c r="K15" s="53"/>
      <c r="L15" s="53"/>
      <c r="M15" s="53"/>
      <c r="N15" s="53"/>
      <c r="O15" s="53"/>
      <c r="P15" s="53"/>
      <c r="Q15" s="53"/>
      <c r="R15" s="53"/>
      <c r="S15" s="53"/>
      <c r="T15" s="53"/>
      <c r="U15" s="53"/>
      <c r="V15" s="53"/>
      <c r="W15" s="53"/>
      <c r="X15" s="53"/>
      <c r="Y15" s="53"/>
      <c r="Z15" s="53"/>
    </row>
    <row r="16" spans="1:26" ht="48" customHeight="1">
      <c r="A16" s="603" t="s">
        <v>37</v>
      </c>
      <c r="B16" s="595"/>
      <c r="C16" s="595"/>
      <c r="D16" s="596"/>
      <c r="E16" s="53"/>
      <c r="F16" s="53"/>
      <c r="G16" s="53"/>
      <c r="H16" s="53"/>
      <c r="I16" s="53"/>
      <c r="J16" s="53"/>
      <c r="K16" s="53"/>
      <c r="L16" s="53"/>
      <c r="M16" s="53"/>
      <c r="N16" s="53"/>
      <c r="O16" s="53"/>
      <c r="P16" s="53"/>
      <c r="Q16" s="53"/>
      <c r="R16" s="53"/>
      <c r="S16" s="53"/>
      <c r="T16" s="53"/>
      <c r="U16" s="53"/>
      <c r="V16" s="53"/>
      <c r="W16" s="53"/>
      <c r="X16" s="53"/>
      <c r="Y16" s="53"/>
      <c r="Z16" s="53"/>
    </row>
    <row r="17" spans="1:26" ht="6.75" customHeight="1">
      <c r="A17" s="54"/>
      <c r="B17" s="54"/>
      <c r="C17" s="54"/>
      <c r="D17" s="55"/>
      <c r="E17" s="53"/>
      <c r="F17" s="53"/>
      <c r="G17" s="53"/>
      <c r="H17" s="53"/>
      <c r="I17" s="53"/>
      <c r="J17" s="53"/>
      <c r="K17" s="53"/>
      <c r="L17" s="53"/>
      <c r="M17" s="53"/>
      <c r="N17" s="53"/>
      <c r="O17" s="53"/>
      <c r="P17" s="53"/>
      <c r="Q17" s="53"/>
      <c r="R17" s="53"/>
      <c r="S17" s="53"/>
      <c r="T17" s="53"/>
      <c r="U17" s="53"/>
      <c r="V17" s="53"/>
      <c r="W17" s="53"/>
      <c r="X17" s="53"/>
      <c r="Y17" s="53"/>
      <c r="Z17" s="53"/>
    </row>
    <row r="18" spans="1:26" ht="36" customHeight="1">
      <c r="A18" s="603" t="s">
        <v>38</v>
      </c>
      <c r="B18" s="595"/>
      <c r="C18" s="595"/>
      <c r="D18" s="596"/>
      <c r="E18" s="53"/>
      <c r="F18" s="53"/>
      <c r="G18" s="53"/>
      <c r="H18" s="53"/>
      <c r="I18" s="53"/>
      <c r="J18" s="53"/>
      <c r="K18" s="53"/>
      <c r="L18" s="53"/>
      <c r="M18" s="53"/>
      <c r="N18" s="53"/>
      <c r="O18" s="53"/>
      <c r="P18" s="53"/>
      <c r="Q18" s="53"/>
      <c r="R18" s="53"/>
      <c r="S18" s="53"/>
      <c r="T18" s="53"/>
      <c r="U18" s="53"/>
      <c r="V18" s="53"/>
      <c r="W18" s="53"/>
      <c r="X18" s="53"/>
      <c r="Y18" s="53"/>
      <c r="Z18" s="53"/>
    </row>
    <row r="19" spans="1:26" ht="6.75" customHeight="1">
      <c r="A19" s="54"/>
      <c r="B19" s="54"/>
      <c r="C19" s="54"/>
      <c r="D19" s="55"/>
      <c r="E19" s="53"/>
      <c r="F19" s="53"/>
      <c r="G19" s="53"/>
      <c r="H19" s="53"/>
      <c r="I19" s="53"/>
      <c r="J19" s="53"/>
      <c r="K19" s="53"/>
      <c r="L19" s="53"/>
      <c r="M19" s="53"/>
      <c r="N19" s="53"/>
      <c r="O19" s="53"/>
      <c r="P19" s="53"/>
      <c r="Q19" s="53"/>
      <c r="R19" s="53"/>
      <c r="S19" s="53"/>
      <c r="T19" s="53"/>
      <c r="U19" s="53"/>
      <c r="V19" s="53"/>
      <c r="W19" s="53"/>
      <c r="X19" s="53"/>
      <c r="Y19" s="53"/>
      <c r="Z19" s="53"/>
    </row>
    <row r="20" spans="1:26" ht="15" customHeight="1">
      <c r="A20" s="594" t="s">
        <v>39</v>
      </c>
      <c r="B20" s="595"/>
      <c r="C20" s="595"/>
      <c r="D20" s="596"/>
      <c r="E20" s="53"/>
      <c r="F20" s="53"/>
      <c r="G20" s="53"/>
      <c r="H20" s="53"/>
      <c r="I20" s="53"/>
      <c r="J20" s="53"/>
      <c r="K20" s="53"/>
      <c r="L20" s="53"/>
      <c r="M20" s="53"/>
      <c r="N20" s="53"/>
      <c r="O20" s="53"/>
      <c r="P20" s="53"/>
      <c r="Q20" s="53"/>
      <c r="R20" s="53"/>
      <c r="S20" s="53"/>
      <c r="T20" s="53"/>
      <c r="U20" s="53"/>
      <c r="V20" s="53"/>
      <c r="W20" s="53"/>
      <c r="X20" s="53"/>
      <c r="Y20" s="53"/>
      <c r="Z20" s="53"/>
    </row>
    <row r="21" spans="1:26" ht="6.75" customHeight="1">
      <c r="A21" s="59"/>
      <c r="B21" s="60"/>
      <c r="C21" s="60"/>
      <c r="D21" s="61"/>
      <c r="E21" s="53"/>
      <c r="F21" s="53"/>
      <c r="G21" s="53"/>
      <c r="H21" s="53"/>
      <c r="I21" s="53"/>
      <c r="J21" s="53"/>
      <c r="K21" s="53"/>
      <c r="L21" s="53"/>
      <c r="M21" s="53"/>
      <c r="N21" s="53"/>
      <c r="O21" s="53"/>
      <c r="P21" s="53"/>
      <c r="Q21" s="53"/>
      <c r="R21" s="53"/>
      <c r="S21" s="53"/>
      <c r="T21" s="53"/>
      <c r="U21" s="53"/>
      <c r="V21" s="53"/>
      <c r="W21" s="53"/>
      <c r="X21" s="53"/>
      <c r="Y21" s="53"/>
      <c r="Z21" s="53"/>
    </row>
    <row r="22" spans="1:26" ht="12" customHeight="1">
      <c r="A22" s="62" t="s">
        <v>40</v>
      </c>
      <c r="B22" s="63"/>
      <c r="C22" s="64" t="s">
        <v>41</v>
      </c>
      <c r="D22" s="65">
        <f>'Proposed Rates'!F8</f>
        <v>41.03</v>
      </c>
      <c r="E22" s="53"/>
      <c r="F22" s="53"/>
      <c r="G22" s="53"/>
      <c r="H22" s="53"/>
      <c r="I22" s="53"/>
      <c r="J22" s="53"/>
      <c r="K22" s="53"/>
      <c r="L22" s="53"/>
      <c r="M22" s="53"/>
      <c r="N22" s="53"/>
      <c r="O22" s="53"/>
      <c r="P22" s="53"/>
      <c r="Q22" s="53"/>
      <c r="R22" s="53"/>
      <c r="S22" s="53"/>
      <c r="T22" s="53"/>
      <c r="U22" s="53"/>
      <c r="V22" s="53"/>
      <c r="W22" s="53"/>
      <c r="X22" s="53"/>
      <c r="Y22" s="53"/>
      <c r="Z22" s="53"/>
    </row>
    <row r="23" spans="1:26" ht="12" customHeight="1">
      <c r="A23" s="62" t="s">
        <v>42</v>
      </c>
      <c r="B23" s="63"/>
      <c r="C23" s="64" t="s">
        <v>41</v>
      </c>
      <c r="D23" s="66">
        <f>'Proposed Rates'!F90</f>
        <v>0</v>
      </c>
      <c r="E23" s="66"/>
      <c r="F23" s="53"/>
      <c r="G23" s="53"/>
      <c r="H23" s="53"/>
      <c r="I23" s="53"/>
      <c r="J23" s="53"/>
      <c r="K23" s="53"/>
      <c r="L23" s="53"/>
      <c r="M23" s="53"/>
      <c r="N23" s="53"/>
      <c r="O23" s="53"/>
      <c r="P23" s="53"/>
      <c r="Q23" s="53"/>
      <c r="R23" s="53"/>
      <c r="S23" s="53"/>
      <c r="T23" s="53"/>
      <c r="U23" s="53"/>
      <c r="V23" s="53"/>
      <c r="W23" s="53"/>
      <c r="X23" s="53"/>
      <c r="Y23" s="53"/>
      <c r="Z23" s="53"/>
    </row>
    <row r="24" spans="1:26" ht="12" customHeight="1">
      <c r="A24" s="62" t="s">
        <v>43</v>
      </c>
      <c r="B24" s="63"/>
      <c r="C24" s="64" t="s">
        <v>41</v>
      </c>
      <c r="D24" s="66">
        <f>'Proposed Rates'!F64</f>
        <v>-0.54</v>
      </c>
      <c r="E24" s="53"/>
      <c r="F24" s="53"/>
      <c r="G24" s="53"/>
      <c r="H24" s="53"/>
      <c r="I24" s="53"/>
      <c r="J24" s="53"/>
      <c r="K24" s="53"/>
      <c r="L24" s="53"/>
      <c r="M24" s="53"/>
      <c r="N24" s="53"/>
      <c r="O24" s="53"/>
      <c r="P24" s="53"/>
      <c r="Q24" s="53"/>
      <c r="R24" s="53"/>
      <c r="S24" s="53"/>
      <c r="T24" s="53"/>
      <c r="U24" s="53"/>
      <c r="V24" s="53"/>
      <c r="W24" s="53"/>
      <c r="X24" s="53"/>
      <c r="Y24" s="53"/>
      <c r="Z24" s="53"/>
    </row>
    <row r="25" spans="1:26" ht="12" customHeight="1">
      <c r="A25" s="62" t="s">
        <v>44</v>
      </c>
      <c r="B25" s="63"/>
      <c r="C25" s="64" t="s">
        <v>41</v>
      </c>
      <c r="D25" s="67">
        <f>'Proposed Rates'!F273</f>
        <v>0.42</v>
      </c>
      <c r="E25" s="53"/>
      <c r="F25" s="53"/>
      <c r="G25" s="53"/>
      <c r="H25" s="53"/>
      <c r="I25" s="53"/>
      <c r="J25" s="53"/>
      <c r="K25" s="53"/>
      <c r="L25" s="53"/>
      <c r="M25" s="53"/>
      <c r="N25" s="53"/>
      <c r="O25" s="53"/>
      <c r="P25" s="53"/>
      <c r="Q25" s="53"/>
      <c r="R25" s="53"/>
      <c r="S25" s="53"/>
      <c r="T25" s="53"/>
      <c r="U25" s="53"/>
      <c r="V25" s="53"/>
      <c r="W25" s="53"/>
      <c r="X25" s="53"/>
      <c r="Y25" s="53"/>
      <c r="Z25" s="53"/>
    </row>
    <row r="26" spans="1:26" ht="12" customHeight="1">
      <c r="A26" s="62" t="s">
        <v>45</v>
      </c>
      <c r="B26" s="63"/>
      <c r="C26" s="64" t="s">
        <v>46</v>
      </c>
      <c r="D26" s="68">
        <f>'Proposed Rates'!F260</f>
        <v>6.9999999999999994E-5</v>
      </c>
      <c r="E26" s="53"/>
      <c r="F26" s="53"/>
      <c r="G26" s="53"/>
      <c r="H26" s="53"/>
      <c r="I26" s="53"/>
      <c r="J26" s="53"/>
      <c r="K26" s="53"/>
      <c r="L26" s="53"/>
      <c r="M26" s="53"/>
      <c r="N26" s="53"/>
      <c r="O26" s="53"/>
      <c r="P26" s="53"/>
      <c r="Q26" s="53"/>
      <c r="R26" s="53"/>
      <c r="S26" s="53"/>
      <c r="T26" s="53"/>
      <c r="U26" s="53"/>
      <c r="V26" s="53"/>
      <c r="W26" s="53"/>
      <c r="X26" s="53"/>
      <c r="Y26" s="53"/>
      <c r="Z26" s="53"/>
    </row>
    <row r="27" spans="1:26" ht="12" customHeight="1">
      <c r="A27" s="62" t="s">
        <v>47</v>
      </c>
      <c r="B27" s="63"/>
      <c r="C27" s="64" t="s">
        <v>46</v>
      </c>
      <c r="D27" s="66">
        <f>'Proposed Rates'!F37</f>
        <v>-5.9999999999999995E-4</v>
      </c>
      <c r="E27" s="53"/>
      <c r="F27" s="53"/>
      <c r="G27" s="53"/>
      <c r="H27" s="53"/>
      <c r="I27" s="53"/>
      <c r="J27" s="53"/>
      <c r="K27" s="53"/>
      <c r="L27" s="53"/>
      <c r="M27" s="53"/>
      <c r="N27" s="53"/>
      <c r="O27" s="53"/>
      <c r="P27" s="53"/>
      <c r="Q27" s="53"/>
      <c r="R27" s="53"/>
      <c r="S27" s="53"/>
      <c r="T27" s="53"/>
      <c r="U27" s="53"/>
      <c r="V27" s="53"/>
      <c r="W27" s="53"/>
      <c r="X27" s="53"/>
      <c r="Y27" s="53"/>
      <c r="Z27" s="53"/>
    </row>
    <row r="28" spans="1:26" ht="12" customHeight="1">
      <c r="A28" s="62" t="s">
        <v>48</v>
      </c>
      <c r="B28" s="63"/>
      <c r="C28" s="64" t="s">
        <v>46</v>
      </c>
      <c r="D28" s="66">
        <f>'Proposed Rates'!F142</f>
        <v>4.4999999999999997E-3</v>
      </c>
      <c r="E28" s="53"/>
      <c r="F28" s="53"/>
      <c r="G28" s="53"/>
      <c r="H28" s="53"/>
      <c r="I28" s="53"/>
      <c r="J28" s="53"/>
      <c r="K28" s="53"/>
      <c r="L28" s="53"/>
      <c r="M28" s="53"/>
      <c r="N28" s="53"/>
      <c r="O28" s="53"/>
      <c r="P28" s="53"/>
      <c r="Q28" s="53"/>
      <c r="R28" s="53"/>
      <c r="S28" s="53"/>
      <c r="T28" s="53"/>
      <c r="U28" s="53"/>
      <c r="V28" s="53"/>
      <c r="W28" s="53"/>
      <c r="X28" s="53"/>
      <c r="Y28" s="53"/>
      <c r="Z28" s="53"/>
    </row>
    <row r="29" spans="1:26" ht="12" customHeight="1">
      <c r="A29" s="62" t="s">
        <v>49</v>
      </c>
      <c r="B29" s="63"/>
      <c r="C29" s="64" t="s">
        <v>46</v>
      </c>
      <c r="D29" s="66">
        <f>'Proposed Rates'!F183</f>
        <v>1.38E-2</v>
      </c>
      <c r="E29" s="53"/>
      <c r="F29" s="53"/>
      <c r="G29" s="53"/>
      <c r="H29" s="53"/>
      <c r="I29" s="53"/>
      <c r="J29" s="53"/>
      <c r="K29" s="53"/>
      <c r="L29" s="53"/>
      <c r="M29" s="53"/>
      <c r="N29" s="53"/>
      <c r="O29" s="53"/>
      <c r="P29" s="53"/>
      <c r="Q29" s="53"/>
      <c r="R29" s="53"/>
      <c r="S29" s="53"/>
      <c r="T29" s="53"/>
      <c r="U29" s="53"/>
      <c r="V29" s="53"/>
      <c r="W29" s="53"/>
      <c r="X29" s="53"/>
      <c r="Y29" s="53"/>
      <c r="Z29" s="53"/>
    </row>
    <row r="30" spans="1:26" ht="12" customHeight="1">
      <c r="A30" s="62" t="s">
        <v>50</v>
      </c>
      <c r="B30" s="63"/>
      <c r="C30" s="64" t="s">
        <v>46</v>
      </c>
      <c r="D30" s="66">
        <f>'Proposed Rates'!F196</f>
        <v>7.7999999999999996E-3</v>
      </c>
      <c r="E30" s="53"/>
      <c r="F30" s="53"/>
      <c r="G30" s="53"/>
      <c r="H30" s="53"/>
      <c r="I30" s="53"/>
      <c r="J30" s="53"/>
      <c r="K30" s="53"/>
      <c r="L30" s="53"/>
      <c r="M30" s="53"/>
      <c r="N30" s="53"/>
      <c r="O30" s="53"/>
      <c r="P30" s="53"/>
      <c r="Q30" s="53"/>
      <c r="R30" s="53"/>
      <c r="S30" s="53"/>
      <c r="T30" s="53"/>
      <c r="U30" s="53"/>
      <c r="V30" s="53"/>
      <c r="W30" s="53"/>
      <c r="X30" s="53"/>
      <c r="Y30" s="53"/>
      <c r="Z30" s="53"/>
    </row>
    <row r="31" spans="1:26" ht="6.75" customHeight="1">
      <c r="A31" s="64"/>
      <c r="B31" s="64"/>
      <c r="C31" s="64"/>
      <c r="D31" s="69"/>
      <c r="E31" s="53"/>
      <c r="F31" s="53"/>
      <c r="G31" s="53"/>
      <c r="H31" s="53"/>
      <c r="I31" s="53"/>
      <c r="J31" s="53"/>
      <c r="K31" s="53"/>
      <c r="L31" s="53"/>
      <c r="M31" s="53"/>
      <c r="N31" s="53"/>
      <c r="O31" s="53"/>
      <c r="P31" s="53"/>
      <c r="Q31" s="53"/>
      <c r="R31" s="53"/>
      <c r="S31" s="53"/>
      <c r="T31" s="53"/>
      <c r="U31" s="53"/>
      <c r="V31" s="53"/>
      <c r="W31" s="53"/>
      <c r="X31" s="53"/>
      <c r="Y31" s="53"/>
      <c r="Z31" s="53"/>
    </row>
    <row r="32" spans="1:26" ht="15" customHeight="1">
      <c r="A32" s="70" t="s">
        <v>51</v>
      </c>
      <c r="B32" s="63"/>
      <c r="C32" s="64"/>
      <c r="D32" s="69"/>
      <c r="E32" s="53"/>
      <c r="F32" s="53"/>
      <c r="G32" s="53"/>
      <c r="H32" s="53"/>
      <c r="I32" s="53"/>
      <c r="J32" s="53"/>
      <c r="K32" s="53"/>
      <c r="L32" s="53"/>
      <c r="M32" s="53"/>
      <c r="N32" s="53"/>
      <c r="O32" s="53"/>
      <c r="P32" s="53"/>
      <c r="Q32" s="53"/>
      <c r="R32" s="53"/>
      <c r="S32" s="53"/>
      <c r="T32" s="53"/>
      <c r="U32" s="53"/>
      <c r="V32" s="53"/>
      <c r="W32" s="53"/>
      <c r="X32" s="53"/>
      <c r="Y32" s="53"/>
      <c r="Z32" s="53"/>
    </row>
    <row r="33" spans="1:26" ht="6.75" customHeight="1">
      <c r="A33" s="59"/>
      <c r="B33" s="64"/>
      <c r="C33" s="64"/>
      <c r="D33" s="69"/>
      <c r="E33" s="53"/>
      <c r="F33" s="53"/>
      <c r="G33" s="53"/>
      <c r="H33" s="53"/>
      <c r="I33" s="53"/>
      <c r="J33" s="53"/>
      <c r="K33" s="53"/>
      <c r="L33" s="53"/>
      <c r="M33" s="53"/>
      <c r="N33" s="53"/>
      <c r="O33" s="53"/>
      <c r="P33" s="53"/>
      <c r="Q33" s="53"/>
      <c r="R33" s="53"/>
      <c r="S33" s="53"/>
      <c r="T33" s="53"/>
      <c r="U33" s="53"/>
      <c r="V33" s="53"/>
      <c r="W33" s="53"/>
      <c r="X33" s="53"/>
      <c r="Y33" s="53"/>
      <c r="Z33" s="53"/>
    </row>
    <row r="34" spans="1:26" ht="12" customHeight="1">
      <c r="A34" s="62" t="s">
        <v>52</v>
      </c>
      <c r="B34" s="63"/>
      <c r="C34" s="64" t="s">
        <v>46</v>
      </c>
      <c r="D34" s="66">
        <v>4.1000000000000003E-3</v>
      </c>
      <c r="E34" s="53"/>
      <c r="F34" s="53"/>
      <c r="G34" s="53"/>
      <c r="H34" s="53"/>
      <c r="I34" s="53"/>
      <c r="J34" s="53"/>
      <c r="K34" s="53"/>
      <c r="L34" s="53"/>
      <c r="M34" s="53"/>
      <c r="N34" s="53"/>
      <c r="O34" s="53"/>
      <c r="P34" s="53"/>
      <c r="Q34" s="53"/>
      <c r="R34" s="53"/>
      <c r="S34" s="53"/>
      <c r="T34" s="53"/>
      <c r="U34" s="53"/>
      <c r="V34" s="53"/>
      <c r="W34" s="53"/>
      <c r="X34" s="53"/>
      <c r="Y34" s="53"/>
      <c r="Z34" s="53"/>
    </row>
    <row r="35" spans="1:26" ht="12" customHeight="1">
      <c r="A35" s="62" t="s">
        <v>53</v>
      </c>
      <c r="B35" s="63"/>
      <c r="C35" s="64" t="s">
        <v>46</v>
      </c>
      <c r="D35" s="66">
        <f>'Proposed Rates'!F209-'2026'!D34</f>
        <v>3.9999999999999931E-4</v>
      </c>
      <c r="E35" s="53"/>
      <c r="F35" s="53"/>
      <c r="G35" s="53"/>
      <c r="H35" s="53"/>
      <c r="I35" s="53"/>
      <c r="J35" s="53"/>
      <c r="K35" s="53"/>
      <c r="L35" s="53"/>
      <c r="M35" s="53"/>
      <c r="N35" s="53"/>
      <c r="O35" s="53"/>
      <c r="P35" s="53"/>
      <c r="Q35" s="53"/>
      <c r="R35" s="53"/>
      <c r="S35" s="53"/>
      <c r="T35" s="53"/>
      <c r="U35" s="53"/>
      <c r="V35" s="53"/>
      <c r="W35" s="53"/>
      <c r="X35" s="53"/>
      <c r="Y35" s="53"/>
      <c r="Z35" s="53"/>
    </row>
    <row r="36" spans="1:26" ht="12" customHeight="1">
      <c r="A36" s="62" t="s">
        <v>54</v>
      </c>
      <c r="B36" s="63"/>
      <c r="C36" s="64" t="s">
        <v>46</v>
      </c>
      <c r="D36" s="66">
        <f>'Proposed Rates'!F222</f>
        <v>1.5E-3</v>
      </c>
      <c r="E36" s="53"/>
      <c r="F36" s="53"/>
      <c r="G36" s="53"/>
      <c r="H36" s="53"/>
      <c r="I36" s="53"/>
      <c r="J36" s="53"/>
      <c r="K36" s="53"/>
      <c r="L36" s="53"/>
      <c r="M36" s="53"/>
      <c r="N36" s="53"/>
      <c r="O36" s="53"/>
      <c r="P36" s="53"/>
      <c r="Q36" s="53"/>
      <c r="R36" s="53"/>
      <c r="S36" s="53"/>
      <c r="T36" s="53"/>
      <c r="U36" s="53"/>
      <c r="V36" s="53"/>
      <c r="W36" s="53"/>
      <c r="X36" s="53"/>
      <c r="Y36" s="53"/>
      <c r="Z36" s="53"/>
    </row>
    <row r="37" spans="1:26" ht="12" customHeight="1">
      <c r="A37" s="62" t="s">
        <v>55</v>
      </c>
      <c r="B37" s="63"/>
      <c r="C37" s="64" t="s">
        <v>41</v>
      </c>
      <c r="D37" s="66">
        <f>'Proposed Rates'!F236</f>
        <v>1.51</v>
      </c>
      <c r="E37" s="53"/>
      <c r="F37" s="53"/>
      <c r="G37" s="53"/>
      <c r="H37" s="53"/>
      <c r="I37" s="53"/>
      <c r="J37" s="53"/>
      <c r="K37" s="53"/>
      <c r="L37" s="53"/>
      <c r="M37" s="53"/>
      <c r="N37" s="53"/>
      <c r="O37" s="53"/>
      <c r="P37" s="53"/>
      <c r="Q37" s="53"/>
      <c r="R37" s="53"/>
      <c r="S37" s="53"/>
      <c r="T37" s="53"/>
      <c r="U37" s="53"/>
      <c r="V37" s="53"/>
      <c r="W37" s="53"/>
      <c r="X37" s="53"/>
      <c r="Y37" s="53"/>
      <c r="Z37" s="53"/>
    </row>
    <row r="38" spans="1:26" ht="6" customHeight="1">
      <c r="A38" s="62"/>
      <c r="B38" s="63"/>
      <c r="C38" s="64"/>
      <c r="D38" s="69"/>
      <c r="E38" s="53"/>
      <c r="F38" s="53"/>
      <c r="G38" s="53"/>
      <c r="H38" s="53"/>
      <c r="I38" s="53"/>
      <c r="J38" s="53"/>
      <c r="K38" s="53"/>
      <c r="L38" s="53"/>
      <c r="M38" s="53"/>
      <c r="N38" s="53"/>
      <c r="O38" s="53"/>
      <c r="P38" s="53"/>
      <c r="Q38" s="53"/>
      <c r="R38" s="53"/>
      <c r="S38" s="53"/>
      <c r="T38" s="53"/>
      <c r="U38" s="53"/>
      <c r="V38" s="53"/>
      <c r="W38" s="53"/>
      <c r="X38" s="53"/>
      <c r="Y38" s="53"/>
      <c r="Z38" s="53"/>
    </row>
    <row r="39" spans="1:26" ht="23.25" customHeight="1">
      <c r="A39" s="597" t="str">
        <f t="shared" ref="A39:A44" si="0">A1</f>
        <v>Hydro Ottawa Limited</v>
      </c>
      <c r="B39" s="595"/>
      <c r="C39" s="595"/>
      <c r="D39" s="596"/>
      <c r="E39" s="53"/>
      <c r="F39" s="53"/>
      <c r="G39" s="53"/>
      <c r="H39" s="53"/>
      <c r="I39" s="53"/>
      <c r="J39" s="53"/>
      <c r="K39" s="53"/>
      <c r="L39" s="53"/>
      <c r="M39" s="53"/>
      <c r="N39" s="53"/>
      <c r="O39" s="53"/>
      <c r="P39" s="53"/>
      <c r="Q39" s="53"/>
      <c r="R39" s="53"/>
      <c r="S39" s="53"/>
      <c r="T39" s="53"/>
      <c r="U39" s="53"/>
      <c r="V39" s="53"/>
      <c r="W39" s="53"/>
      <c r="X39" s="53"/>
      <c r="Y39" s="53"/>
      <c r="Z39" s="53"/>
    </row>
    <row r="40" spans="1:26" ht="18" customHeight="1">
      <c r="A40" s="598" t="str">
        <f t="shared" si="0"/>
        <v>PROPOSED - TARIFF OF RATES AND CHARGES</v>
      </c>
      <c r="B40" s="595"/>
      <c r="C40" s="595"/>
      <c r="D40" s="596"/>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99" t="str">
        <f t="shared" si="0"/>
        <v>Effective and Implementation Date January 1, 2026</v>
      </c>
      <c r="B41" s="595"/>
      <c r="C41" s="595"/>
      <c r="D41" s="596"/>
      <c r="E41" s="53"/>
      <c r="F41" s="53"/>
      <c r="G41" s="53"/>
      <c r="H41" s="53"/>
      <c r="I41" s="53"/>
      <c r="J41" s="53"/>
      <c r="K41" s="53"/>
      <c r="L41" s="53"/>
      <c r="M41" s="53"/>
      <c r="N41" s="53"/>
      <c r="O41" s="53"/>
      <c r="P41" s="53"/>
      <c r="Q41" s="53"/>
      <c r="R41" s="53"/>
      <c r="S41" s="53"/>
      <c r="T41" s="53"/>
      <c r="U41" s="53"/>
      <c r="V41" s="53"/>
      <c r="W41" s="53"/>
      <c r="X41" s="53"/>
      <c r="Y41" s="53"/>
      <c r="Z41" s="53"/>
    </row>
    <row r="42" spans="1:26" ht="11.25" customHeight="1">
      <c r="A42" s="600" t="str">
        <f t="shared" si="0"/>
        <v>This schedule supersedes and replaces all previously</v>
      </c>
      <c r="B42" s="595"/>
      <c r="C42" s="595"/>
      <c r="D42" s="596"/>
      <c r="E42" s="53"/>
      <c r="F42" s="53"/>
      <c r="G42" s="53"/>
      <c r="H42" s="53"/>
      <c r="I42" s="53"/>
      <c r="J42" s="53"/>
      <c r="K42" s="53"/>
      <c r="L42" s="53"/>
      <c r="M42" s="53"/>
      <c r="N42" s="53"/>
      <c r="O42" s="53"/>
      <c r="P42" s="53"/>
      <c r="Q42" s="53"/>
      <c r="R42" s="53"/>
      <c r="S42" s="53"/>
      <c r="T42" s="53"/>
      <c r="U42" s="53"/>
      <c r="V42" s="53"/>
      <c r="W42" s="53"/>
      <c r="X42" s="53"/>
      <c r="Y42" s="53"/>
      <c r="Z42" s="53"/>
    </row>
    <row r="43" spans="1:26" ht="11.25" customHeight="1">
      <c r="A43" s="600" t="str">
        <f t="shared" si="0"/>
        <v>approved schedules of Rates, Charges and Loss Factors</v>
      </c>
      <c r="B43" s="595"/>
      <c r="C43" s="595"/>
      <c r="D43" s="596"/>
      <c r="E43" s="53"/>
      <c r="F43" s="53"/>
      <c r="G43" s="53"/>
      <c r="H43" s="53"/>
      <c r="I43" s="53"/>
      <c r="J43" s="53"/>
      <c r="K43" s="53"/>
      <c r="L43" s="53"/>
      <c r="M43" s="53"/>
      <c r="N43" s="53"/>
      <c r="O43" s="53"/>
      <c r="P43" s="53"/>
      <c r="Q43" s="53"/>
      <c r="R43" s="53"/>
      <c r="S43" s="53"/>
      <c r="T43" s="53"/>
      <c r="U43" s="53"/>
      <c r="V43" s="53"/>
      <c r="W43" s="53"/>
      <c r="X43" s="53"/>
      <c r="Y43" s="53"/>
      <c r="Z43" s="53"/>
    </row>
    <row r="44" spans="1:26" ht="11.25" customHeight="1">
      <c r="A44" s="601" t="str">
        <f t="shared" si="0"/>
        <v>EB-2024-0115</v>
      </c>
      <c r="B44" s="595"/>
      <c r="C44" s="595"/>
      <c r="D44" s="596"/>
      <c r="E44" s="53"/>
      <c r="F44" s="53"/>
      <c r="G44" s="53"/>
      <c r="H44" s="53"/>
      <c r="I44" s="53"/>
      <c r="J44" s="53"/>
      <c r="K44" s="53"/>
      <c r="L44" s="53"/>
      <c r="M44" s="53"/>
      <c r="N44" s="53"/>
      <c r="O44" s="53"/>
      <c r="P44" s="53"/>
      <c r="Q44" s="53"/>
      <c r="R44" s="53"/>
      <c r="S44" s="53"/>
      <c r="T44" s="53"/>
      <c r="U44" s="53"/>
      <c r="V44" s="53"/>
      <c r="W44" s="53"/>
      <c r="X44" s="53"/>
      <c r="Y44" s="53"/>
      <c r="Z44" s="53"/>
    </row>
    <row r="45" spans="1:26" ht="18.75" customHeight="1">
      <c r="A45" s="602" t="s">
        <v>56</v>
      </c>
      <c r="B45" s="595"/>
      <c r="C45" s="595"/>
      <c r="D45" s="596"/>
      <c r="E45" s="71"/>
      <c r="F45" s="71"/>
      <c r="G45" s="71"/>
      <c r="H45" s="71"/>
      <c r="I45" s="71"/>
      <c r="J45" s="71"/>
      <c r="K45" s="71"/>
      <c r="L45" s="71"/>
      <c r="M45" s="71"/>
      <c r="N45" s="71"/>
      <c r="O45" s="71"/>
      <c r="P45" s="71"/>
      <c r="Q45" s="71"/>
      <c r="R45" s="71"/>
      <c r="S45" s="71"/>
      <c r="T45" s="71"/>
      <c r="U45" s="71"/>
      <c r="V45" s="71"/>
      <c r="W45" s="71"/>
      <c r="X45" s="71"/>
      <c r="Y45" s="71"/>
      <c r="Z45" s="71"/>
    </row>
    <row r="46" spans="1:26" ht="48" customHeight="1">
      <c r="A46" s="603" t="s">
        <v>57</v>
      </c>
      <c r="B46" s="595"/>
      <c r="C46" s="595"/>
      <c r="D46" s="596"/>
      <c r="E46" s="53"/>
      <c r="F46" s="53"/>
      <c r="G46" s="53"/>
      <c r="H46" s="53"/>
      <c r="I46" s="53"/>
      <c r="J46" s="53"/>
      <c r="K46" s="53"/>
      <c r="L46" s="53"/>
      <c r="M46" s="53"/>
      <c r="N46" s="53"/>
      <c r="O46" s="53"/>
      <c r="P46" s="53"/>
      <c r="Q46" s="53"/>
      <c r="R46" s="53"/>
      <c r="S46" s="53"/>
      <c r="T46" s="53"/>
      <c r="U46" s="53"/>
      <c r="V46" s="53"/>
      <c r="W46" s="53"/>
      <c r="X46" s="53"/>
      <c r="Y46" s="53"/>
      <c r="Z46" s="53"/>
    </row>
    <row r="47" spans="1:26" ht="6.75" customHeight="1">
      <c r="A47" s="54"/>
      <c r="B47" s="54"/>
      <c r="C47" s="54"/>
      <c r="D47" s="55"/>
      <c r="E47" s="53"/>
      <c r="F47" s="53"/>
      <c r="G47" s="53"/>
      <c r="H47" s="53"/>
      <c r="I47" s="53"/>
      <c r="J47" s="53"/>
      <c r="K47" s="53"/>
      <c r="L47" s="53"/>
      <c r="M47" s="53"/>
      <c r="N47" s="53"/>
      <c r="O47" s="53"/>
      <c r="P47" s="53"/>
      <c r="Q47" s="53"/>
      <c r="R47" s="53"/>
      <c r="S47" s="53"/>
      <c r="T47" s="53"/>
      <c r="U47" s="53"/>
      <c r="V47" s="53"/>
      <c r="W47" s="53"/>
      <c r="X47" s="53"/>
      <c r="Y47" s="53"/>
      <c r="Z47" s="53"/>
    </row>
    <row r="48" spans="1:26" ht="11.25" customHeight="1">
      <c r="A48" s="604" t="s">
        <v>34</v>
      </c>
      <c r="B48" s="595"/>
      <c r="C48" s="595"/>
      <c r="D48" s="596"/>
      <c r="E48" s="53"/>
      <c r="F48" s="53"/>
      <c r="G48" s="53"/>
      <c r="H48" s="53"/>
      <c r="I48" s="53"/>
      <c r="J48" s="53"/>
      <c r="K48" s="53"/>
      <c r="L48" s="53"/>
      <c r="M48" s="53"/>
      <c r="N48" s="53"/>
      <c r="O48" s="53"/>
      <c r="P48" s="53"/>
      <c r="Q48" s="53"/>
      <c r="R48" s="53"/>
      <c r="S48" s="53"/>
      <c r="T48" s="53"/>
      <c r="U48" s="53"/>
      <c r="V48" s="53"/>
      <c r="W48" s="53"/>
      <c r="X48" s="53"/>
      <c r="Y48" s="53"/>
      <c r="Z48" s="53"/>
    </row>
    <row r="49" spans="1:26" ht="6.75" customHeight="1">
      <c r="A49" s="56"/>
      <c r="B49" s="57"/>
      <c r="C49" s="57"/>
      <c r="D49" s="58"/>
      <c r="E49" s="53"/>
      <c r="F49" s="53"/>
      <c r="G49" s="53"/>
      <c r="H49" s="53"/>
      <c r="I49" s="53"/>
      <c r="J49" s="53"/>
      <c r="K49" s="53"/>
      <c r="L49" s="53"/>
      <c r="M49" s="53"/>
      <c r="N49" s="53"/>
      <c r="O49" s="53"/>
      <c r="P49" s="53"/>
      <c r="Q49" s="53"/>
      <c r="R49" s="53"/>
      <c r="S49" s="53"/>
      <c r="T49" s="53"/>
      <c r="U49" s="53"/>
      <c r="V49" s="53"/>
      <c r="W49" s="53"/>
      <c r="X49" s="53"/>
      <c r="Y49" s="53"/>
      <c r="Z49" s="53"/>
    </row>
    <row r="50" spans="1:26" ht="36" customHeight="1">
      <c r="A50" s="603" t="s">
        <v>35</v>
      </c>
      <c r="B50" s="595"/>
      <c r="C50" s="595"/>
      <c r="D50" s="596"/>
      <c r="E50" s="53"/>
      <c r="F50" s="53"/>
      <c r="G50" s="53"/>
      <c r="H50" s="53"/>
      <c r="I50" s="53"/>
      <c r="J50" s="53"/>
      <c r="K50" s="53"/>
      <c r="L50" s="53"/>
      <c r="M50" s="53"/>
      <c r="N50" s="53"/>
      <c r="O50" s="53"/>
      <c r="P50" s="53"/>
      <c r="Q50" s="53"/>
      <c r="R50" s="53"/>
      <c r="S50" s="53"/>
      <c r="T50" s="53"/>
      <c r="U50" s="53"/>
      <c r="V50" s="53"/>
      <c r="W50" s="53"/>
      <c r="X50" s="53"/>
      <c r="Y50" s="53"/>
      <c r="Z50" s="53"/>
    </row>
    <row r="51" spans="1:26" ht="6.75" customHeight="1">
      <c r="A51" s="54"/>
      <c r="B51" s="54"/>
      <c r="C51" s="54"/>
      <c r="D51" s="55"/>
      <c r="E51" s="53"/>
      <c r="F51" s="53"/>
      <c r="G51" s="53"/>
      <c r="H51" s="53"/>
      <c r="I51" s="53"/>
      <c r="J51" s="53"/>
      <c r="K51" s="53"/>
      <c r="L51" s="53"/>
      <c r="M51" s="53"/>
      <c r="N51" s="53"/>
      <c r="O51" s="53"/>
      <c r="P51" s="53"/>
      <c r="Q51" s="53"/>
      <c r="R51" s="53"/>
      <c r="S51" s="53"/>
      <c r="T51" s="53"/>
      <c r="U51" s="53"/>
      <c r="V51" s="53"/>
      <c r="W51" s="53"/>
      <c r="X51" s="53"/>
      <c r="Y51" s="53"/>
      <c r="Z51" s="53"/>
    </row>
    <row r="52" spans="1:26" ht="48" customHeight="1">
      <c r="A52" s="603" t="s">
        <v>36</v>
      </c>
      <c r="B52" s="595"/>
      <c r="C52" s="595"/>
      <c r="D52" s="596"/>
      <c r="E52" s="53"/>
      <c r="F52" s="53"/>
      <c r="G52" s="53"/>
      <c r="H52" s="53"/>
      <c r="I52" s="53"/>
      <c r="J52" s="53"/>
      <c r="K52" s="53"/>
      <c r="L52" s="53"/>
      <c r="M52" s="53"/>
      <c r="N52" s="53"/>
      <c r="O52" s="53"/>
      <c r="P52" s="53"/>
      <c r="Q52" s="53"/>
      <c r="R52" s="53"/>
      <c r="S52" s="53"/>
      <c r="T52" s="53"/>
      <c r="U52" s="53"/>
      <c r="V52" s="53"/>
      <c r="W52" s="53"/>
      <c r="X52" s="53"/>
      <c r="Y52" s="53"/>
      <c r="Z52" s="53"/>
    </row>
    <row r="53" spans="1:26" ht="6.75" customHeight="1">
      <c r="A53" s="54"/>
      <c r="B53" s="54"/>
      <c r="C53" s="54"/>
      <c r="D53" s="55"/>
      <c r="E53" s="53"/>
      <c r="F53" s="53"/>
      <c r="G53" s="53"/>
      <c r="H53" s="53"/>
      <c r="I53" s="53"/>
      <c r="J53" s="53"/>
      <c r="K53" s="53"/>
      <c r="L53" s="53"/>
      <c r="M53" s="53"/>
      <c r="N53" s="53"/>
      <c r="O53" s="53"/>
      <c r="P53" s="53"/>
      <c r="Q53" s="53"/>
      <c r="R53" s="53"/>
      <c r="S53" s="53"/>
      <c r="T53" s="53"/>
      <c r="U53" s="53"/>
      <c r="V53" s="53"/>
      <c r="W53" s="53"/>
      <c r="X53" s="53"/>
      <c r="Y53" s="53"/>
      <c r="Z53" s="53"/>
    </row>
    <row r="54" spans="1:26" ht="48" customHeight="1">
      <c r="A54" s="603" t="s">
        <v>37</v>
      </c>
      <c r="B54" s="595"/>
      <c r="C54" s="595"/>
      <c r="D54" s="596"/>
      <c r="E54" s="53"/>
      <c r="F54" s="53"/>
      <c r="G54" s="53"/>
      <c r="H54" s="53"/>
      <c r="I54" s="53"/>
      <c r="J54" s="53"/>
      <c r="K54" s="53"/>
      <c r="L54" s="53"/>
      <c r="M54" s="53"/>
      <c r="N54" s="53"/>
      <c r="O54" s="53"/>
      <c r="P54" s="53"/>
      <c r="Q54" s="53"/>
      <c r="R54" s="53"/>
      <c r="S54" s="53"/>
      <c r="T54" s="53"/>
      <c r="U54" s="53"/>
      <c r="V54" s="53"/>
      <c r="W54" s="53"/>
      <c r="X54" s="53"/>
      <c r="Y54" s="53"/>
      <c r="Z54" s="53"/>
    </row>
    <row r="55" spans="1:26" ht="6.75" customHeight="1">
      <c r="A55" s="54"/>
      <c r="B55" s="54"/>
      <c r="C55" s="54"/>
      <c r="D55" s="55"/>
      <c r="E55" s="53"/>
      <c r="F55" s="53"/>
      <c r="G55" s="53"/>
      <c r="H55" s="53"/>
      <c r="I55" s="53"/>
      <c r="J55" s="53"/>
      <c r="K55" s="53"/>
      <c r="L55" s="53"/>
      <c r="M55" s="53"/>
      <c r="N55" s="53"/>
      <c r="O55" s="53"/>
      <c r="P55" s="53"/>
      <c r="Q55" s="53"/>
      <c r="R55" s="53"/>
      <c r="S55" s="53"/>
      <c r="T55" s="53"/>
      <c r="U55" s="53"/>
      <c r="V55" s="53"/>
      <c r="W55" s="53"/>
      <c r="X55" s="53"/>
      <c r="Y55" s="53"/>
      <c r="Z55" s="53"/>
    </row>
    <row r="56" spans="1:26" ht="36" customHeight="1">
      <c r="A56" s="603" t="s">
        <v>58</v>
      </c>
      <c r="B56" s="595"/>
      <c r="C56" s="595"/>
      <c r="D56" s="596"/>
      <c r="E56" s="53"/>
      <c r="F56" s="53"/>
      <c r="G56" s="53"/>
      <c r="H56" s="53"/>
      <c r="I56" s="53"/>
      <c r="J56" s="53"/>
      <c r="K56" s="53"/>
      <c r="L56" s="53"/>
      <c r="M56" s="53"/>
      <c r="N56" s="53"/>
      <c r="O56" s="53"/>
      <c r="P56" s="53"/>
      <c r="Q56" s="53"/>
      <c r="R56" s="53"/>
      <c r="S56" s="53"/>
      <c r="T56" s="53"/>
      <c r="U56" s="53"/>
      <c r="V56" s="53"/>
      <c r="W56" s="53"/>
      <c r="X56" s="53"/>
      <c r="Y56" s="53"/>
      <c r="Z56" s="53"/>
    </row>
    <row r="57" spans="1:26" ht="6.75" customHeight="1">
      <c r="A57" s="54"/>
      <c r="B57" s="54"/>
      <c r="C57" s="54"/>
      <c r="D57" s="55"/>
      <c r="E57" s="53"/>
      <c r="F57" s="53"/>
      <c r="G57" s="53"/>
      <c r="H57" s="53"/>
      <c r="I57" s="53"/>
      <c r="J57" s="53"/>
      <c r="K57" s="53"/>
      <c r="L57" s="53"/>
      <c r="M57" s="53"/>
      <c r="N57" s="53"/>
      <c r="O57" s="53"/>
      <c r="P57" s="53"/>
      <c r="Q57" s="53"/>
      <c r="R57" s="53"/>
      <c r="S57" s="53"/>
      <c r="T57" s="53"/>
      <c r="U57" s="53"/>
      <c r="V57" s="53"/>
      <c r="W57" s="53"/>
      <c r="X57" s="53"/>
      <c r="Y57" s="53"/>
      <c r="Z57" s="53"/>
    </row>
    <row r="58" spans="1:26" ht="15" customHeight="1">
      <c r="A58" s="70" t="s">
        <v>39</v>
      </c>
      <c r="B58" s="63"/>
      <c r="C58" s="63"/>
      <c r="D58" s="72"/>
      <c r="E58" s="53"/>
      <c r="F58" s="53"/>
      <c r="G58" s="53"/>
      <c r="H58" s="53"/>
      <c r="I58" s="53"/>
      <c r="J58" s="53"/>
      <c r="K58" s="53"/>
      <c r="L58" s="53"/>
      <c r="M58" s="53"/>
      <c r="N58" s="53"/>
      <c r="O58" s="53"/>
      <c r="P58" s="53"/>
      <c r="Q58" s="53"/>
      <c r="R58" s="53"/>
      <c r="S58" s="53"/>
      <c r="T58" s="53"/>
      <c r="U58" s="53"/>
      <c r="V58" s="53"/>
      <c r="W58" s="53"/>
      <c r="X58" s="53"/>
      <c r="Y58" s="53"/>
      <c r="Z58" s="53"/>
    </row>
    <row r="59" spans="1:26" ht="6.75" customHeight="1">
      <c r="A59" s="59"/>
      <c r="B59" s="60"/>
      <c r="C59" s="60"/>
      <c r="D59" s="61"/>
      <c r="E59" s="53"/>
      <c r="F59" s="53"/>
      <c r="G59" s="53"/>
      <c r="H59" s="53"/>
      <c r="I59" s="53"/>
      <c r="J59" s="53"/>
      <c r="K59" s="53"/>
      <c r="L59" s="53"/>
      <c r="M59" s="53"/>
      <c r="N59" s="53"/>
      <c r="O59" s="53"/>
      <c r="P59" s="53"/>
      <c r="Q59" s="53"/>
      <c r="R59" s="53"/>
      <c r="S59" s="53"/>
      <c r="T59" s="53"/>
      <c r="U59" s="53"/>
      <c r="V59" s="53"/>
      <c r="W59" s="53"/>
      <c r="X59" s="53"/>
      <c r="Y59" s="53"/>
      <c r="Z59" s="53"/>
    </row>
    <row r="60" spans="1:26" ht="11.25" customHeight="1">
      <c r="A60" s="62" t="s">
        <v>40</v>
      </c>
      <c r="B60" s="63"/>
      <c r="C60" s="64" t="s">
        <v>41</v>
      </c>
      <c r="D60" s="65">
        <f>'Proposed Rates'!F9</f>
        <v>28.08</v>
      </c>
      <c r="E60" s="53"/>
      <c r="F60" s="53"/>
      <c r="G60" s="53"/>
      <c r="H60" s="53"/>
      <c r="I60" s="53"/>
      <c r="J60" s="53"/>
      <c r="K60" s="53"/>
      <c r="L60" s="53"/>
      <c r="M60" s="53"/>
      <c r="N60" s="53"/>
      <c r="O60" s="53"/>
      <c r="P60" s="53"/>
      <c r="Q60" s="53"/>
      <c r="R60" s="53"/>
      <c r="S60" s="53"/>
      <c r="T60" s="53"/>
      <c r="U60" s="53"/>
      <c r="V60" s="53"/>
      <c r="W60" s="53"/>
      <c r="X60" s="53"/>
      <c r="Y60" s="53"/>
      <c r="Z60" s="53"/>
    </row>
    <row r="61" spans="1:26" ht="11.25" customHeight="1">
      <c r="A61" s="62" t="s">
        <v>44</v>
      </c>
      <c r="B61" s="63"/>
      <c r="C61" s="64" t="s">
        <v>41</v>
      </c>
      <c r="D61" s="67">
        <f>'Proposed Rates'!F274</f>
        <v>0.42</v>
      </c>
      <c r="E61" s="53"/>
      <c r="F61" s="53"/>
      <c r="G61" s="53"/>
      <c r="H61" s="53"/>
      <c r="I61" s="53"/>
      <c r="J61" s="53"/>
      <c r="K61" s="53"/>
      <c r="L61" s="53"/>
      <c r="M61" s="53"/>
      <c r="N61" s="53"/>
      <c r="O61" s="53"/>
      <c r="P61" s="53"/>
      <c r="Q61" s="53"/>
      <c r="R61" s="53"/>
      <c r="S61" s="53"/>
      <c r="T61" s="53"/>
      <c r="U61" s="53"/>
      <c r="V61" s="53"/>
      <c r="W61" s="53"/>
      <c r="X61" s="53"/>
      <c r="Y61" s="53"/>
      <c r="Z61" s="53"/>
    </row>
    <row r="62" spans="1:26" ht="11.25" customHeight="1">
      <c r="A62" s="62" t="s">
        <v>59</v>
      </c>
      <c r="B62" s="63"/>
      <c r="C62" s="64" t="s">
        <v>46</v>
      </c>
      <c r="D62" s="66">
        <f>'Proposed Rates'!F22</f>
        <v>3.6400000000000002E-2</v>
      </c>
      <c r="E62" s="53"/>
      <c r="F62" s="53"/>
      <c r="G62" s="53"/>
      <c r="H62" s="53"/>
      <c r="I62" s="53"/>
      <c r="J62" s="53"/>
      <c r="K62" s="53"/>
      <c r="L62" s="53"/>
      <c r="M62" s="53"/>
      <c r="N62" s="53"/>
      <c r="O62" s="53"/>
      <c r="P62" s="53"/>
      <c r="Q62" s="53"/>
      <c r="R62" s="53"/>
      <c r="S62" s="53"/>
      <c r="T62" s="53"/>
      <c r="U62" s="53"/>
      <c r="V62" s="53"/>
      <c r="W62" s="53"/>
      <c r="X62" s="53"/>
      <c r="Y62" s="53"/>
      <c r="Z62" s="53"/>
    </row>
    <row r="63" spans="1:26" ht="11.25" customHeight="1">
      <c r="A63" s="62" t="s">
        <v>45</v>
      </c>
      <c r="B63" s="63"/>
      <c r="C63" s="64" t="s">
        <v>46</v>
      </c>
      <c r="D63" s="68">
        <f>'Proposed Rates'!F261</f>
        <v>6.0000000000000002E-5</v>
      </c>
      <c r="E63" s="53"/>
      <c r="F63" s="53"/>
      <c r="G63" s="53"/>
      <c r="H63" s="53"/>
      <c r="I63" s="53"/>
      <c r="J63" s="53"/>
      <c r="K63" s="53"/>
      <c r="L63" s="53"/>
      <c r="M63" s="53"/>
      <c r="N63" s="53"/>
      <c r="O63" s="53"/>
      <c r="P63" s="53"/>
      <c r="Q63" s="53"/>
      <c r="R63" s="53"/>
      <c r="S63" s="53"/>
      <c r="T63" s="53"/>
      <c r="U63" s="53"/>
      <c r="V63" s="53"/>
      <c r="W63" s="53"/>
      <c r="X63" s="53"/>
      <c r="Y63" s="53"/>
      <c r="Z63" s="53"/>
    </row>
    <row r="64" spans="1:26" ht="11.25" customHeight="1">
      <c r="A64" s="62" t="s">
        <v>47</v>
      </c>
      <c r="B64" s="63"/>
      <c r="C64" s="64" t="s">
        <v>46</v>
      </c>
      <c r="D64" s="66">
        <f>'Proposed Rates'!F38</f>
        <v>-5.0000000000000001E-4</v>
      </c>
      <c r="E64" s="53"/>
      <c r="F64" s="53"/>
      <c r="G64" s="53"/>
      <c r="H64" s="53"/>
      <c r="I64" s="53"/>
      <c r="J64" s="53"/>
      <c r="K64" s="53"/>
      <c r="L64" s="53"/>
      <c r="M64" s="53"/>
      <c r="N64" s="53"/>
      <c r="O64" s="53"/>
      <c r="P64" s="53"/>
      <c r="Q64" s="53"/>
      <c r="R64" s="53"/>
      <c r="S64" s="53"/>
      <c r="T64" s="53"/>
      <c r="U64" s="53"/>
      <c r="V64" s="53"/>
      <c r="W64" s="53"/>
      <c r="X64" s="53"/>
      <c r="Y64" s="53"/>
      <c r="Z64" s="53"/>
    </row>
    <row r="65" spans="1:26" ht="11.25" customHeight="1">
      <c r="A65" s="62" t="s">
        <v>43</v>
      </c>
      <c r="B65" s="63"/>
      <c r="C65" s="64" t="s">
        <v>46</v>
      </c>
      <c r="D65" s="66">
        <f>'Proposed Rates'!F65</f>
        <v>-5.9999999999999995E-4</v>
      </c>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73" t="s">
        <v>60</v>
      </c>
      <c r="B66" s="63"/>
      <c r="C66" s="64" t="s">
        <v>46</v>
      </c>
      <c r="D66" s="66">
        <f>'Proposed Rates'!F91</f>
        <v>4.0000000000000002E-4</v>
      </c>
      <c r="E66" s="53"/>
      <c r="F66" s="53"/>
      <c r="G66" s="53"/>
      <c r="H66" s="53"/>
      <c r="I66" s="53"/>
      <c r="J66" s="53"/>
      <c r="K66" s="53"/>
      <c r="L66" s="53"/>
      <c r="M66" s="53"/>
      <c r="N66" s="53"/>
      <c r="O66" s="53"/>
      <c r="P66" s="53"/>
      <c r="Q66" s="53"/>
      <c r="R66" s="53"/>
      <c r="S66" s="53"/>
      <c r="T66" s="53"/>
      <c r="U66" s="53"/>
      <c r="V66" s="53"/>
      <c r="W66" s="53"/>
      <c r="X66" s="53"/>
      <c r="Y66" s="53"/>
      <c r="Z66" s="53"/>
    </row>
    <row r="67" spans="1:26" ht="11.25" customHeight="1">
      <c r="A67" s="62" t="s">
        <v>48</v>
      </c>
      <c r="B67" s="63"/>
      <c r="C67" s="64" t="s">
        <v>46</v>
      </c>
      <c r="D67" s="66">
        <f>'Proposed Rates'!F143</f>
        <v>4.4999999999999997E-3</v>
      </c>
      <c r="E67" s="53"/>
      <c r="F67" s="53"/>
      <c r="G67" s="53"/>
      <c r="H67" s="53"/>
      <c r="I67" s="53"/>
      <c r="J67" s="53"/>
      <c r="K67" s="53"/>
      <c r="L67" s="53"/>
      <c r="M67" s="53"/>
      <c r="N67" s="53"/>
      <c r="O67" s="53"/>
      <c r="P67" s="53"/>
      <c r="Q67" s="53"/>
      <c r="R67" s="53"/>
      <c r="S67" s="53"/>
      <c r="T67" s="53"/>
      <c r="U67" s="53"/>
      <c r="V67" s="53"/>
      <c r="W67" s="53"/>
      <c r="X67" s="53"/>
      <c r="Y67" s="53"/>
      <c r="Z67" s="53"/>
    </row>
    <row r="68" spans="1:26" ht="11.25" customHeight="1">
      <c r="A68" s="62" t="s">
        <v>49</v>
      </c>
      <c r="B68" s="63"/>
      <c r="C68" s="64" t="s">
        <v>46</v>
      </c>
      <c r="D68" s="66">
        <f>'Proposed Rates'!F184</f>
        <v>1.0699999999999999E-2</v>
      </c>
      <c r="E68" s="53"/>
      <c r="F68" s="53"/>
      <c r="G68" s="53"/>
      <c r="H68" s="53"/>
      <c r="I68" s="53"/>
      <c r="J68" s="53"/>
      <c r="K68" s="53"/>
      <c r="L68" s="53"/>
      <c r="M68" s="53"/>
      <c r="N68" s="53"/>
      <c r="O68" s="53"/>
      <c r="P68" s="53"/>
      <c r="Q68" s="53"/>
      <c r="R68" s="53"/>
      <c r="S68" s="53"/>
      <c r="T68" s="53"/>
      <c r="U68" s="53"/>
      <c r="V68" s="53"/>
      <c r="W68" s="53"/>
      <c r="X68" s="53"/>
      <c r="Y68" s="53"/>
      <c r="Z68" s="53"/>
    </row>
    <row r="69" spans="1:26" ht="11.25" customHeight="1">
      <c r="A69" s="62" t="s">
        <v>50</v>
      </c>
      <c r="B69" s="63"/>
      <c r="C69" s="64" t="s">
        <v>46</v>
      </c>
      <c r="D69" s="66">
        <f>'Proposed Rates'!F197</f>
        <v>6.1000000000000004E-3</v>
      </c>
      <c r="E69" s="53"/>
      <c r="F69" s="53"/>
      <c r="G69" s="53"/>
      <c r="H69" s="53"/>
      <c r="I69" s="53"/>
      <c r="J69" s="53"/>
      <c r="K69" s="53"/>
      <c r="L69" s="53"/>
      <c r="M69" s="53"/>
      <c r="N69" s="53"/>
      <c r="O69" s="53"/>
      <c r="P69" s="53"/>
      <c r="Q69" s="53"/>
      <c r="R69" s="53"/>
      <c r="S69" s="53"/>
      <c r="T69" s="53"/>
      <c r="U69" s="53"/>
      <c r="V69" s="53"/>
      <c r="W69" s="53"/>
      <c r="X69" s="53"/>
      <c r="Y69" s="53"/>
      <c r="Z69" s="53"/>
    </row>
    <row r="70" spans="1:26" ht="6.75" customHeight="1">
      <c r="A70" s="64"/>
      <c r="B70" s="64"/>
      <c r="C70" s="64"/>
      <c r="D70" s="69"/>
      <c r="E70" s="53"/>
      <c r="F70" s="53"/>
      <c r="G70" s="53"/>
      <c r="H70" s="53"/>
      <c r="I70" s="53"/>
      <c r="J70" s="53"/>
      <c r="K70" s="53"/>
      <c r="L70" s="53"/>
      <c r="M70" s="53"/>
      <c r="N70" s="53"/>
      <c r="O70" s="53"/>
      <c r="P70" s="53"/>
      <c r="Q70" s="53"/>
      <c r="R70" s="53"/>
      <c r="S70" s="53"/>
      <c r="T70" s="53"/>
      <c r="U70" s="53"/>
      <c r="V70" s="53"/>
      <c r="W70" s="53"/>
      <c r="X70" s="53"/>
      <c r="Y70" s="53"/>
      <c r="Z70" s="53"/>
    </row>
    <row r="71" spans="1:26" ht="15" customHeight="1">
      <c r="A71" s="70" t="s">
        <v>51</v>
      </c>
      <c r="B71" s="63"/>
      <c r="C71" s="64"/>
      <c r="D71" s="69"/>
      <c r="E71" s="53"/>
      <c r="F71" s="53"/>
      <c r="G71" s="53"/>
      <c r="H71" s="53"/>
      <c r="I71" s="53"/>
      <c r="J71" s="53"/>
      <c r="K71" s="53"/>
      <c r="L71" s="53"/>
      <c r="M71" s="53"/>
      <c r="N71" s="53"/>
      <c r="O71" s="53"/>
      <c r="P71" s="53"/>
      <c r="Q71" s="53"/>
      <c r="R71" s="53"/>
      <c r="S71" s="53"/>
      <c r="T71" s="53"/>
      <c r="U71" s="53"/>
      <c r="V71" s="53"/>
      <c r="W71" s="53"/>
      <c r="X71" s="53"/>
      <c r="Y71" s="53"/>
      <c r="Z71" s="53"/>
    </row>
    <row r="72" spans="1:26" ht="6.75" customHeight="1">
      <c r="A72" s="59"/>
      <c r="B72" s="64"/>
      <c r="C72" s="64"/>
      <c r="D72" s="69"/>
      <c r="E72" s="53"/>
      <c r="F72" s="53"/>
      <c r="G72" s="53"/>
      <c r="H72" s="53"/>
      <c r="I72" s="53"/>
      <c r="J72" s="53"/>
      <c r="K72" s="53"/>
      <c r="L72" s="53"/>
      <c r="M72" s="53"/>
      <c r="N72" s="53"/>
      <c r="O72" s="53"/>
      <c r="P72" s="53"/>
      <c r="Q72" s="53"/>
      <c r="R72" s="53"/>
      <c r="S72" s="53"/>
      <c r="T72" s="53"/>
      <c r="U72" s="53"/>
      <c r="V72" s="53"/>
      <c r="W72" s="53"/>
      <c r="X72" s="53"/>
      <c r="Y72" s="53"/>
      <c r="Z72" s="53"/>
    </row>
    <row r="73" spans="1:26" ht="11.25" customHeight="1">
      <c r="A73" s="62" t="s">
        <v>52</v>
      </c>
      <c r="B73" s="63"/>
      <c r="C73" s="64" t="s">
        <v>46</v>
      </c>
      <c r="D73" s="66">
        <f>$D$34</f>
        <v>4.1000000000000003E-3</v>
      </c>
      <c r="E73" s="53"/>
      <c r="F73" s="53"/>
      <c r="G73" s="53"/>
      <c r="H73" s="53"/>
      <c r="I73" s="53"/>
      <c r="J73" s="53"/>
      <c r="K73" s="53"/>
      <c r="L73" s="53"/>
      <c r="M73" s="53"/>
      <c r="N73" s="53"/>
      <c r="O73" s="53"/>
      <c r="P73" s="53"/>
      <c r="Q73" s="53"/>
      <c r="R73" s="53"/>
      <c r="S73" s="53"/>
      <c r="T73" s="53"/>
      <c r="U73" s="53"/>
      <c r="V73" s="53"/>
      <c r="W73" s="53"/>
      <c r="X73" s="53"/>
      <c r="Y73" s="53"/>
      <c r="Z73" s="53"/>
    </row>
    <row r="74" spans="1:26" ht="11.25" customHeight="1">
      <c r="A74" s="62" t="s">
        <v>53</v>
      </c>
      <c r="B74" s="63"/>
      <c r="C74" s="64" t="s">
        <v>46</v>
      </c>
      <c r="D74" s="66">
        <f>'Proposed Rates'!F210-'2026'!D73</f>
        <v>3.9999999999999931E-4</v>
      </c>
      <c r="E74" s="53"/>
      <c r="F74" s="53"/>
      <c r="G74" s="53"/>
      <c r="H74" s="53"/>
      <c r="I74" s="53"/>
      <c r="J74" s="53"/>
      <c r="K74" s="53"/>
      <c r="L74" s="53"/>
      <c r="M74" s="53"/>
      <c r="N74" s="53"/>
      <c r="O74" s="53"/>
      <c r="P74" s="53"/>
      <c r="Q74" s="53"/>
      <c r="R74" s="53"/>
      <c r="S74" s="53"/>
      <c r="T74" s="53"/>
      <c r="U74" s="53"/>
      <c r="V74" s="53"/>
      <c r="W74" s="53"/>
      <c r="X74" s="53"/>
      <c r="Y74" s="53"/>
      <c r="Z74" s="53"/>
    </row>
    <row r="75" spans="1:26" ht="11.25" customHeight="1">
      <c r="A75" s="62" t="s">
        <v>54</v>
      </c>
      <c r="B75" s="63"/>
      <c r="C75" s="64" t="s">
        <v>46</v>
      </c>
      <c r="D75" s="66">
        <f>'Proposed Rates'!F223</f>
        <v>1.5E-3</v>
      </c>
      <c r="E75" s="53"/>
      <c r="F75" s="53"/>
      <c r="G75" s="53"/>
      <c r="H75" s="53"/>
      <c r="I75" s="53"/>
      <c r="J75" s="53"/>
      <c r="K75" s="53"/>
      <c r="L75" s="53"/>
      <c r="M75" s="53"/>
      <c r="N75" s="53"/>
      <c r="O75" s="53"/>
      <c r="P75" s="53"/>
      <c r="Q75" s="53"/>
      <c r="R75" s="53"/>
      <c r="S75" s="53"/>
      <c r="T75" s="53"/>
      <c r="U75" s="53"/>
      <c r="V75" s="53"/>
      <c r="W75" s="53"/>
      <c r="X75" s="53"/>
      <c r="Y75" s="53"/>
      <c r="Z75" s="53"/>
    </row>
    <row r="76" spans="1:26" ht="11.25" customHeight="1">
      <c r="A76" s="62" t="s">
        <v>55</v>
      </c>
      <c r="B76" s="63"/>
      <c r="C76" s="64" t="s">
        <v>41</v>
      </c>
      <c r="D76" s="67">
        <f>'Proposed Rates'!F237</f>
        <v>1.51</v>
      </c>
      <c r="E76" s="53"/>
      <c r="F76" s="53"/>
      <c r="G76" s="53"/>
      <c r="H76" s="53"/>
      <c r="I76" s="53"/>
      <c r="J76" s="53"/>
      <c r="K76" s="53"/>
      <c r="L76" s="53"/>
      <c r="M76" s="53"/>
      <c r="N76" s="53"/>
      <c r="O76" s="53"/>
      <c r="P76" s="53"/>
      <c r="Q76" s="53"/>
      <c r="R76" s="53"/>
      <c r="S76" s="53"/>
      <c r="T76" s="53"/>
      <c r="U76" s="53"/>
      <c r="V76" s="53"/>
      <c r="W76" s="53"/>
      <c r="X76" s="53"/>
      <c r="Y76" s="53"/>
      <c r="Z76" s="53"/>
    </row>
    <row r="77" spans="1:26" ht="11.25" customHeight="1">
      <c r="A77" s="62"/>
      <c r="B77" s="63"/>
      <c r="C77" s="64"/>
      <c r="D77" s="67"/>
      <c r="E77" s="53"/>
      <c r="F77" s="53"/>
      <c r="G77" s="53"/>
      <c r="H77" s="53"/>
      <c r="I77" s="53"/>
      <c r="J77" s="53"/>
      <c r="K77" s="53"/>
      <c r="L77" s="53"/>
      <c r="M77" s="53"/>
      <c r="N77" s="53"/>
      <c r="O77" s="53"/>
      <c r="P77" s="53"/>
      <c r="Q77" s="53"/>
      <c r="R77" s="53"/>
      <c r="S77" s="53"/>
      <c r="T77" s="53"/>
      <c r="U77" s="53"/>
      <c r="V77" s="53"/>
      <c r="W77" s="53"/>
      <c r="X77" s="53"/>
      <c r="Y77" s="53"/>
      <c r="Z77" s="53"/>
    </row>
    <row r="78" spans="1:26" ht="23.25" customHeight="1">
      <c r="A78" s="597" t="str">
        <f>$A$39</f>
        <v>Hydro Ottawa Limited</v>
      </c>
      <c r="B78" s="595"/>
      <c r="C78" s="595"/>
      <c r="D78" s="596"/>
      <c r="E78" s="53"/>
      <c r="F78" s="53"/>
      <c r="G78" s="53"/>
      <c r="H78" s="53"/>
      <c r="I78" s="53"/>
      <c r="J78" s="53"/>
      <c r="K78" s="53"/>
      <c r="L78" s="53"/>
      <c r="M78" s="53"/>
      <c r="N78" s="53"/>
      <c r="O78" s="53"/>
      <c r="P78" s="53"/>
      <c r="Q78" s="53"/>
      <c r="R78" s="53"/>
      <c r="S78" s="53"/>
      <c r="T78" s="53"/>
      <c r="U78" s="53"/>
      <c r="V78" s="53"/>
      <c r="W78" s="53"/>
      <c r="X78" s="53"/>
      <c r="Y78" s="53"/>
      <c r="Z78" s="53"/>
    </row>
    <row r="79" spans="1:26" ht="18" customHeight="1">
      <c r="A79" s="598" t="str">
        <f>$A$40</f>
        <v>PROPOSED - TARIFF OF RATES AND CHARGES</v>
      </c>
      <c r="B79" s="595"/>
      <c r="C79" s="595"/>
      <c r="D79" s="596"/>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99" t="str">
        <f>$A$41</f>
        <v>Effective and Implementation Date January 1, 2026</v>
      </c>
      <c r="B80" s="595"/>
      <c r="C80" s="595"/>
      <c r="D80" s="596"/>
      <c r="E80" s="53"/>
      <c r="F80" s="53"/>
      <c r="G80" s="53"/>
      <c r="H80" s="53"/>
      <c r="I80" s="53"/>
      <c r="J80" s="53"/>
      <c r="K80" s="53"/>
      <c r="L80" s="53"/>
      <c r="M80" s="53"/>
      <c r="N80" s="53"/>
      <c r="O80" s="53"/>
      <c r="P80" s="53"/>
      <c r="Q80" s="53"/>
      <c r="R80" s="53"/>
      <c r="S80" s="53"/>
      <c r="T80" s="53"/>
      <c r="U80" s="53"/>
      <c r="V80" s="53"/>
      <c r="W80" s="53"/>
      <c r="X80" s="53"/>
      <c r="Y80" s="53"/>
      <c r="Z80" s="53"/>
    </row>
    <row r="81" spans="1:26" ht="11.25" customHeight="1">
      <c r="A81" s="600" t="str">
        <f>$A$42</f>
        <v>This schedule supersedes and replaces all previously</v>
      </c>
      <c r="B81" s="595"/>
      <c r="C81" s="595"/>
      <c r="D81" s="596"/>
      <c r="E81" s="53"/>
      <c r="F81" s="53"/>
      <c r="G81" s="53"/>
      <c r="H81" s="53"/>
      <c r="I81" s="53"/>
      <c r="J81" s="53"/>
      <c r="K81" s="53"/>
      <c r="L81" s="53"/>
      <c r="M81" s="53"/>
      <c r="N81" s="53"/>
      <c r="O81" s="53"/>
      <c r="P81" s="53"/>
      <c r="Q81" s="53"/>
      <c r="R81" s="53"/>
      <c r="S81" s="53"/>
      <c r="T81" s="53"/>
      <c r="U81" s="53"/>
      <c r="V81" s="53"/>
      <c r="W81" s="53"/>
      <c r="X81" s="53"/>
      <c r="Y81" s="53"/>
      <c r="Z81" s="53"/>
    </row>
    <row r="82" spans="1:26" ht="11.25" customHeight="1">
      <c r="A82" s="600" t="str">
        <f>$A$43</f>
        <v>approved schedules of Rates, Charges and Loss Factors</v>
      </c>
      <c r="B82" s="595"/>
      <c r="C82" s="595"/>
      <c r="D82" s="596"/>
      <c r="E82" s="53"/>
      <c r="F82" s="53"/>
      <c r="G82" s="53"/>
      <c r="H82" s="53"/>
      <c r="I82" s="53"/>
      <c r="J82" s="53"/>
      <c r="K82" s="53"/>
      <c r="L82" s="53"/>
      <c r="M82" s="53"/>
      <c r="N82" s="53"/>
      <c r="O82" s="53"/>
      <c r="P82" s="53"/>
      <c r="Q82" s="53"/>
      <c r="R82" s="53"/>
      <c r="S82" s="53"/>
      <c r="T82" s="53"/>
      <c r="U82" s="53"/>
      <c r="V82" s="53"/>
      <c r="W82" s="53"/>
      <c r="X82" s="53"/>
      <c r="Y82" s="53"/>
      <c r="Z82" s="53"/>
    </row>
    <row r="83" spans="1:26" ht="11.25" customHeight="1">
      <c r="A83" s="601" t="str">
        <f>$A$44</f>
        <v>EB-2024-0115</v>
      </c>
      <c r="B83" s="595"/>
      <c r="C83" s="595"/>
      <c r="D83" s="596"/>
      <c r="E83" s="53"/>
      <c r="F83" s="53"/>
      <c r="G83" s="53"/>
      <c r="H83" s="53"/>
      <c r="I83" s="53"/>
      <c r="J83" s="53"/>
      <c r="K83" s="53"/>
      <c r="L83" s="53"/>
      <c r="M83" s="53"/>
      <c r="N83" s="53"/>
      <c r="O83" s="53"/>
      <c r="P83" s="53"/>
      <c r="Q83" s="53"/>
      <c r="R83" s="53"/>
      <c r="S83" s="53"/>
      <c r="T83" s="53"/>
      <c r="U83" s="53"/>
      <c r="V83" s="53"/>
      <c r="W83" s="53"/>
      <c r="X83" s="53"/>
      <c r="Y83" s="53"/>
      <c r="Z83" s="53"/>
    </row>
    <row r="84" spans="1:26" ht="18" customHeight="1">
      <c r="A84" s="602" t="s">
        <v>61</v>
      </c>
      <c r="B84" s="595"/>
      <c r="C84" s="595"/>
      <c r="D84" s="596"/>
      <c r="E84" s="71"/>
      <c r="F84" s="71"/>
      <c r="G84" s="71"/>
      <c r="H84" s="71"/>
      <c r="I84" s="71"/>
      <c r="J84" s="71"/>
      <c r="K84" s="71"/>
      <c r="L84" s="71"/>
      <c r="M84" s="71"/>
      <c r="N84" s="71"/>
      <c r="O84" s="71"/>
      <c r="P84" s="71"/>
      <c r="Q84" s="71"/>
      <c r="R84" s="71"/>
      <c r="S84" s="71"/>
      <c r="T84" s="71"/>
      <c r="U84" s="71"/>
      <c r="V84" s="71"/>
      <c r="W84" s="71"/>
      <c r="X84" s="71"/>
      <c r="Y84" s="71"/>
      <c r="Z84" s="71"/>
    </row>
    <row r="85" spans="1:26" ht="48" customHeight="1">
      <c r="A85" s="603" t="s">
        <v>62</v>
      </c>
      <c r="B85" s="595"/>
      <c r="C85" s="595"/>
      <c r="D85" s="596"/>
      <c r="E85" s="53"/>
      <c r="F85" s="53"/>
      <c r="G85" s="53"/>
      <c r="H85" s="53"/>
      <c r="I85" s="53"/>
      <c r="J85" s="53"/>
      <c r="K85" s="53"/>
      <c r="L85" s="53"/>
      <c r="M85" s="53"/>
      <c r="N85" s="53"/>
      <c r="O85" s="53"/>
      <c r="P85" s="53"/>
      <c r="Q85" s="53"/>
      <c r="R85" s="53"/>
      <c r="S85" s="53"/>
      <c r="T85" s="53"/>
      <c r="U85" s="53"/>
      <c r="V85" s="53"/>
      <c r="W85" s="53"/>
      <c r="X85" s="53"/>
      <c r="Y85" s="53"/>
      <c r="Z85" s="53"/>
    </row>
    <row r="86" spans="1:26" ht="6.75" customHeight="1">
      <c r="A86" s="54"/>
      <c r="B86" s="54"/>
      <c r="C86" s="54"/>
      <c r="D86" s="55"/>
      <c r="E86" s="53"/>
      <c r="F86" s="53"/>
      <c r="G86" s="53"/>
      <c r="H86" s="53"/>
      <c r="I86" s="53"/>
      <c r="J86" s="53"/>
      <c r="K86" s="53"/>
      <c r="L86" s="53"/>
      <c r="M86" s="53"/>
      <c r="N86" s="53"/>
      <c r="O86" s="53"/>
      <c r="P86" s="53"/>
      <c r="Q86" s="53"/>
      <c r="R86" s="53"/>
      <c r="S86" s="53"/>
      <c r="T86" s="53"/>
      <c r="U86" s="53"/>
      <c r="V86" s="53"/>
      <c r="W86" s="53"/>
      <c r="X86" s="53"/>
      <c r="Y86" s="53"/>
      <c r="Z86" s="53"/>
    </row>
    <row r="87" spans="1:26" ht="11.25" customHeight="1">
      <c r="A87" s="604" t="s">
        <v>34</v>
      </c>
      <c r="B87" s="595"/>
      <c r="C87" s="595"/>
      <c r="D87" s="596"/>
      <c r="E87" s="53"/>
      <c r="F87" s="53"/>
      <c r="G87" s="53"/>
      <c r="H87" s="53"/>
      <c r="I87" s="53"/>
      <c r="J87" s="53"/>
      <c r="K87" s="53"/>
      <c r="L87" s="53"/>
      <c r="M87" s="53"/>
      <c r="N87" s="53"/>
      <c r="O87" s="53"/>
      <c r="P87" s="53"/>
      <c r="Q87" s="53"/>
      <c r="R87" s="53"/>
      <c r="S87" s="53"/>
      <c r="T87" s="53"/>
      <c r="U87" s="53"/>
      <c r="V87" s="53"/>
      <c r="W87" s="53"/>
      <c r="X87" s="53"/>
      <c r="Y87" s="53"/>
      <c r="Z87" s="53"/>
    </row>
    <row r="88" spans="1:26" ht="6.75" customHeight="1">
      <c r="A88" s="56"/>
      <c r="B88" s="57"/>
      <c r="C88" s="57"/>
      <c r="D88" s="58"/>
      <c r="E88" s="53"/>
      <c r="F88" s="53"/>
      <c r="G88" s="53"/>
      <c r="H88" s="53"/>
      <c r="I88" s="53"/>
      <c r="J88" s="53"/>
      <c r="K88" s="53"/>
      <c r="L88" s="53"/>
      <c r="M88" s="53"/>
      <c r="N88" s="53"/>
      <c r="O88" s="53"/>
      <c r="P88" s="53"/>
      <c r="Q88" s="53"/>
      <c r="R88" s="53"/>
      <c r="S88" s="53"/>
      <c r="T88" s="53"/>
      <c r="U88" s="53"/>
      <c r="V88" s="53"/>
      <c r="W88" s="53"/>
      <c r="X88" s="53"/>
      <c r="Y88" s="53"/>
      <c r="Z88" s="53"/>
    </row>
    <row r="89" spans="1:26" ht="36" customHeight="1">
      <c r="A89" s="603" t="s">
        <v>35</v>
      </c>
      <c r="B89" s="595"/>
      <c r="C89" s="595"/>
      <c r="D89" s="596"/>
      <c r="E89" s="53"/>
      <c r="F89" s="53"/>
      <c r="G89" s="53"/>
      <c r="H89" s="53"/>
      <c r="I89" s="53"/>
      <c r="J89" s="53"/>
      <c r="K89" s="53"/>
      <c r="L89" s="53"/>
      <c r="M89" s="53"/>
      <c r="N89" s="53"/>
      <c r="O89" s="53"/>
      <c r="P89" s="53"/>
      <c r="Q89" s="53"/>
      <c r="R89" s="53"/>
      <c r="S89" s="53"/>
      <c r="T89" s="53"/>
      <c r="U89" s="53"/>
      <c r="V89" s="53"/>
      <c r="W89" s="53"/>
      <c r="X89" s="53"/>
      <c r="Y89" s="53"/>
      <c r="Z89" s="53"/>
    </row>
    <row r="90" spans="1:26" ht="6.75" customHeight="1">
      <c r="A90" s="54"/>
      <c r="B90" s="54"/>
      <c r="C90" s="54"/>
      <c r="D90" s="55"/>
      <c r="E90" s="53"/>
      <c r="F90" s="53"/>
      <c r="G90" s="53"/>
      <c r="H90" s="53"/>
      <c r="I90" s="53"/>
      <c r="J90" s="53"/>
      <c r="K90" s="53"/>
      <c r="L90" s="53"/>
      <c r="M90" s="53"/>
      <c r="N90" s="53"/>
      <c r="O90" s="53"/>
      <c r="P90" s="53"/>
      <c r="Q90" s="53"/>
      <c r="R90" s="53"/>
      <c r="S90" s="53"/>
      <c r="T90" s="53"/>
      <c r="U90" s="53"/>
      <c r="V90" s="53"/>
      <c r="W90" s="53"/>
      <c r="X90" s="53"/>
      <c r="Y90" s="53"/>
      <c r="Z90" s="53"/>
    </row>
    <row r="91" spans="1:26" ht="48" customHeight="1">
      <c r="A91" s="603" t="s">
        <v>36</v>
      </c>
      <c r="B91" s="595"/>
      <c r="C91" s="595"/>
      <c r="D91" s="596"/>
      <c r="E91" s="53"/>
      <c r="F91" s="53"/>
      <c r="G91" s="53"/>
      <c r="H91" s="53"/>
      <c r="I91" s="53"/>
      <c r="J91" s="53"/>
      <c r="K91" s="53"/>
      <c r="L91" s="53"/>
      <c r="M91" s="53"/>
      <c r="N91" s="53"/>
      <c r="O91" s="53"/>
      <c r="P91" s="53"/>
      <c r="Q91" s="53"/>
      <c r="R91" s="53"/>
      <c r="S91" s="53"/>
      <c r="T91" s="53"/>
      <c r="U91" s="53"/>
      <c r="V91" s="53"/>
      <c r="W91" s="53"/>
      <c r="X91" s="53"/>
      <c r="Y91" s="53"/>
      <c r="Z91" s="53"/>
    </row>
    <row r="92" spans="1:26" ht="6.75" customHeight="1">
      <c r="A92" s="54"/>
      <c r="B92" s="54"/>
      <c r="C92" s="54"/>
      <c r="D92" s="55"/>
      <c r="E92" s="53"/>
      <c r="F92" s="53"/>
      <c r="G92" s="53"/>
      <c r="H92" s="53"/>
      <c r="I92" s="53"/>
      <c r="J92" s="53"/>
      <c r="K92" s="53"/>
      <c r="L92" s="53"/>
      <c r="M92" s="53"/>
      <c r="N92" s="53"/>
      <c r="O92" s="53"/>
      <c r="P92" s="53"/>
      <c r="Q92" s="53"/>
      <c r="R92" s="53"/>
      <c r="S92" s="53"/>
      <c r="T92" s="53"/>
      <c r="U92" s="53"/>
      <c r="V92" s="53"/>
      <c r="W92" s="53"/>
      <c r="X92" s="53"/>
      <c r="Y92" s="53"/>
      <c r="Z92" s="53"/>
    </row>
    <row r="93" spans="1:26" ht="48" customHeight="1">
      <c r="A93" s="603" t="s">
        <v>37</v>
      </c>
      <c r="B93" s="595"/>
      <c r="C93" s="595"/>
      <c r="D93" s="596"/>
      <c r="E93" s="53"/>
      <c r="F93" s="53"/>
      <c r="G93" s="53"/>
      <c r="H93" s="53"/>
      <c r="I93" s="53"/>
      <c r="J93" s="53"/>
      <c r="K93" s="53"/>
      <c r="L93" s="53"/>
      <c r="M93" s="53"/>
      <c r="N93" s="53"/>
      <c r="O93" s="53"/>
      <c r="P93" s="53"/>
      <c r="Q93" s="53"/>
      <c r="R93" s="53"/>
      <c r="S93" s="53"/>
      <c r="T93" s="53"/>
      <c r="U93" s="53"/>
      <c r="V93" s="53"/>
      <c r="W93" s="53"/>
      <c r="X93" s="53"/>
      <c r="Y93" s="53"/>
      <c r="Z93" s="53"/>
    </row>
    <row r="94" spans="1:26" ht="6.75" customHeight="1">
      <c r="A94" s="54"/>
      <c r="B94" s="54"/>
      <c r="C94" s="54"/>
      <c r="D94" s="55"/>
      <c r="E94" s="53"/>
      <c r="F94" s="53"/>
      <c r="G94" s="53"/>
      <c r="H94" s="53"/>
      <c r="I94" s="53"/>
      <c r="J94" s="53"/>
      <c r="K94" s="53"/>
      <c r="L94" s="53"/>
      <c r="M94" s="53"/>
      <c r="N94" s="53"/>
      <c r="O94" s="53"/>
      <c r="P94" s="53"/>
      <c r="Q94" s="53"/>
      <c r="R94" s="53"/>
      <c r="S94" s="53"/>
      <c r="T94" s="53"/>
      <c r="U94" s="53"/>
      <c r="V94" s="53"/>
      <c r="W94" s="53"/>
      <c r="X94" s="53"/>
      <c r="Y94" s="53"/>
      <c r="Z94" s="53"/>
    </row>
    <row r="95" spans="1:26" ht="96" customHeight="1">
      <c r="A95" s="603" t="s">
        <v>63</v>
      </c>
      <c r="B95" s="595"/>
      <c r="C95" s="595"/>
      <c r="D95" s="596"/>
      <c r="E95" s="53"/>
      <c r="F95" s="53"/>
      <c r="G95" s="53"/>
      <c r="H95" s="53"/>
      <c r="I95" s="53"/>
      <c r="J95" s="53"/>
      <c r="K95" s="53"/>
      <c r="L95" s="53"/>
      <c r="M95" s="53"/>
      <c r="N95" s="53"/>
      <c r="O95" s="53"/>
      <c r="P95" s="53"/>
      <c r="Q95" s="53"/>
      <c r="R95" s="53"/>
      <c r="S95" s="53"/>
      <c r="T95" s="53"/>
      <c r="U95" s="53"/>
      <c r="V95" s="53"/>
      <c r="W95" s="53"/>
      <c r="X95" s="53"/>
      <c r="Y95" s="53"/>
      <c r="Z95" s="53"/>
    </row>
    <row r="96" spans="1:26" ht="96" customHeight="1">
      <c r="A96" s="603" t="s">
        <v>64</v>
      </c>
      <c r="B96" s="595"/>
      <c r="C96" s="595"/>
      <c r="D96" s="596"/>
      <c r="E96" s="53"/>
      <c r="F96" s="53"/>
      <c r="G96" s="53"/>
      <c r="H96" s="53"/>
      <c r="I96" s="53"/>
      <c r="J96" s="53"/>
      <c r="K96" s="53"/>
      <c r="L96" s="53"/>
      <c r="M96" s="53"/>
      <c r="N96" s="53"/>
      <c r="O96" s="53"/>
      <c r="P96" s="53"/>
      <c r="Q96" s="53"/>
      <c r="R96" s="53"/>
      <c r="S96" s="53"/>
      <c r="T96" s="53"/>
      <c r="U96" s="53"/>
      <c r="V96" s="53"/>
      <c r="W96" s="53"/>
      <c r="X96" s="53"/>
      <c r="Y96" s="53"/>
      <c r="Z96" s="53"/>
    </row>
    <row r="97" spans="1:26" ht="36" customHeight="1">
      <c r="A97" s="603" t="s">
        <v>38</v>
      </c>
      <c r="B97" s="595"/>
      <c r="C97" s="595"/>
      <c r="D97" s="596"/>
      <c r="E97" s="53"/>
      <c r="F97" s="53"/>
      <c r="G97" s="53"/>
      <c r="H97" s="53"/>
      <c r="I97" s="53"/>
      <c r="J97" s="53"/>
      <c r="K97" s="53"/>
      <c r="L97" s="53"/>
      <c r="M97" s="53"/>
      <c r="N97" s="53"/>
      <c r="O97" s="53"/>
      <c r="P97" s="53"/>
      <c r="Q97" s="53"/>
      <c r="R97" s="53"/>
      <c r="S97" s="53"/>
      <c r="T97" s="53"/>
      <c r="U97" s="53"/>
      <c r="V97" s="53"/>
      <c r="W97" s="53"/>
      <c r="X97" s="53"/>
      <c r="Y97" s="53"/>
      <c r="Z97" s="53"/>
    </row>
    <row r="98" spans="1:26" ht="24" customHeight="1">
      <c r="A98" s="608" t="s">
        <v>65</v>
      </c>
      <c r="B98" s="595"/>
      <c r="C98" s="595"/>
      <c r="D98" s="596"/>
      <c r="E98" s="53"/>
      <c r="F98" s="53"/>
      <c r="G98" s="53"/>
      <c r="H98" s="53"/>
      <c r="I98" s="53"/>
      <c r="J98" s="53"/>
      <c r="K98" s="53"/>
      <c r="L98" s="53"/>
      <c r="M98" s="53"/>
      <c r="N98" s="53"/>
      <c r="O98" s="53"/>
      <c r="P98" s="53"/>
      <c r="Q98" s="53"/>
      <c r="R98" s="53"/>
      <c r="S98" s="53"/>
      <c r="T98" s="53"/>
      <c r="U98" s="53"/>
      <c r="V98" s="53"/>
      <c r="W98" s="53"/>
      <c r="X98" s="53"/>
      <c r="Y98" s="53"/>
      <c r="Z98" s="53"/>
    </row>
    <row r="99" spans="1:26" ht="6.75" customHeight="1">
      <c r="A99" s="74"/>
      <c r="B99" s="74"/>
      <c r="C99" s="74"/>
      <c r="D99" s="75"/>
      <c r="E99" s="53"/>
      <c r="F99" s="53"/>
      <c r="G99" s="53"/>
      <c r="H99" s="53"/>
      <c r="I99" s="53"/>
      <c r="J99" s="53"/>
      <c r="K99" s="53"/>
      <c r="L99" s="53"/>
      <c r="M99" s="53"/>
      <c r="N99" s="53"/>
      <c r="O99" s="53"/>
      <c r="P99" s="53"/>
      <c r="Q99" s="53"/>
      <c r="R99" s="53"/>
      <c r="S99" s="53"/>
      <c r="T99" s="53"/>
      <c r="U99" s="53"/>
      <c r="V99" s="53"/>
      <c r="W99" s="53"/>
      <c r="X99" s="53"/>
      <c r="Y99" s="53"/>
      <c r="Z99" s="53"/>
    </row>
    <row r="100" spans="1:26" ht="15" customHeight="1">
      <c r="A100" s="70" t="s">
        <v>39</v>
      </c>
      <c r="B100" s="63"/>
      <c r="C100" s="63"/>
      <c r="D100" s="72"/>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6.75" customHeight="1">
      <c r="A101" s="59"/>
      <c r="B101" s="60"/>
      <c r="C101" s="60"/>
      <c r="D101" s="61"/>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0.5" customHeight="1">
      <c r="A102" s="62" t="s">
        <v>40</v>
      </c>
      <c r="B102" s="63"/>
      <c r="C102" s="64" t="s">
        <v>41</v>
      </c>
      <c r="D102" s="65">
        <f>'Proposed Rates'!F10</f>
        <v>200</v>
      </c>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0.5" customHeight="1">
      <c r="A103" s="62" t="s">
        <v>59</v>
      </c>
      <c r="B103" s="63"/>
      <c r="C103" s="64" t="s">
        <v>66</v>
      </c>
      <c r="D103" s="66">
        <f>'Proposed Rates'!F23</f>
        <v>8.0635999999999992</v>
      </c>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0.5" customHeight="1">
      <c r="A104" s="62" t="s">
        <v>45</v>
      </c>
      <c r="B104" s="63"/>
      <c r="C104" s="64" t="s">
        <v>66</v>
      </c>
      <c r="D104" s="68">
        <f>'Proposed Rates'!F262</f>
        <v>2.334E-2</v>
      </c>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0.5" customHeight="1">
      <c r="A105" s="62" t="s">
        <v>47</v>
      </c>
      <c r="B105" s="63"/>
      <c r="C105" s="64" t="s">
        <v>66</v>
      </c>
      <c r="D105" s="66">
        <f>'Proposed Rates'!F39</f>
        <v>7.1999999999999998E-3</v>
      </c>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9.75" customHeight="1">
      <c r="A106" s="62" t="s">
        <v>43</v>
      </c>
      <c r="B106" s="63"/>
      <c r="C106" s="64" t="s">
        <v>66</v>
      </c>
      <c r="D106" s="66">
        <f>'Proposed Rates'!F66</f>
        <v>-0.1202</v>
      </c>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7.25" customHeight="1">
      <c r="A107" s="62" t="s">
        <v>48</v>
      </c>
      <c r="B107" s="63"/>
      <c r="C107" s="64" t="s">
        <v>46</v>
      </c>
      <c r="D107" s="66">
        <f>'Proposed Rates'!F145</f>
        <v>4.4999999999999997E-3</v>
      </c>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7.25" customHeight="1">
      <c r="A108" s="62" t="s">
        <v>67</v>
      </c>
      <c r="B108" s="63"/>
      <c r="C108" s="64" t="s">
        <v>46</v>
      </c>
      <c r="D108" s="66">
        <f>'Proposed Rates'!F158</f>
        <v>-0.21920000000000001</v>
      </c>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0.5" customHeight="1">
      <c r="A109" s="62" t="s">
        <v>49</v>
      </c>
      <c r="B109" s="63"/>
      <c r="C109" s="64" t="s">
        <v>66</v>
      </c>
      <c r="D109" s="66">
        <f>'Proposed Rates'!F185</f>
        <v>4.5787000000000004</v>
      </c>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0.5" customHeight="1">
      <c r="A110" s="62" t="s">
        <v>50</v>
      </c>
      <c r="B110" s="63"/>
      <c r="C110" s="64" t="s">
        <v>66</v>
      </c>
      <c r="D110" s="66">
        <f>'Proposed Rates'!F198</f>
        <v>2.5918000000000001</v>
      </c>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6.75" customHeight="1">
      <c r="A111" s="64"/>
      <c r="B111" s="64"/>
      <c r="C111" s="64"/>
      <c r="D111" s="69"/>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 customHeight="1">
      <c r="A112" s="70" t="s">
        <v>51</v>
      </c>
      <c r="B112" s="63"/>
      <c r="C112" s="64"/>
      <c r="D112" s="69"/>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6.75" customHeight="1">
      <c r="A113" s="59"/>
      <c r="B113" s="64"/>
      <c r="C113" s="64"/>
      <c r="D113" s="69"/>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0.5" customHeight="1">
      <c r="A114" s="62" t="s">
        <v>52</v>
      </c>
      <c r="B114" s="63"/>
      <c r="C114" s="64" t="s">
        <v>46</v>
      </c>
      <c r="D114" s="66">
        <f>$D$34</f>
        <v>4.1000000000000003E-3</v>
      </c>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0.5" customHeight="1">
      <c r="A115" s="62" t="s">
        <v>53</v>
      </c>
      <c r="B115" s="63"/>
      <c r="C115" s="64" t="s">
        <v>46</v>
      </c>
      <c r="D115" s="66">
        <f>'Proposed Rates'!F211-'2026'!D114</f>
        <v>3.9999999999999931E-4</v>
      </c>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0.5" customHeight="1">
      <c r="A116" s="62" t="s">
        <v>54</v>
      </c>
      <c r="B116" s="63"/>
      <c r="C116" s="64" t="s">
        <v>46</v>
      </c>
      <c r="D116" s="66">
        <f>'Proposed Rates'!F224</f>
        <v>1.5E-3</v>
      </c>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0.5" customHeight="1">
      <c r="A117" s="62" t="s">
        <v>55</v>
      </c>
      <c r="B117" s="63"/>
      <c r="C117" s="64" t="s">
        <v>41</v>
      </c>
      <c r="D117" s="67">
        <f>'Proposed Rates'!F238</f>
        <v>1.51</v>
      </c>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0.5" customHeight="1">
      <c r="A118" s="62"/>
      <c r="B118" s="63"/>
      <c r="C118" s="64"/>
      <c r="D118" s="67"/>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23.25" customHeight="1">
      <c r="A119" s="597" t="str">
        <f>$A$39</f>
        <v>Hydro Ottawa Limited</v>
      </c>
      <c r="B119" s="595"/>
      <c r="C119" s="595"/>
      <c r="D119" s="596"/>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8" customHeight="1">
      <c r="A120" s="598" t="str">
        <f>$A$40</f>
        <v>PROPOSED - TARIFF OF RATES AND CHARGES</v>
      </c>
      <c r="B120" s="595"/>
      <c r="C120" s="595"/>
      <c r="D120" s="596"/>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99" t="str">
        <f>$A$41</f>
        <v>Effective and Implementation Date January 1, 2026</v>
      </c>
      <c r="B121" s="595"/>
      <c r="C121" s="595"/>
      <c r="D121" s="596"/>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1.25" customHeight="1">
      <c r="A122" s="600" t="str">
        <f>$A$42</f>
        <v>This schedule supersedes and replaces all previously</v>
      </c>
      <c r="B122" s="595"/>
      <c r="C122" s="595"/>
      <c r="D122" s="596"/>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1.25" customHeight="1">
      <c r="A123" s="600" t="str">
        <f>$A$43</f>
        <v>approved schedules of Rates, Charges and Loss Factors</v>
      </c>
      <c r="B123" s="595"/>
      <c r="C123" s="595"/>
      <c r="D123" s="596"/>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1.25" customHeight="1">
      <c r="A124" s="601" t="str">
        <f>$A$44</f>
        <v>EB-2024-0115</v>
      </c>
      <c r="B124" s="595"/>
      <c r="C124" s="595"/>
      <c r="D124" s="596"/>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8.75" customHeight="1">
      <c r="A125" s="602" t="s">
        <v>68</v>
      </c>
      <c r="B125" s="595"/>
      <c r="C125" s="595"/>
      <c r="D125" s="596"/>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48" customHeight="1">
      <c r="A126" s="603" t="s">
        <v>69</v>
      </c>
      <c r="B126" s="595"/>
      <c r="C126" s="595"/>
      <c r="D126" s="596"/>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6.75" customHeight="1">
      <c r="A127" s="54"/>
      <c r="B127" s="54"/>
      <c r="C127" s="54"/>
      <c r="D127" s="55"/>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1.25" customHeight="1">
      <c r="A128" s="604" t="s">
        <v>34</v>
      </c>
      <c r="B128" s="595"/>
      <c r="C128" s="595"/>
      <c r="D128" s="596"/>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6.75" customHeight="1">
      <c r="A129" s="56"/>
      <c r="B129" s="57"/>
      <c r="C129" s="57"/>
      <c r="D129" s="58"/>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36" customHeight="1">
      <c r="A130" s="603" t="s">
        <v>35</v>
      </c>
      <c r="B130" s="595"/>
      <c r="C130" s="595"/>
      <c r="D130" s="596"/>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6.75" customHeight="1">
      <c r="A131" s="54"/>
      <c r="B131" s="54"/>
      <c r="C131" s="54"/>
      <c r="D131" s="55"/>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48" customHeight="1">
      <c r="A132" s="603" t="s">
        <v>70</v>
      </c>
      <c r="B132" s="595"/>
      <c r="C132" s="595"/>
      <c r="D132" s="596"/>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6.75" customHeight="1">
      <c r="A133" s="54"/>
      <c r="B133" s="54"/>
      <c r="C133" s="54"/>
      <c r="D133" s="55"/>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48" customHeight="1">
      <c r="A134" s="603" t="s">
        <v>37</v>
      </c>
      <c r="B134" s="595"/>
      <c r="C134" s="595"/>
      <c r="D134" s="596"/>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6.75" customHeight="1">
      <c r="A135" s="54"/>
      <c r="B135" s="54"/>
      <c r="C135" s="54"/>
      <c r="D135" s="55"/>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96" customHeight="1">
      <c r="A136" s="603" t="s">
        <v>63</v>
      </c>
      <c r="B136" s="595"/>
      <c r="C136" s="595"/>
      <c r="D136" s="596"/>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96" customHeight="1">
      <c r="A137" s="603" t="s">
        <v>64</v>
      </c>
      <c r="B137" s="595"/>
      <c r="C137" s="595"/>
      <c r="D137" s="596"/>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36" customHeight="1">
      <c r="A138" s="603" t="s">
        <v>38</v>
      </c>
      <c r="B138" s="595"/>
      <c r="C138" s="595"/>
      <c r="D138" s="596"/>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24" customHeight="1">
      <c r="A139" s="608" t="s">
        <v>65</v>
      </c>
      <c r="B139" s="595"/>
      <c r="C139" s="595"/>
      <c r="D139" s="596"/>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6.75" customHeight="1">
      <c r="A140" s="74"/>
      <c r="B140" s="74"/>
      <c r="C140" s="74"/>
      <c r="D140" s="75"/>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 customHeight="1">
      <c r="A141" s="70" t="s">
        <v>39</v>
      </c>
      <c r="B141" s="63"/>
      <c r="C141" s="63"/>
      <c r="D141" s="72"/>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6.75" customHeight="1">
      <c r="A142" s="59"/>
      <c r="B142" s="60"/>
      <c r="C142" s="60"/>
      <c r="D142" s="61"/>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1.25" customHeight="1">
      <c r="A143" s="62" t="s">
        <v>40</v>
      </c>
      <c r="B143" s="63"/>
      <c r="C143" s="64" t="s">
        <v>41</v>
      </c>
      <c r="D143" s="65">
        <f>'Proposed Rates'!F11</f>
        <v>4126.75</v>
      </c>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1.25" customHeight="1">
      <c r="A144" s="62" t="s">
        <v>59</v>
      </c>
      <c r="B144" s="63"/>
      <c r="C144" s="64" t="s">
        <v>66</v>
      </c>
      <c r="D144" s="66">
        <f>'Proposed Rates'!F24</f>
        <v>7.7050000000000001</v>
      </c>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1.25" customHeight="1">
      <c r="A145" s="62" t="s">
        <v>45</v>
      </c>
      <c r="B145" s="63"/>
      <c r="C145" s="64" t="s">
        <v>66</v>
      </c>
      <c r="D145" s="68">
        <f>'Proposed Rates'!F263</f>
        <v>2.315E-2</v>
      </c>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1.25" customHeight="1">
      <c r="A146" s="62" t="s">
        <v>47</v>
      </c>
      <c r="B146" s="63"/>
      <c r="C146" s="64" t="s">
        <v>66</v>
      </c>
      <c r="D146" s="66">
        <f>'Proposed Rates'!F40</f>
        <v>-0.22459999999999999</v>
      </c>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1.25" customHeight="1">
      <c r="A147" s="62" t="s">
        <v>43</v>
      </c>
      <c r="B147" s="63"/>
      <c r="C147" s="64" t="s">
        <v>66</v>
      </c>
      <c r="D147" s="66">
        <f>'Proposed Rates'!F67</f>
        <v>-0.1241</v>
      </c>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73" t="s">
        <v>60</v>
      </c>
      <c r="B148" s="63"/>
      <c r="C148" s="64" t="s">
        <v>66</v>
      </c>
      <c r="D148" s="66">
        <f>'Proposed Rates'!F93</f>
        <v>-0.3846</v>
      </c>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1.25" customHeight="1">
      <c r="A149" s="62" t="s">
        <v>48</v>
      </c>
      <c r="B149" s="63"/>
      <c r="C149" s="64" t="s">
        <v>46</v>
      </c>
      <c r="D149" s="66">
        <f>'Proposed Rates'!F145</f>
        <v>4.4999999999999997E-3</v>
      </c>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1.25" customHeight="1">
      <c r="A150" s="62" t="s">
        <v>49</v>
      </c>
      <c r="B150" s="63"/>
      <c r="C150" s="64" t="s">
        <v>66</v>
      </c>
      <c r="D150" s="66">
        <f>'Proposed Rates'!F186</f>
        <v>4.5423999999999998</v>
      </c>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1.25" customHeight="1">
      <c r="A151" s="62" t="s">
        <v>50</v>
      </c>
      <c r="B151" s="63"/>
      <c r="C151" s="64" t="s">
        <v>66</v>
      </c>
      <c r="D151" s="66">
        <f>'Proposed Rates'!F199</f>
        <v>2.5712000000000002</v>
      </c>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6.75" customHeight="1">
      <c r="A152" s="64"/>
      <c r="B152" s="64"/>
      <c r="C152" s="64"/>
      <c r="D152" s="69"/>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 customHeight="1">
      <c r="A153" s="70" t="s">
        <v>51</v>
      </c>
      <c r="B153" s="63"/>
      <c r="C153" s="64"/>
      <c r="D153" s="69"/>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6.75" customHeight="1">
      <c r="A154" s="59"/>
      <c r="B154" s="64"/>
      <c r="C154" s="64"/>
      <c r="D154" s="69"/>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1.25" customHeight="1">
      <c r="A155" s="62" t="s">
        <v>52</v>
      </c>
      <c r="B155" s="63"/>
      <c r="C155" s="64" t="s">
        <v>46</v>
      </c>
      <c r="D155" s="66">
        <f>$D$34</f>
        <v>4.1000000000000003E-3</v>
      </c>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1.25" customHeight="1">
      <c r="A156" s="62" t="s">
        <v>53</v>
      </c>
      <c r="B156" s="63"/>
      <c r="C156" s="64" t="s">
        <v>46</v>
      </c>
      <c r="D156" s="66">
        <f>'Proposed Rates'!F212-'2026'!D155</f>
        <v>3.9999999999999931E-4</v>
      </c>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1.25" customHeight="1">
      <c r="A157" s="62" t="s">
        <v>54</v>
      </c>
      <c r="B157" s="63"/>
      <c r="C157" s="64" t="s">
        <v>46</v>
      </c>
      <c r="D157" s="66">
        <f>'Proposed Rates'!F225</f>
        <v>1.5E-3</v>
      </c>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1.25" customHeight="1">
      <c r="A158" s="62" t="s">
        <v>55</v>
      </c>
      <c r="B158" s="63"/>
      <c r="C158" s="64" t="s">
        <v>41</v>
      </c>
      <c r="D158" s="67">
        <f>'Proposed Rates'!F239</f>
        <v>1.51</v>
      </c>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1.25" customHeight="1">
      <c r="A159" s="76"/>
      <c r="B159" s="63"/>
      <c r="C159" s="77"/>
      <c r="D159" s="67"/>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23.25" customHeight="1">
      <c r="A160" s="597" t="str">
        <f>$A$39</f>
        <v>Hydro Ottawa Limited</v>
      </c>
      <c r="B160" s="595"/>
      <c r="C160" s="595"/>
      <c r="D160" s="596"/>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8" customHeight="1">
      <c r="A161" s="598" t="str">
        <f>$A$40</f>
        <v>PROPOSED - TARIFF OF RATES AND CHARGES</v>
      </c>
      <c r="B161" s="595"/>
      <c r="C161" s="595"/>
      <c r="D161" s="596"/>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99" t="str">
        <f>$A$41</f>
        <v>Effective and Implementation Date January 1, 2026</v>
      </c>
      <c r="B162" s="595"/>
      <c r="C162" s="595"/>
      <c r="D162" s="596"/>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1.25" customHeight="1">
      <c r="A163" s="600" t="str">
        <f>$A$42</f>
        <v>This schedule supersedes and replaces all previously</v>
      </c>
      <c r="B163" s="595"/>
      <c r="C163" s="595"/>
      <c r="D163" s="596"/>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1.25" customHeight="1">
      <c r="A164" s="600" t="str">
        <f>$A$43</f>
        <v>approved schedules of Rates, Charges and Loss Factors</v>
      </c>
      <c r="B164" s="595"/>
      <c r="C164" s="595"/>
      <c r="D164" s="596"/>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1.25" customHeight="1">
      <c r="A165" s="601" t="str">
        <f>$A$44</f>
        <v>EB-2024-0115</v>
      </c>
      <c r="B165" s="595"/>
      <c r="C165" s="595"/>
      <c r="D165" s="596"/>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8.75" customHeight="1">
      <c r="A166" s="602" t="s">
        <v>71</v>
      </c>
      <c r="B166" s="595"/>
      <c r="C166" s="595"/>
      <c r="D166" s="596"/>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48" customHeight="1">
      <c r="A167" s="603" t="s">
        <v>72</v>
      </c>
      <c r="B167" s="595"/>
      <c r="C167" s="595"/>
      <c r="D167" s="596"/>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6.75" customHeight="1">
      <c r="A168" s="54"/>
      <c r="B168" s="54"/>
      <c r="C168" s="54"/>
      <c r="D168" s="55"/>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1.25" customHeight="1">
      <c r="A169" s="604" t="s">
        <v>34</v>
      </c>
      <c r="B169" s="595"/>
      <c r="C169" s="595"/>
      <c r="D169" s="596"/>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6.75" customHeight="1">
      <c r="A170" s="56"/>
      <c r="B170" s="57"/>
      <c r="C170" s="57"/>
      <c r="D170" s="58"/>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36" customHeight="1">
      <c r="A171" s="603" t="s">
        <v>35</v>
      </c>
      <c r="B171" s="595"/>
      <c r="C171" s="595"/>
      <c r="D171" s="596"/>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6.75" customHeight="1">
      <c r="A172" s="54"/>
      <c r="B172" s="54"/>
      <c r="C172" s="54"/>
      <c r="D172" s="55"/>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48" customHeight="1">
      <c r="A173" s="603" t="s">
        <v>73</v>
      </c>
      <c r="B173" s="595"/>
      <c r="C173" s="595"/>
      <c r="D173" s="596"/>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6.75" customHeight="1">
      <c r="A174" s="54"/>
      <c r="B174" s="54"/>
      <c r="C174" s="54"/>
      <c r="D174" s="55"/>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48" customHeight="1">
      <c r="A175" s="603" t="s">
        <v>37</v>
      </c>
      <c r="B175" s="595"/>
      <c r="C175" s="595"/>
      <c r="D175" s="596"/>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6.75" customHeight="1">
      <c r="A176" s="54"/>
      <c r="B176" s="54"/>
      <c r="C176" s="54"/>
      <c r="D176" s="55"/>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96" customHeight="1">
      <c r="A177" s="603" t="s">
        <v>63</v>
      </c>
      <c r="B177" s="595"/>
      <c r="C177" s="595"/>
      <c r="D177" s="596"/>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96" customHeight="1">
      <c r="A178" s="603" t="s">
        <v>64</v>
      </c>
      <c r="B178" s="595"/>
      <c r="C178" s="595"/>
      <c r="D178" s="596"/>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36" customHeight="1">
      <c r="A179" s="603" t="s">
        <v>38</v>
      </c>
      <c r="B179" s="595"/>
      <c r="C179" s="595"/>
      <c r="D179" s="596"/>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24" customHeight="1">
      <c r="A180" s="608" t="s">
        <v>65</v>
      </c>
      <c r="B180" s="595"/>
      <c r="C180" s="595"/>
      <c r="D180" s="596"/>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6.75" customHeight="1">
      <c r="A181" s="74"/>
      <c r="B181" s="74"/>
      <c r="C181" s="74"/>
      <c r="D181" s="75"/>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 customHeight="1">
      <c r="A182" s="70" t="s">
        <v>39</v>
      </c>
      <c r="B182" s="63"/>
      <c r="C182" s="63"/>
      <c r="D182" s="72"/>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6.75" customHeight="1">
      <c r="A183" s="59"/>
      <c r="B183" s="60"/>
      <c r="C183" s="60"/>
      <c r="D183" s="61"/>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0.5" customHeight="1">
      <c r="A184" s="62" t="s">
        <v>40</v>
      </c>
      <c r="B184" s="63"/>
      <c r="C184" s="64" t="s">
        <v>41</v>
      </c>
      <c r="D184" s="65">
        <f>'Proposed Rates'!F12</f>
        <v>14946.93</v>
      </c>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0.5" customHeight="1">
      <c r="A185" s="62" t="s">
        <v>59</v>
      </c>
      <c r="B185" s="63"/>
      <c r="C185" s="64" t="s">
        <v>66</v>
      </c>
      <c r="D185" s="66">
        <f>'Proposed Rates'!F25</f>
        <v>7.8982000000000001</v>
      </c>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0.5" customHeight="1">
      <c r="A186" s="62" t="s">
        <v>45</v>
      </c>
      <c r="B186" s="63"/>
      <c r="C186" s="64" t="s">
        <v>66</v>
      </c>
      <c r="D186" s="68">
        <f>'Proposed Rates'!F264</f>
        <v>2.7179999999999999E-2</v>
      </c>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0.5" customHeight="1">
      <c r="A187" s="62" t="s">
        <v>47</v>
      </c>
      <c r="B187" s="63"/>
      <c r="C187" s="64" t="s">
        <v>66</v>
      </c>
      <c r="D187" s="66">
        <f>'Proposed Rates'!F41</f>
        <v>-0.2767</v>
      </c>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0.5" customHeight="1">
      <c r="A188" s="62" t="s">
        <v>43</v>
      </c>
      <c r="B188" s="63"/>
      <c r="C188" s="64" t="s">
        <v>66</v>
      </c>
      <c r="D188" s="66">
        <f>'Proposed Rates'!F68</f>
        <v>-0.1401</v>
      </c>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0.5" customHeight="1">
      <c r="A189" s="62" t="s">
        <v>42</v>
      </c>
      <c r="B189" s="63"/>
      <c r="C189" s="64" t="s">
        <v>66</v>
      </c>
      <c r="D189" s="66">
        <f>'Proposed Rates'!F94</f>
        <v>-0.52569999999999995</v>
      </c>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0.5" customHeight="1">
      <c r="A190" s="62" t="s">
        <v>48</v>
      </c>
      <c r="B190" s="63"/>
      <c r="C190" s="64" t="s">
        <v>46</v>
      </c>
      <c r="D190" s="66">
        <f>'Proposed Rates'!F146</f>
        <v>4.4999999999999997E-3</v>
      </c>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0.5" customHeight="1">
      <c r="A191" s="62" t="s">
        <v>49</v>
      </c>
      <c r="B191" s="63"/>
      <c r="C191" s="64" t="s">
        <v>66</v>
      </c>
      <c r="D191" s="66">
        <f>'Proposed Rates'!F187</f>
        <v>5.3339999999999996</v>
      </c>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0.5" customHeight="1">
      <c r="A192" s="62" t="s">
        <v>50</v>
      </c>
      <c r="B192" s="63"/>
      <c r="C192" s="64" t="s">
        <v>66</v>
      </c>
      <c r="D192" s="66">
        <f>'Proposed Rates'!F200</f>
        <v>3.0192999999999999</v>
      </c>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6.75" customHeight="1">
      <c r="A193" s="64"/>
      <c r="B193" s="64"/>
      <c r="C193" s="64"/>
      <c r="D193" s="69"/>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 customHeight="1">
      <c r="A194" s="70" t="s">
        <v>51</v>
      </c>
      <c r="B194" s="63"/>
      <c r="C194" s="64"/>
      <c r="D194" s="69"/>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6.75" customHeight="1">
      <c r="A195" s="59"/>
      <c r="B195" s="64"/>
      <c r="C195" s="64"/>
      <c r="D195" s="69"/>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0.5" customHeight="1">
      <c r="A196" s="62" t="s">
        <v>52</v>
      </c>
      <c r="B196" s="63"/>
      <c r="C196" s="64" t="s">
        <v>46</v>
      </c>
      <c r="D196" s="66">
        <f>$D$34</f>
        <v>4.1000000000000003E-3</v>
      </c>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0.5" customHeight="1">
      <c r="A197" s="62" t="s">
        <v>53</v>
      </c>
      <c r="B197" s="63"/>
      <c r="C197" s="64" t="s">
        <v>46</v>
      </c>
      <c r="D197" s="66">
        <f>'Proposed Rates'!F213-'2026'!D196</f>
        <v>3.9999999999999931E-4</v>
      </c>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0.5" customHeight="1">
      <c r="A198" s="62" t="s">
        <v>54</v>
      </c>
      <c r="B198" s="63"/>
      <c r="C198" s="64" t="s">
        <v>46</v>
      </c>
      <c r="D198" s="66">
        <f>'Proposed Rates'!F226</f>
        <v>1.5E-3</v>
      </c>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0.5" customHeight="1">
      <c r="A199" s="62" t="s">
        <v>55</v>
      </c>
      <c r="B199" s="63"/>
      <c r="C199" s="64" t="s">
        <v>41</v>
      </c>
      <c r="D199" s="67">
        <f>'Proposed Rates'!F240</f>
        <v>1.51</v>
      </c>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0.5" customHeight="1">
      <c r="A200" s="62"/>
      <c r="B200" s="63"/>
      <c r="C200" s="64"/>
      <c r="D200" s="67"/>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23.25" customHeight="1">
      <c r="A201" s="597" t="str">
        <f>$A$39</f>
        <v>Hydro Ottawa Limited</v>
      </c>
      <c r="B201" s="595"/>
      <c r="C201" s="595"/>
      <c r="D201" s="596"/>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8" customHeight="1">
      <c r="A202" s="598" t="str">
        <f>$A$40</f>
        <v>PROPOSED - TARIFF OF RATES AND CHARGES</v>
      </c>
      <c r="B202" s="595"/>
      <c r="C202" s="595"/>
      <c r="D202" s="596"/>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99" t="str">
        <f>$A$41</f>
        <v>Effective and Implementation Date January 1, 2026</v>
      </c>
      <c r="B203" s="595"/>
      <c r="C203" s="595"/>
      <c r="D203" s="596"/>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1.25" customHeight="1">
      <c r="A204" s="600" t="str">
        <f>$A$42</f>
        <v>This schedule supersedes and replaces all previously</v>
      </c>
      <c r="B204" s="595"/>
      <c r="C204" s="595"/>
      <c r="D204" s="596"/>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1.25" customHeight="1">
      <c r="A205" s="600" t="str">
        <f>$A$43</f>
        <v>approved schedules of Rates, Charges and Loss Factors</v>
      </c>
      <c r="B205" s="595"/>
      <c r="C205" s="595"/>
      <c r="D205" s="596"/>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1.25" customHeight="1">
      <c r="A206" s="601" t="str">
        <f>$A$44</f>
        <v>EB-2024-0115</v>
      </c>
      <c r="B206" s="595"/>
      <c r="C206" s="595"/>
      <c r="D206" s="596"/>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8.75" customHeight="1">
      <c r="A207" s="602" t="s">
        <v>74</v>
      </c>
      <c r="B207" s="595"/>
      <c r="C207" s="595"/>
      <c r="D207" s="596"/>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84" customHeight="1">
      <c r="A208" s="603" t="s">
        <v>75</v>
      </c>
      <c r="B208" s="595"/>
      <c r="C208" s="595"/>
      <c r="D208" s="596"/>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6.75" customHeight="1">
      <c r="A209" s="54"/>
      <c r="B209" s="54"/>
      <c r="C209" s="54"/>
      <c r="D209" s="55"/>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1.25" customHeight="1">
      <c r="A210" s="604" t="s">
        <v>34</v>
      </c>
      <c r="B210" s="595"/>
      <c r="C210" s="595"/>
      <c r="D210" s="596"/>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6.75" customHeight="1">
      <c r="A211" s="56"/>
      <c r="B211" s="57"/>
      <c r="C211" s="57"/>
      <c r="D211" s="58"/>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36" customHeight="1">
      <c r="A212" s="603" t="s">
        <v>35</v>
      </c>
      <c r="B212" s="595"/>
      <c r="C212" s="595"/>
      <c r="D212" s="596"/>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6.75" customHeight="1">
      <c r="A213" s="54"/>
      <c r="B213" s="54"/>
      <c r="C213" s="54"/>
      <c r="D213" s="55"/>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48" customHeight="1">
      <c r="A214" s="603" t="s">
        <v>36</v>
      </c>
      <c r="B214" s="595"/>
      <c r="C214" s="595"/>
      <c r="D214" s="596"/>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6.75" customHeight="1">
      <c r="A215" s="54"/>
      <c r="B215" s="54"/>
      <c r="C215" s="54"/>
      <c r="D215" s="55"/>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48" customHeight="1">
      <c r="A216" s="603" t="s">
        <v>37</v>
      </c>
      <c r="B216" s="595"/>
      <c r="C216" s="595"/>
      <c r="D216" s="596"/>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6.75" customHeight="1">
      <c r="A217" s="54"/>
      <c r="B217" s="54"/>
      <c r="C217" s="54"/>
      <c r="D217" s="55"/>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36" customHeight="1">
      <c r="A218" s="603" t="s">
        <v>38</v>
      </c>
      <c r="B218" s="595"/>
      <c r="C218" s="595"/>
      <c r="D218" s="596"/>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6.75" customHeight="1">
      <c r="A219" s="54"/>
      <c r="B219" s="54"/>
      <c r="C219" s="54"/>
      <c r="D219" s="55"/>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 customHeight="1">
      <c r="A220" s="70" t="s">
        <v>39</v>
      </c>
      <c r="B220" s="63"/>
      <c r="C220" s="63"/>
      <c r="D220" s="72"/>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6.75" customHeight="1">
      <c r="A221" s="59"/>
      <c r="B221" s="60"/>
      <c r="C221" s="60"/>
      <c r="D221" s="61"/>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1.25" customHeight="1">
      <c r="A222" s="62" t="s">
        <v>76</v>
      </c>
      <c r="B222" s="63"/>
      <c r="C222" s="64" t="s">
        <v>41</v>
      </c>
      <c r="D222" s="67">
        <f>'Proposed Rates'!F15</f>
        <v>8.1300000000000008</v>
      </c>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1.25" customHeight="1">
      <c r="A223" s="62" t="s">
        <v>59</v>
      </c>
      <c r="B223" s="63"/>
      <c r="C223" s="64" t="s">
        <v>46</v>
      </c>
      <c r="D223" s="66">
        <f>'Proposed Rates'!F28</f>
        <v>3.8800000000000001E-2</v>
      </c>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1.25" customHeight="1">
      <c r="A224" s="62" t="s">
        <v>45</v>
      </c>
      <c r="B224" s="63"/>
      <c r="C224" s="64" t="s">
        <v>46</v>
      </c>
      <c r="D224" s="68">
        <f>'Proposed Rates'!F267</f>
        <v>4.0000000000000003E-5</v>
      </c>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1.25" customHeight="1">
      <c r="A225" s="62" t="s">
        <v>47</v>
      </c>
      <c r="B225" s="63"/>
      <c r="C225" s="64" t="s">
        <v>46</v>
      </c>
      <c r="D225" s="66">
        <f>'Proposed Rates'!F44</f>
        <v>-5.0000000000000001E-4</v>
      </c>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1.25" customHeight="1">
      <c r="A226" s="62" t="s">
        <v>43</v>
      </c>
      <c r="B226" s="63"/>
      <c r="C226" s="64" t="s">
        <v>46</v>
      </c>
      <c r="D226" s="66">
        <f>'Proposed Rates'!F71</f>
        <v>-8.9999999999999998E-4</v>
      </c>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73" t="s">
        <v>60</v>
      </c>
      <c r="B227" s="63"/>
      <c r="C227" s="64" t="s">
        <v>46</v>
      </c>
      <c r="D227" s="66">
        <f>'Proposed Rates'!F97</f>
        <v>-5.0000000000000001E-4</v>
      </c>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1.25" customHeight="1">
      <c r="A228" s="62" t="s">
        <v>49</v>
      </c>
      <c r="B228" s="63"/>
      <c r="C228" s="64" t="s">
        <v>46</v>
      </c>
      <c r="D228" s="66">
        <f>'Proposed Rates'!F190</f>
        <v>7.4999999999999997E-3</v>
      </c>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1.25" customHeight="1">
      <c r="A229" s="62" t="s">
        <v>50</v>
      </c>
      <c r="B229" s="63"/>
      <c r="C229" s="64" t="s">
        <v>46</v>
      </c>
      <c r="D229" s="66">
        <f>'Proposed Rates'!F203</f>
        <v>4.3E-3</v>
      </c>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6.75" customHeight="1">
      <c r="A230" s="64"/>
      <c r="B230" s="64"/>
      <c r="C230" s="64"/>
      <c r="D230" s="69"/>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 customHeight="1">
      <c r="A231" s="70" t="s">
        <v>51</v>
      </c>
      <c r="B231" s="63"/>
      <c r="C231" s="64"/>
      <c r="D231" s="69"/>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6.75" customHeight="1">
      <c r="A232" s="59"/>
      <c r="B232" s="64"/>
      <c r="C232" s="64"/>
      <c r="D232" s="69"/>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1.25" customHeight="1">
      <c r="A233" s="62" t="s">
        <v>52</v>
      </c>
      <c r="B233" s="63"/>
      <c r="C233" s="64" t="s">
        <v>46</v>
      </c>
      <c r="D233" s="66">
        <f>$D$34</f>
        <v>4.1000000000000003E-3</v>
      </c>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1.25" customHeight="1">
      <c r="A234" s="62" t="s">
        <v>53</v>
      </c>
      <c r="B234" s="63"/>
      <c r="C234" s="64" t="s">
        <v>46</v>
      </c>
      <c r="D234" s="66">
        <f>'Proposed Rates'!F216-'2026'!D233</f>
        <v>3.9999999999999931E-4</v>
      </c>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1.25" customHeight="1">
      <c r="A235" s="62" t="s">
        <v>54</v>
      </c>
      <c r="B235" s="63"/>
      <c r="C235" s="64" t="s">
        <v>46</v>
      </c>
      <c r="D235" s="66">
        <f>'Proposed Rates'!F229</f>
        <v>1.5E-3</v>
      </c>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1.25" customHeight="1">
      <c r="A236" s="62" t="s">
        <v>55</v>
      </c>
      <c r="B236" s="63"/>
      <c r="C236" s="64" t="s">
        <v>41</v>
      </c>
      <c r="D236" s="67">
        <f>'Proposed Rates'!F243</f>
        <v>1.51</v>
      </c>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1.25" customHeight="1">
      <c r="A237" s="62"/>
      <c r="B237" s="63"/>
      <c r="C237" s="64"/>
      <c r="D237" s="67"/>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23.25" customHeight="1">
      <c r="A238" s="597" t="str">
        <f>$A$39</f>
        <v>Hydro Ottawa Limited</v>
      </c>
      <c r="B238" s="595"/>
      <c r="C238" s="595"/>
      <c r="D238" s="596"/>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8" customHeight="1">
      <c r="A239" s="598" t="str">
        <f>$A$40</f>
        <v>PROPOSED - TARIFF OF RATES AND CHARGES</v>
      </c>
      <c r="B239" s="595"/>
      <c r="C239" s="595"/>
      <c r="D239" s="596"/>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99" t="str">
        <f>$A$41</f>
        <v>Effective and Implementation Date January 1, 2026</v>
      </c>
      <c r="B240" s="595"/>
      <c r="C240" s="595"/>
      <c r="D240" s="596"/>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1.25" customHeight="1">
      <c r="A241" s="600" t="str">
        <f>$A$42</f>
        <v>This schedule supersedes and replaces all previously</v>
      </c>
      <c r="B241" s="595"/>
      <c r="C241" s="595"/>
      <c r="D241" s="596"/>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1.25" customHeight="1">
      <c r="A242" s="600" t="str">
        <f>$A$43</f>
        <v>approved schedules of Rates, Charges and Loss Factors</v>
      </c>
      <c r="B242" s="595"/>
      <c r="C242" s="595"/>
      <c r="D242" s="596"/>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1.25" customHeight="1">
      <c r="A243" s="601" t="str">
        <f>$A$44</f>
        <v>EB-2024-0115</v>
      </c>
      <c r="B243" s="595"/>
      <c r="C243" s="595"/>
      <c r="D243" s="596"/>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8.75" customHeight="1">
      <c r="A244" s="602" t="s">
        <v>77</v>
      </c>
      <c r="B244" s="595"/>
      <c r="C244" s="595"/>
      <c r="D244" s="596"/>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36" customHeight="1">
      <c r="A245" s="603" t="s">
        <v>78</v>
      </c>
      <c r="B245" s="595"/>
      <c r="C245" s="595"/>
      <c r="D245" s="596"/>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6.75" customHeight="1">
      <c r="A246" s="54"/>
      <c r="B246" s="54"/>
      <c r="C246" s="54"/>
      <c r="D246" s="55"/>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1.25" customHeight="1">
      <c r="A247" s="604" t="s">
        <v>34</v>
      </c>
      <c r="B247" s="595"/>
      <c r="C247" s="595"/>
      <c r="D247" s="596"/>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6.75" customHeight="1">
      <c r="A248" s="56"/>
      <c r="B248" s="57"/>
      <c r="C248" s="57"/>
      <c r="D248" s="58"/>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36" customHeight="1">
      <c r="A249" s="603" t="s">
        <v>35</v>
      </c>
      <c r="B249" s="595"/>
      <c r="C249" s="595"/>
      <c r="D249" s="596"/>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6.75" customHeight="1">
      <c r="A250" s="54"/>
      <c r="B250" s="54"/>
      <c r="C250" s="54"/>
      <c r="D250" s="55"/>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48" customHeight="1">
      <c r="A251" s="603" t="s">
        <v>36</v>
      </c>
      <c r="B251" s="595"/>
      <c r="C251" s="595"/>
      <c r="D251" s="596"/>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6.75" customHeight="1">
      <c r="A252" s="54"/>
      <c r="B252" s="54"/>
      <c r="C252" s="54"/>
      <c r="D252" s="55"/>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24" customHeight="1">
      <c r="A253" s="603" t="s">
        <v>79</v>
      </c>
      <c r="B253" s="595"/>
      <c r="C253" s="595"/>
      <c r="D253" s="596"/>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6.75" customHeight="1">
      <c r="A254" s="54"/>
      <c r="B254" s="54"/>
      <c r="C254" s="54"/>
      <c r="D254" s="55"/>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36" customHeight="1">
      <c r="A255" s="603" t="s">
        <v>80</v>
      </c>
      <c r="B255" s="595"/>
      <c r="C255" s="595"/>
      <c r="D255" s="596"/>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6.75" customHeight="1">
      <c r="A256" s="54"/>
      <c r="B256" s="54"/>
      <c r="C256" s="54"/>
      <c r="D256" s="55"/>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 customHeight="1">
      <c r="A257" s="79" t="s">
        <v>81</v>
      </c>
      <c r="B257" s="80"/>
      <c r="C257" s="80"/>
      <c r="D257" s="81"/>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6.75" customHeight="1">
      <c r="A258" s="82"/>
      <c r="B258" s="83"/>
      <c r="C258" s="83"/>
      <c r="D258" s="84"/>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0.5" customHeight="1">
      <c r="A259" s="73" t="s">
        <v>40</v>
      </c>
      <c r="B259" s="80"/>
      <c r="C259" s="85" t="s">
        <v>41</v>
      </c>
      <c r="D259" s="86">
        <f>'Proposed Rates'!F16</f>
        <v>186.89</v>
      </c>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 customHeight="1">
      <c r="A260" s="73" t="s">
        <v>82</v>
      </c>
      <c r="B260" s="80"/>
      <c r="C260" s="85" t="s">
        <v>66</v>
      </c>
      <c r="D260" s="87">
        <f>'Proposed Rates'!F29</f>
        <v>4.0312000000000001</v>
      </c>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0.5" customHeight="1">
      <c r="A261" s="73" t="s">
        <v>83</v>
      </c>
      <c r="B261" s="80"/>
      <c r="C261" s="85" t="s">
        <v>66</v>
      </c>
      <c r="D261" s="87">
        <f>'Proposed Rates'!F30</f>
        <v>3.8504999999999998</v>
      </c>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0.5" customHeight="1">
      <c r="A262" s="73" t="s">
        <v>84</v>
      </c>
      <c r="B262" s="80"/>
      <c r="C262" s="85" t="s">
        <v>66</v>
      </c>
      <c r="D262" s="87">
        <f>'Proposed Rates'!F31</f>
        <v>3.9487999999999999</v>
      </c>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0.5" customHeight="1">
      <c r="A263" s="73"/>
      <c r="B263" s="80"/>
      <c r="C263" s="85"/>
      <c r="D263" s="88"/>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23.25" customHeight="1">
      <c r="A264" s="597" t="str">
        <f>$A$39</f>
        <v>Hydro Ottawa Limited</v>
      </c>
      <c r="B264" s="595"/>
      <c r="C264" s="595"/>
      <c r="D264" s="596"/>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8" customHeight="1">
      <c r="A265" s="598" t="str">
        <f>$A$40</f>
        <v>PROPOSED - TARIFF OF RATES AND CHARGES</v>
      </c>
      <c r="B265" s="595"/>
      <c r="C265" s="595"/>
      <c r="D265" s="596"/>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99" t="str">
        <f>$A$41</f>
        <v>Effective and Implementation Date January 1, 2026</v>
      </c>
      <c r="B266" s="595"/>
      <c r="C266" s="595"/>
      <c r="D266" s="596"/>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1.25" customHeight="1">
      <c r="A267" s="600" t="str">
        <f>$A$42</f>
        <v>This schedule supersedes and replaces all previously</v>
      </c>
      <c r="B267" s="595"/>
      <c r="C267" s="595"/>
      <c r="D267" s="596"/>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1.25" customHeight="1">
      <c r="A268" s="600" t="str">
        <f>$A$43</f>
        <v>approved schedules of Rates, Charges and Loss Factors</v>
      </c>
      <c r="B268" s="595"/>
      <c r="C268" s="595"/>
      <c r="D268" s="596"/>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1.25" customHeight="1">
      <c r="A269" s="601" t="str">
        <f>$A$44</f>
        <v>EB-2024-0115</v>
      </c>
      <c r="B269" s="595"/>
      <c r="C269" s="595"/>
      <c r="D269" s="596"/>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8.75" customHeight="1">
      <c r="A270" s="602" t="s">
        <v>85</v>
      </c>
      <c r="B270" s="595"/>
      <c r="C270" s="595"/>
      <c r="D270" s="596"/>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36" customHeight="1">
      <c r="A271" s="603" t="s">
        <v>86</v>
      </c>
      <c r="B271" s="595"/>
      <c r="C271" s="595"/>
      <c r="D271" s="596"/>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6.75" customHeight="1">
      <c r="A272" s="54"/>
      <c r="B272" s="54"/>
      <c r="C272" s="54"/>
      <c r="D272" s="55"/>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1.25" customHeight="1">
      <c r="A273" s="604" t="s">
        <v>34</v>
      </c>
      <c r="B273" s="595"/>
      <c r="C273" s="595"/>
      <c r="D273" s="596"/>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6.75" customHeight="1">
      <c r="A274" s="56"/>
      <c r="B274" s="57"/>
      <c r="C274" s="57"/>
      <c r="D274" s="58"/>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36" customHeight="1">
      <c r="A275" s="603" t="s">
        <v>35</v>
      </c>
      <c r="B275" s="595"/>
      <c r="C275" s="595"/>
      <c r="D275" s="596"/>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6.75" customHeight="1">
      <c r="A276" s="54"/>
      <c r="B276" s="54"/>
      <c r="C276" s="54"/>
      <c r="D276" s="55"/>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48" customHeight="1">
      <c r="A277" s="603" t="s">
        <v>36</v>
      </c>
      <c r="B277" s="595"/>
      <c r="C277" s="595"/>
      <c r="D277" s="596"/>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6.75" customHeight="1">
      <c r="A278" s="54"/>
      <c r="B278" s="54"/>
      <c r="C278" s="54"/>
      <c r="D278" s="55"/>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48" customHeight="1">
      <c r="A279" s="603" t="s">
        <v>37</v>
      </c>
      <c r="B279" s="595"/>
      <c r="C279" s="595"/>
      <c r="D279" s="596"/>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6.75" customHeight="1">
      <c r="A280" s="54"/>
      <c r="B280" s="54"/>
      <c r="C280" s="54"/>
      <c r="D280" s="55"/>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36" customHeight="1">
      <c r="A281" s="603" t="s">
        <v>38</v>
      </c>
      <c r="B281" s="595"/>
      <c r="C281" s="595"/>
      <c r="D281" s="596"/>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6.75" customHeight="1">
      <c r="A282" s="54"/>
      <c r="B282" s="54"/>
      <c r="C282" s="54"/>
      <c r="D282" s="55"/>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 customHeight="1">
      <c r="A283" s="70" t="s">
        <v>39</v>
      </c>
      <c r="B283" s="63"/>
      <c r="C283" s="63"/>
      <c r="D283" s="72"/>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6.75" customHeight="1">
      <c r="A284" s="59"/>
      <c r="B284" s="60"/>
      <c r="C284" s="60"/>
      <c r="D284" s="61"/>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0.5" customHeight="1">
      <c r="A285" s="62" t="s">
        <v>76</v>
      </c>
      <c r="B285" s="63"/>
      <c r="C285" s="64" t="s">
        <v>41</v>
      </c>
      <c r="D285" s="65">
        <f>'Proposed Rates'!F14</f>
        <v>8.41</v>
      </c>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0.5" customHeight="1">
      <c r="A286" s="62" t="s">
        <v>59</v>
      </c>
      <c r="B286" s="63"/>
      <c r="C286" s="64" t="s">
        <v>66</v>
      </c>
      <c r="D286" s="66">
        <f>'Proposed Rates'!F27</f>
        <v>39.417299999999997</v>
      </c>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0.5" customHeight="1">
      <c r="A287" s="62" t="s">
        <v>45</v>
      </c>
      <c r="B287" s="63"/>
      <c r="C287" s="64" t="s">
        <v>66</v>
      </c>
      <c r="D287" s="68">
        <f>'Proposed Rates'!F266</f>
        <v>4.3499999999999997E-3</v>
      </c>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0.5" customHeight="1">
      <c r="A288" s="62" t="s">
        <v>47</v>
      </c>
      <c r="B288" s="63"/>
      <c r="C288" s="64" t="s">
        <v>66</v>
      </c>
      <c r="D288" s="66">
        <f>'Proposed Rates'!F43</f>
        <v>-0.15459999999999999</v>
      </c>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0.5" customHeight="1">
      <c r="A289" s="62" t="s">
        <v>43</v>
      </c>
      <c r="B289" s="63"/>
      <c r="C289" s="64" t="s">
        <v>66</v>
      </c>
      <c r="D289" s="66">
        <f>'Proposed Rates'!F70</f>
        <v>-0.95689999999999997</v>
      </c>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0.5" customHeight="1">
      <c r="A290" s="62" t="s">
        <v>48</v>
      </c>
      <c r="B290" s="63"/>
      <c r="C290" s="64" t="s">
        <v>46</v>
      </c>
      <c r="D290" s="66">
        <f>'Proposed Rates'!F148</f>
        <v>0</v>
      </c>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0.5" customHeight="1">
      <c r="A291" s="62" t="s">
        <v>49</v>
      </c>
      <c r="B291" s="63"/>
      <c r="C291" s="64" t="s">
        <v>66</v>
      </c>
      <c r="D291" s="66">
        <f>'Proposed Rates'!F189</f>
        <v>0.85450000000000004</v>
      </c>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0.5" customHeight="1">
      <c r="A292" s="89" t="s">
        <v>50</v>
      </c>
      <c r="B292" s="63"/>
      <c r="C292" s="90" t="s">
        <v>66</v>
      </c>
      <c r="D292" s="91">
        <f>'Proposed Rates'!F202</f>
        <v>0.48370000000000002</v>
      </c>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5.25" customHeight="1">
      <c r="A293" s="89"/>
      <c r="B293" s="63"/>
      <c r="C293" s="90"/>
      <c r="D293" s="92"/>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 customHeight="1">
      <c r="A294" s="70" t="s">
        <v>51</v>
      </c>
      <c r="B294" s="63"/>
      <c r="C294" s="64"/>
      <c r="D294" s="69"/>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6.75" customHeight="1">
      <c r="A295" s="59"/>
      <c r="B295" s="64"/>
      <c r="C295" s="64"/>
      <c r="D295" s="69"/>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0.5" customHeight="1">
      <c r="A296" s="62" t="s">
        <v>52</v>
      </c>
      <c r="B296" s="63"/>
      <c r="C296" s="64" t="s">
        <v>46</v>
      </c>
      <c r="D296" s="66">
        <f>$D$34</f>
        <v>4.1000000000000003E-3</v>
      </c>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0.5" customHeight="1">
      <c r="A297" s="62" t="s">
        <v>53</v>
      </c>
      <c r="B297" s="63"/>
      <c r="C297" s="64" t="s">
        <v>46</v>
      </c>
      <c r="D297" s="66">
        <f>'Proposed Rates'!F215-'2026'!D296</f>
        <v>3.9999999999999931E-4</v>
      </c>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0.5" customHeight="1">
      <c r="A298" s="62" t="s">
        <v>54</v>
      </c>
      <c r="B298" s="63"/>
      <c r="C298" s="64" t="s">
        <v>46</v>
      </c>
      <c r="D298" s="66">
        <f>'Proposed Rates'!F228</f>
        <v>1.5E-3</v>
      </c>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0.5" customHeight="1">
      <c r="A299" s="62" t="s">
        <v>55</v>
      </c>
      <c r="B299" s="63"/>
      <c r="C299" s="64" t="s">
        <v>41</v>
      </c>
      <c r="D299" s="67">
        <f>'Proposed Rates'!F242</f>
        <v>1.51</v>
      </c>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6" customHeight="1">
      <c r="A300" s="62"/>
      <c r="B300" s="63"/>
      <c r="C300" s="64"/>
      <c r="D300" s="67"/>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23.25" customHeight="1">
      <c r="A301" s="597" t="str">
        <f>$A$39</f>
        <v>Hydro Ottawa Limited</v>
      </c>
      <c r="B301" s="595"/>
      <c r="C301" s="595"/>
      <c r="D301" s="596"/>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8" customHeight="1">
      <c r="A302" s="598" t="str">
        <f>$A$40</f>
        <v>PROPOSED - TARIFF OF RATES AND CHARGES</v>
      </c>
      <c r="B302" s="595"/>
      <c r="C302" s="595"/>
      <c r="D302" s="596"/>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99" t="str">
        <f>$A$41</f>
        <v>Effective and Implementation Date January 1, 2026</v>
      </c>
      <c r="B303" s="595"/>
      <c r="C303" s="595"/>
      <c r="D303" s="596"/>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1.25" customHeight="1">
      <c r="A304" s="600" t="str">
        <f>$A$42</f>
        <v>This schedule supersedes and replaces all previously</v>
      </c>
      <c r="B304" s="595"/>
      <c r="C304" s="595"/>
      <c r="D304" s="596"/>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1.25" customHeight="1">
      <c r="A305" s="600" t="str">
        <f>$A$43</f>
        <v>approved schedules of Rates, Charges and Loss Factors</v>
      </c>
      <c r="B305" s="595"/>
      <c r="C305" s="595"/>
      <c r="D305" s="596"/>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1.25" customHeight="1">
      <c r="A306" s="601" t="str">
        <f>$A$44</f>
        <v>EB-2024-0115</v>
      </c>
      <c r="B306" s="595"/>
      <c r="C306" s="595"/>
      <c r="D306" s="596"/>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8.75" customHeight="1">
      <c r="A307" s="602" t="s">
        <v>87</v>
      </c>
      <c r="B307" s="595"/>
      <c r="C307" s="595"/>
      <c r="D307" s="596"/>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60" customHeight="1">
      <c r="A308" s="603" t="s">
        <v>88</v>
      </c>
      <c r="B308" s="595"/>
      <c r="C308" s="595"/>
      <c r="D308" s="596"/>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6.75" customHeight="1">
      <c r="A309" s="54"/>
      <c r="B309" s="54"/>
      <c r="C309" s="54"/>
      <c r="D309" s="55"/>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1.25" customHeight="1">
      <c r="A310" s="604" t="s">
        <v>34</v>
      </c>
      <c r="B310" s="595"/>
      <c r="C310" s="595"/>
      <c r="D310" s="596"/>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6.75" customHeight="1">
      <c r="A311" s="56"/>
      <c r="B311" s="57"/>
      <c r="C311" s="57"/>
      <c r="D311" s="58"/>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36" customHeight="1">
      <c r="A312" s="603" t="s">
        <v>35</v>
      </c>
      <c r="B312" s="595"/>
      <c r="C312" s="595"/>
      <c r="D312" s="596"/>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6.75" customHeight="1">
      <c r="A313" s="54"/>
      <c r="B313" s="54"/>
      <c r="C313" s="54"/>
      <c r="D313" s="55"/>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48" customHeight="1">
      <c r="A314" s="603" t="s">
        <v>36</v>
      </c>
      <c r="B314" s="595"/>
      <c r="C314" s="595"/>
      <c r="D314" s="596"/>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6.75" customHeight="1">
      <c r="A315" s="54"/>
      <c r="B315" s="54"/>
      <c r="C315" s="54"/>
      <c r="D315" s="55"/>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48" customHeight="1">
      <c r="A316" s="603" t="s">
        <v>37</v>
      </c>
      <c r="B316" s="595"/>
      <c r="C316" s="595"/>
      <c r="D316" s="596"/>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6.75" customHeight="1">
      <c r="A317" s="54"/>
      <c r="B317" s="54"/>
      <c r="C317" s="54"/>
      <c r="D317" s="55"/>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36" customHeight="1">
      <c r="A318" s="603" t="s">
        <v>89</v>
      </c>
      <c r="B318" s="595"/>
      <c r="C318" s="595"/>
      <c r="D318" s="596"/>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6.75" customHeight="1">
      <c r="A319" s="54"/>
      <c r="B319" s="54"/>
      <c r="C319" s="54"/>
      <c r="D319" s="55"/>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 customHeight="1">
      <c r="A320" s="70" t="s">
        <v>39</v>
      </c>
      <c r="B320" s="63"/>
      <c r="C320" s="63"/>
      <c r="D320" s="72"/>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6.75" customHeight="1">
      <c r="A321" s="59"/>
      <c r="B321" s="60"/>
      <c r="C321" s="60"/>
      <c r="D321" s="61"/>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0.5" customHeight="1">
      <c r="A322" s="62" t="s">
        <v>76</v>
      </c>
      <c r="B322" s="63"/>
      <c r="C322" s="64" t="s">
        <v>41</v>
      </c>
      <c r="D322" s="65">
        <f>'Proposed Rates'!F13</f>
        <v>1.25</v>
      </c>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0.5" customHeight="1">
      <c r="A323" s="62" t="s">
        <v>59</v>
      </c>
      <c r="B323" s="63"/>
      <c r="C323" s="64" t="s">
        <v>66</v>
      </c>
      <c r="D323" s="66">
        <f>'Proposed Rates'!F26</f>
        <v>8.6377000000000006</v>
      </c>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0.5" customHeight="1">
      <c r="A324" s="62" t="s">
        <v>45</v>
      </c>
      <c r="B324" s="63"/>
      <c r="C324" s="64" t="s">
        <v>66</v>
      </c>
      <c r="D324" s="68">
        <f>'Proposed Rates'!F265</f>
        <v>1.0999999999999999E-2</v>
      </c>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0.5" customHeight="1">
      <c r="A325" s="62" t="s">
        <v>47</v>
      </c>
      <c r="B325" s="63"/>
      <c r="C325" s="64" t="s">
        <v>66</v>
      </c>
      <c r="D325" s="66">
        <f>'Proposed Rates'!F42</f>
        <v>-0.2215</v>
      </c>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0.5" customHeight="1">
      <c r="A326" s="62" t="s">
        <v>43</v>
      </c>
      <c r="B326" s="63"/>
      <c r="C326" s="64" t="s">
        <v>66</v>
      </c>
      <c r="D326" s="66">
        <f>'Proposed Rates'!F69</f>
        <v>-0.33589999999999998</v>
      </c>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73" t="s">
        <v>60</v>
      </c>
      <c r="B327" s="63"/>
      <c r="C327" s="64" t="s">
        <v>66</v>
      </c>
      <c r="D327" s="66">
        <f>'Proposed Rates'!F95</f>
        <v>-0.60389999999999999</v>
      </c>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0.5" customHeight="1">
      <c r="A328" s="62" t="s">
        <v>48</v>
      </c>
      <c r="B328" s="63"/>
      <c r="C328" s="64" t="s">
        <v>46</v>
      </c>
      <c r="D328" s="66">
        <f>'Proposed Rates'!F147</f>
        <v>4.4999999999999997E-3</v>
      </c>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0.5" customHeight="1">
      <c r="A329" s="62" t="s">
        <v>90</v>
      </c>
      <c r="B329" s="63"/>
      <c r="C329" s="64" t="s">
        <v>66</v>
      </c>
      <c r="D329" s="66">
        <f>'Proposed Rates'!F82</f>
        <v>4.8925000000000001</v>
      </c>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0.5" customHeight="1">
      <c r="A330" s="62" t="s">
        <v>49</v>
      </c>
      <c r="B330" s="63"/>
      <c r="C330" s="64" t="s">
        <v>66</v>
      </c>
      <c r="D330" s="66">
        <f>'Proposed Rates'!F188</f>
        <v>2.1576</v>
      </c>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0.5" customHeight="1">
      <c r="A331" s="62" t="s">
        <v>50</v>
      </c>
      <c r="B331" s="63"/>
      <c r="C331" s="64" t="s">
        <v>66</v>
      </c>
      <c r="D331" s="66">
        <f>'Proposed Rates'!F201</f>
        <v>1.2213000000000001</v>
      </c>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6.75" customHeight="1">
      <c r="A332" s="64"/>
      <c r="B332" s="64"/>
      <c r="C332" s="64"/>
      <c r="D332" s="69"/>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 customHeight="1">
      <c r="A333" s="70" t="s">
        <v>51</v>
      </c>
      <c r="B333" s="63"/>
      <c r="C333" s="64"/>
      <c r="D333" s="69"/>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6.75" customHeight="1">
      <c r="A334" s="59"/>
      <c r="B334" s="64"/>
      <c r="C334" s="64"/>
      <c r="D334" s="69"/>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0.5" customHeight="1">
      <c r="A335" s="62" t="s">
        <v>52</v>
      </c>
      <c r="B335" s="63"/>
      <c r="C335" s="64" t="s">
        <v>46</v>
      </c>
      <c r="D335" s="66">
        <f>$D$34</f>
        <v>4.1000000000000003E-3</v>
      </c>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0.5" customHeight="1">
      <c r="A336" s="62" t="s">
        <v>53</v>
      </c>
      <c r="B336" s="63"/>
      <c r="C336" s="64" t="s">
        <v>46</v>
      </c>
      <c r="D336" s="66">
        <f>'Proposed Rates'!F214-'2026'!D335</f>
        <v>3.9999999999999931E-4</v>
      </c>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0.5" customHeight="1">
      <c r="A337" s="62" t="s">
        <v>54</v>
      </c>
      <c r="B337" s="63"/>
      <c r="C337" s="64" t="s">
        <v>46</v>
      </c>
      <c r="D337" s="66">
        <f>'Proposed Rates'!F227</f>
        <v>1.5E-3</v>
      </c>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0.5" customHeight="1">
      <c r="A338" s="62" t="s">
        <v>55</v>
      </c>
      <c r="B338" s="63"/>
      <c r="C338" s="64" t="s">
        <v>41</v>
      </c>
      <c r="D338" s="67">
        <f>'Proposed Rates'!F241</f>
        <v>1.51</v>
      </c>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6.75" customHeight="1">
      <c r="A339" s="62"/>
      <c r="B339" s="63"/>
      <c r="C339" s="64"/>
      <c r="D339" s="67"/>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23.25" customHeight="1">
      <c r="A340" s="597" t="str">
        <f>$A$39</f>
        <v>Hydro Ottawa Limited</v>
      </c>
      <c r="B340" s="595"/>
      <c r="C340" s="595"/>
      <c r="D340" s="596"/>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8" customHeight="1">
      <c r="A341" s="598" t="str">
        <f>$A$40</f>
        <v>PROPOSED - TARIFF OF RATES AND CHARGES</v>
      </c>
      <c r="B341" s="595"/>
      <c r="C341" s="595"/>
      <c r="D341" s="596"/>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99" t="str">
        <f>$A$41</f>
        <v>Effective and Implementation Date January 1, 2026</v>
      </c>
      <c r="B342" s="595"/>
      <c r="C342" s="595"/>
      <c r="D342" s="596"/>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1.25" customHeight="1">
      <c r="A343" s="600" t="str">
        <f>$A$42</f>
        <v>This schedule supersedes and replaces all previously</v>
      </c>
      <c r="B343" s="595"/>
      <c r="C343" s="595"/>
      <c r="D343" s="596"/>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1.25" customHeight="1">
      <c r="A344" s="600" t="str">
        <f>$A$43</f>
        <v>approved schedules of Rates, Charges and Loss Factors</v>
      </c>
      <c r="B344" s="595"/>
      <c r="C344" s="595"/>
      <c r="D344" s="596"/>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1.25" customHeight="1">
      <c r="A345" s="601" t="str">
        <f>$A$44</f>
        <v>EB-2024-0115</v>
      </c>
      <c r="B345" s="595"/>
      <c r="C345" s="595"/>
      <c r="D345" s="596"/>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38.25" customHeight="1">
      <c r="A346" s="602" t="s">
        <v>91</v>
      </c>
      <c r="B346" s="595"/>
      <c r="C346" s="595"/>
      <c r="D346" s="596"/>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36" customHeight="1">
      <c r="A347" s="603" t="s">
        <v>92</v>
      </c>
      <c r="B347" s="595"/>
      <c r="C347" s="595"/>
      <c r="D347" s="596"/>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6.75" customHeight="1">
      <c r="A348" s="54"/>
      <c r="B348" s="54"/>
      <c r="C348" s="54"/>
      <c r="D348" s="55"/>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1.25" customHeight="1">
      <c r="A349" s="604" t="s">
        <v>34</v>
      </c>
      <c r="B349" s="595"/>
      <c r="C349" s="595"/>
      <c r="D349" s="596"/>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6.75" customHeight="1">
      <c r="A350" s="56"/>
      <c r="B350" s="57"/>
      <c r="C350" s="57"/>
      <c r="D350" s="58"/>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36" customHeight="1">
      <c r="A351" s="603" t="s">
        <v>35</v>
      </c>
      <c r="B351" s="595"/>
      <c r="C351" s="595"/>
      <c r="D351" s="596"/>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6.75" customHeight="1">
      <c r="A352" s="54"/>
      <c r="B352" s="54"/>
      <c r="C352" s="54"/>
      <c r="D352" s="55"/>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48" customHeight="1">
      <c r="A353" s="603" t="s">
        <v>36</v>
      </c>
      <c r="B353" s="595"/>
      <c r="C353" s="595"/>
      <c r="D353" s="596"/>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6.75" customHeight="1">
      <c r="A354" s="54"/>
      <c r="B354" s="54"/>
      <c r="C354" s="54"/>
      <c r="D354" s="55"/>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24" customHeight="1">
      <c r="A355" s="603" t="s">
        <v>93</v>
      </c>
      <c r="B355" s="595"/>
      <c r="C355" s="595"/>
      <c r="D355" s="596"/>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6.75" customHeight="1">
      <c r="A356" s="54"/>
      <c r="B356" s="54"/>
      <c r="C356" s="54"/>
      <c r="D356" s="55"/>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36" customHeight="1">
      <c r="A357" s="603" t="s">
        <v>89</v>
      </c>
      <c r="B357" s="595"/>
      <c r="C357" s="595"/>
      <c r="D357" s="596"/>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6.75" customHeight="1">
      <c r="A358" s="54"/>
      <c r="B358" s="54"/>
      <c r="C358" s="54"/>
      <c r="D358" s="55"/>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 customHeight="1">
      <c r="A359" s="594" t="s">
        <v>39</v>
      </c>
      <c r="B359" s="595"/>
      <c r="C359" s="595"/>
      <c r="D359" s="596"/>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6.75" customHeight="1">
      <c r="A360" s="59"/>
      <c r="B360" s="60"/>
      <c r="C360" s="60"/>
      <c r="D360" s="61"/>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1.25" customHeight="1">
      <c r="A361" s="62" t="s">
        <v>40</v>
      </c>
      <c r="B361" s="63"/>
      <c r="C361" s="64" t="s">
        <v>41</v>
      </c>
      <c r="D361" s="93">
        <f>'Proposed Rates'!F369</f>
        <v>11</v>
      </c>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5.25" customHeight="1">
      <c r="A362" s="76"/>
      <c r="B362" s="63"/>
      <c r="C362" s="77"/>
      <c r="D362" s="93"/>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23.25" customHeight="1">
      <c r="A363" s="597" t="str">
        <f>$A$39</f>
        <v>Hydro Ottawa Limited</v>
      </c>
      <c r="B363" s="595"/>
      <c r="C363" s="595"/>
      <c r="D363" s="596"/>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8" customHeight="1">
      <c r="A364" s="598" t="str">
        <f>$A$40</f>
        <v>PROPOSED - TARIFF OF RATES AND CHARGES</v>
      </c>
      <c r="B364" s="595"/>
      <c r="C364" s="595"/>
      <c r="D364" s="596"/>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99" t="str">
        <f>$A$41</f>
        <v>Effective and Implementation Date January 1, 2026</v>
      </c>
      <c r="B365" s="595"/>
      <c r="C365" s="595"/>
      <c r="D365" s="596"/>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1.25" customHeight="1">
      <c r="A366" s="600" t="str">
        <f>$A$42</f>
        <v>This schedule supersedes and replaces all previously</v>
      </c>
      <c r="B366" s="595"/>
      <c r="C366" s="595"/>
      <c r="D366" s="596"/>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1.25" customHeight="1">
      <c r="A367" s="600" t="str">
        <f>$A$43</f>
        <v>approved schedules of Rates, Charges and Loss Factors</v>
      </c>
      <c r="B367" s="595"/>
      <c r="C367" s="595"/>
      <c r="D367" s="596"/>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1.25" customHeight="1">
      <c r="A368" s="601" t="str">
        <f>$A$44</f>
        <v>EB-2024-0115</v>
      </c>
      <c r="B368" s="595"/>
      <c r="C368" s="595"/>
      <c r="D368" s="596"/>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8.75" customHeight="1">
      <c r="A369" s="602" t="s">
        <v>94</v>
      </c>
      <c r="B369" s="595"/>
      <c r="C369" s="595"/>
      <c r="D369" s="596"/>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36" customHeight="1">
      <c r="A370" s="603" t="s">
        <v>95</v>
      </c>
      <c r="B370" s="595"/>
      <c r="C370" s="595"/>
      <c r="D370" s="596"/>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6.75" customHeight="1">
      <c r="A371" s="54"/>
      <c r="B371" s="54"/>
      <c r="C371" s="54"/>
      <c r="D371" s="55"/>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1.25" customHeight="1">
      <c r="A372" s="604" t="s">
        <v>34</v>
      </c>
      <c r="B372" s="595"/>
      <c r="C372" s="595"/>
      <c r="D372" s="596"/>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6.75" customHeight="1">
      <c r="A373" s="56"/>
      <c r="B373" s="57"/>
      <c r="C373" s="57"/>
      <c r="D373" s="58"/>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36" customHeight="1">
      <c r="A374" s="603" t="s">
        <v>35</v>
      </c>
      <c r="B374" s="595"/>
      <c r="C374" s="595"/>
      <c r="D374" s="596"/>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6.75" customHeight="1">
      <c r="A375" s="54"/>
      <c r="B375" s="54"/>
      <c r="C375" s="54"/>
      <c r="D375" s="55"/>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48" customHeight="1">
      <c r="A376" s="603" t="s">
        <v>36</v>
      </c>
      <c r="B376" s="595"/>
      <c r="C376" s="595"/>
      <c r="D376" s="596"/>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6.75" customHeight="1">
      <c r="A377" s="54"/>
      <c r="B377" s="54"/>
      <c r="C377" s="54"/>
      <c r="D377" s="55"/>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24" customHeight="1">
      <c r="A378" s="603" t="s">
        <v>93</v>
      </c>
      <c r="B378" s="595"/>
      <c r="C378" s="595"/>
      <c r="D378" s="596"/>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6.75" customHeight="1">
      <c r="A379" s="54"/>
      <c r="B379" s="54"/>
      <c r="C379" s="54"/>
      <c r="D379" s="55"/>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36" customHeight="1">
      <c r="A380" s="603" t="s">
        <v>89</v>
      </c>
      <c r="B380" s="595"/>
      <c r="C380" s="595"/>
      <c r="D380" s="596"/>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6.75" customHeight="1">
      <c r="A381" s="54"/>
      <c r="B381" s="54"/>
      <c r="C381" s="54"/>
      <c r="D381" s="55"/>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 customHeight="1">
      <c r="A382" s="594" t="s">
        <v>39</v>
      </c>
      <c r="B382" s="595"/>
      <c r="C382" s="595"/>
      <c r="D382" s="596"/>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6.75" customHeight="1">
      <c r="A383" s="59"/>
      <c r="B383" s="60"/>
      <c r="C383" s="60"/>
      <c r="D383" s="61"/>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1.25" customHeight="1">
      <c r="A384" s="62" t="s">
        <v>40</v>
      </c>
      <c r="B384" s="63"/>
      <c r="C384" s="64" t="s">
        <v>41</v>
      </c>
      <c r="D384" s="93">
        <f>'Proposed Rates'!F370</f>
        <v>87</v>
      </c>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6" customHeight="1">
      <c r="A385" s="76"/>
      <c r="B385" s="63"/>
      <c r="C385" s="77"/>
      <c r="D385" s="93"/>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23.25" customHeight="1">
      <c r="A386" s="597" t="str">
        <f>$A$39</f>
        <v>Hydro Ottawa Limited</v>
      </c>
      <c r="B386" s="595"/>
      <c r="C386" s="595"/>
      <c r="D386" s="596"/>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8" customHeight="1">
      <c r="A387" s="598" t="str">
        <f>$A$40</f>
        <v>PROPOSED - TARIFF OF RATES AND CHARGES</v>
      </c>
      <c r="B387" s="595"/>
      <c r="C387" s="595"/>
      <c r="D387" s="596"/>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99" t="str">
        <f>$A$41</f>
        <v>Effective and Implementation Date January 1, 2026</v>
      </c>
      <c r="B388" s="595"/>
      <c r="C388" s="595"/>
      <c r="D388" s="596"/>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1.25" customHeight="1">
      <c r="A389" s="600" t="str">
        <f>$A$42</f>
        <v>This schedule supersedes and replaces all previously</v>
      </c>
      <c r="B389" s="595"/>
      <c r="C389" s="595"/>
      <c r="D389" s="596"/>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1.25" customHeight="1">
      <c r="A390" s="600" t="str">
        <f>$A$43</f>
        <v>approved schedules of Rates, Charges and Loss Factors</v>
      </c>
      <c r="B390" s="595"/>
      <c r="C390" s="595"/>
      <c r="D390" s="596"/>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1.25" customHeight="1">
      <c r="A391" s="601" t="str">
        <f>$A$44</f>
        <v>EB-2024-0115</v>
      </c>
      <c r="B391" s="595"/>
      <c r="C391" s="595"/>
      <c r="D391" s="596"/>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8.75" customHeight="1">
      <c r="A392" s="602" t="s">
        <v>96</v>
      </c>
      <c r="B392" s="595"/>
      <c r="C392" s="595"/>
      <c r="D392" s="596"/>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36" customHeight="1">
      <c r="A393" s="603" t="s">
        <v>97</v>
      </c>
      <c r="B393" s="595"/>
      <c r="C393" s="595"/>
      <c r="D393" s="596"/>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6.75" customHeight="1">
      <c r="A394" s="54"/>
      <c r="B394" s="54"/>
      <c r="C394" s="54"/>
      <c r="D394" s="55"/>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1.25" customHeight="1">
      <c r="A395" s="604" t="s">
        <v>34</v>
      </c>
      <c r="B395" s="595"/>
      <c r="C395" s="595"/>
      <c r="D395" s="596"/>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6.75" customHeight="1">
      <c r="A396" s="56"/>
      <c r="B396" s="57"/>
      <c r="C396" s="57"/>
      <c r="D396" s="58"/>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36" customHeight="1">
      <c r="A397" s="603" t="s">
        <v>35</v>
      </c>
      <c r="B397" s="595"/>
      <c r="C397" s="595"/>
      <c r="D397" s="596"/>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6.75" customHeight="1">
      <c r="A398" s="54"/>
      <c r="B398" s="54"/>
      <c r="C398" s="54"/>
      <c r="D398" s="55"/>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48" customHeight="1">
      <c r="A399" s="603" t="s">
        <v>36</v>
      </c>
      <c r="B399" s="595"/>
      <c r="C399" s="595"/>
      <c r="D399" s="596"/>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6.75" customHeight="1">
      <c r="A400" s="54"/>
      <c r="B400" s="54"/>
      <c r="C400" s="54"/>
      <c r="D400" s="55"/>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24" customHeight="1">
      <c r="A401" s="603" t="s">
        <v>93</v>
      </c>
      <c r="B401" s="595"/>
      <c r="C401" s="595"/>
      <c r="D401" s="596"/>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6.75" customHeight="1">
      <c r="A402" s="54"/>
      <c r="B402" s="54"/>
      <c r="C402" s="54"/>
      <c r="D402" s="55"/>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36" customHeight="1">
      <c r="A403" s="603" t="s">
        <v>89</v>
      </c>
      <c r="B403" s="595"/>
      <c r="C403" s="595"/>
      <c r="D403" s="596"/>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6.75" customHeight="1">
      <c r="A404" s="54"/>
      <c r="B404" s="54"/>
      <c r="C404" s="54"/>
      <c r="D404" s="55"/>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 customHeight="1">
      <c r="A405" s="594" t="s">
        <v>39</v>
      </c>
      <c r="B405" s="595"/>
      <c r="C405" s="595"/>
      <c r="D405" s="596"/>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6.75" customHeight="1">
      <c r="A406" s="59"/>
      <c r="B406" s="60"/>
      <c r="C406" s="60"/>
      <c r="D406" s="61"/>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1.25" customHeight="1">
      <c r="A407" s="62" t="s">
        <v>40</v>
      </c>
      <c r="B407" s="63"/>
      <c r="C407" s="64" t="s">
        <v>41</v>
      </c>
      <c r="D407" s="93">
        <f>'Proposed Rates'!F371</f>
        <v>266</v>
      </c>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6.75" customHeight="1">
      <c r="A408" s="94"/>
      <c r="B408" s="85"/>
      <c r="C408" s="64"/>
      <c r="D408" s="69"/>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8" customHeight="1">
      <c r="A409" s="95" t="s">
        <v>98</v>
      </c>
      <c r="B409" s="96"/>
      <c r="C409" s="96"/>
      <c r="D409" s="72"/>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1.25" customHeight="1">
      <c r="A410" s="62" t="s">
        <v>99</v>
      </c>
      <c r="B410" s="63"/>
      <c r="C410" s="97" t="s">
        <v>100</v>
      </c>
      <c r="D410" s="69">
        <v>-1</v>
      </c>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5.25" customHeight="1">
      <c r="A411" s="62"/>
      <c r="B411" s="63"/>
      <c r="C411" s="97"/>
      <c r="D411" s="69"/>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23.25" customHeight="1">
      <c r="A412" s="597" t="str">
        <f>$A$39</f>
        <v>Hydro Ottawa Limited</v>
      </c>
      <c r="B412" s="595"/>
      <c r="C412" s="595"/>
      <c r="D412" s="596"/>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8" customHeight="1">
      <c r="A413" s="598" t="str">
        <f>$A$40</f>
        <v>PROPOSED - TARIFF OF RATES AND CHARGES</v>
      </c>
      <c r="B413" s="595"/>
      <c r="C413" s="595"/>
      <c r="D413" s="596"/>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99" t="str">
        <f>$A$41</f>
        <v>Effective and Implementation Date January 1, 2026</v>
      </c>
      <c r="B414" s="595"/>
      <c r="C414" s="595"/>
      <c r="D414" s="596"/>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1.25" customHeight="1">
      <c r="A415" s="600" t="str">
        <f>$A$42</f>
        <v>This schedule supersedes and replaces all previously</v>
      </c>
      <c r="B415" s="595"/>
      <c r="C415" s="595"/>
      <c r="D415" s="596"/>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1.25" customHeight="1">
      <c r="A416" s="600" t="str">
        <f>$A$43</f>
        <v>approved schedules of Rates, Charges and Loss Factors</v>
      </c>
      <c r="B416" s="595"/>
      <c r="C416" s="595"/>
      <c r="D416" s="596"/>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1.25" customHeight="1">
      <c r="A417" s="601" t="str">
        <f>$A$44</f>
        <v>EB-2024-0115</v>
      </c>
      <c r="B417" s="595"/>
      <c r="C417" s="595"/>
      <c r="D417" s="596"/>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8" customHeight="1">
      <c r="A418" s="95" t="s">
        <v>101</v>
      </c>
      <c r="B418" s="96"/>
      <c r="C418" s="96"/>
      <c r="D418" s="72"/>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6.75" customHeight="1">
      <c r="A419" s="95"/>
      <c r="B419" s="96"/>
      <c r="C419" s="96"/>
      <c r="D419" s="72"/>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1.25" customHeight="1">
      <c r="A420" s="606" t="s">
        <v>34</v>
      </c>
      <c r="B420" s="595"/>
      <c r="C420" s="595"/>
      <c r="D420" s="596"/>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6.75" customHeight="1">
      <c r="A421" s="98"/>
      <c r="B421" s="54"/>
      <c r="C421" s="54"/>
      <c r="D421" s="55"/>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36" customHeight="1">
      <c r="A422" s="603" t="s">
        <v>35</v>
      </c>
      <c r="B422" s="595"/>
      <c r="C422" s="595"/>
      <c r="D422" s="596"/>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6.75" customHeight="1">
      <c r="A423" s="54"/>
      <c r="B423" s="54"/>
      <c r="C423" s="54"/>
      <c r="D423" s="55"/>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48" customHeight="1">
      <c r="A424" s="603" t="s">
        <v>102</v>
      </c>
      <c r="B424" s="595"/>
      <c r="C424" s="595"/>
      <c r="D424" s="596"/>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6.75" customHeight="1">
      <c r="A425" s="54"/>
      <c r="B425" s="54"/>
      <c r="C425" s="54"/>
      <c r="D425" s="55"/>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36" customHeight="1">
      <c r="A426" s="603" t="s">
        <v>38</v>
      </c>
      <c r="B426" s="595"/>
      <c r="C426" s="595"/>
      <c r="D426" s="596"/>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6.75" customHeight="1">
      <c r="A427" s="54"/>
      <c r="B427" s="54"/>
      <c r="C427" s="54"/>
      <c r="D427" s="55"/>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 customHeight="1">
      <c r="A428" s="99" t="s">
        <v>103</v>
      </c>
      <c r="B428" s="96"/>
      <c r="C428" s="96"/>
      <c r="D428" s="72"/>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 customHeight="1">
      <c r="A429" s="62" t="s">
        <v>104</v>
      </c>
      <c r="B429" s="63"/>
      <c r="C429" s="64" t="s">
        <v>41</v>
      </c>
      <c r="D429" s="100">
        <f>'Proposed Rates'!F319</f>
        <v>0</v>
      </c>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 customHeight="1">
      <c r="A430" s="64" t="s">
        <v>105</v>
      </c>
      <c r="B430" s="64"/>
      <c r="C430" s="64" t="s">
        <v>41</v>
      </c>
      <c r="D430" s="100">
        <f>'Proposed Rates'!F320</f>
        <v>30</v>
      </c>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 customHeight="1">
      <c r="A431" s="62" t="s">
        <v>106</v>
      </c>
      <c r="B431" s="63"/>
      <c r="C431" s="64" t="s">
        <v>41</v>
      </c>
      <c r="D431" s="100">
        <f>'Proposed Rates'!F321</f>
        <v>7</v>
      </c>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 customHeight="1">
      <c r="A432" s="62" t="s">
        <v>107</v>
      </c>
      <c r="B432" s="63"/>
      <c r="C432" s="64" t="s">
        <v>41</v>
      </c>
      <c r="D432" s="100">
        <f>'Proposed Rates'!F322</f>
        <v>141</v>
      </c>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 customHeight="1">
      <c r="A433" s="62" t="s">
        <v>108</v>
      </c>
      <c r="B433" s="63"/>
      <c r="C433" s="64" t="s">
        <v>41</v>
      </c>
      <c r="D433" s="100">
        <f>'Proposed Rates'!F323</f>
        <v>20</v>
      </c>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 customHeight="1">
      <c r="A434" s="62" t="s">
        <v>109</v>
      </c>
      <c r="B434" s="63"/>
      <c r="C434" s="64" t="s">
        <v>41</v>
      </c>
      <c r="D434" s="100">
        <f>'Proposed Rates'!F324</f>
        <v>25</v>
      </c>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 customHeight="1">
      <c r="A435" s="62" t="s">
        <v>110</v>
      </c>
      <c r="B435" s="63"/>
      <c r="C435" s="64" t="s">
        <v>41</v>
      </c>
      <c r="D435" s="100">
        <f>'Proposed Rates'!F325</f>
        <v>10</v>
      </c>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 customHeight="1">
      <c r="A436" s="62" t="s">
        <v>111</v>
      </c>
      <c r="B436" s="63"/>
      <c r="C436" s="64" t="s">
        <v>41</v>
      </c>
      <c r="D436" s="100">
        <f>'Proposed Rates'!F328</f>
        <v>366</v>
      </c>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 customHeight="1">
      <c r="A437" s="62" t="s">
        <v>112</v>
      </c>
      <c r="B437" s="63"/>
      <c r="C437" s="64" t="s">
        <v>41</v>
      </c>
      <c r="D437" s="100">
        <f>'Proposed Rates'!F329</f>
        <v>322</v>
      </c>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6.75" customHeight="1">
      <c r="A438" s="64"/>
      <c r="B438" s="64"/>
      <c r="C438" s="64"/>
      <c r="D438" s="69"/>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 customHeight="1">
      <c r="A439" s="99" t="s">
        <v>113</v>
      </c>
      <c r="B439" s="96"/>
      <c r="C439" s="90"/>
      <c r="D439" s="92"/>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 customHeight="1">
      <c r="A440" s="62" t="s">
        <v>114</v>
      </c>
      <c r="B440" s="63"/>
      <c r="C440" s="64" t="s">
        <v>100</v>
      </c>
      <c r="D440" s="101">
        <f>'Proposed Rates'!F332</f>
        <v>1.4999999999999999E-2</v>
      </c>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 customHeight="1">
      <c r="A441" s="62" t="s">
        <v>115</v>
      </c>
      <c r="B441" s="63"/>
      <c r="C441" s="64" t="s">
        <v>41</v>
      </c>
      <c r="D441" s="100">
        <f>'Proposed Rates'!F333</f>
        <v>70</v>
      </c>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 customHeight="1">
      <c r="A442" s="62" t="s">
        <v>116</v>
      </c>
      <c r="B442" s="63"/>
      <c r="C442" s="64" t="s">
        <v>41</v>
      </c>
      <c r="D442" s="100">
        <f>'Proposed Rates'!F334</f>
        <v>94</v>
      </c>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 customHeight="1">
      <c r="A443" s="62" t="s">
        <v>117</v>
      </c>
      <c r="B443" s="63"/>
      <c r="C443" s="64" t="s">
        <v>41</v>
      </c>
      <c r="D443" s="100">
        <f>'Proposed Rates'!F335</f>
        <v>318</v>
      </c>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 customHeight="1">
      <c r="A444" s="62" t="s">
        <v>118</v>
      </c>
      <c r="B444" s="63"/>
      <c r="C444" s="64" t="s">
        <v>41</v>
      </c>
      <c r="D444" s="100">
        <f>'Proposed Rates'!F336</f>
        <v>480</v>
      </c>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6.75" customHeight="1">
      <c r="A445" s="64"/>
      <c r="B445" s="64"/>
      <c r="C445" s="64"/>
      <c r="D445" s="69"/>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 customHeight="1">
      <c r="A446" s="99" t="s">
        <v>119</v>
      </c>
      <c r="B446" s="96"/>
      <c r="C446" s="90"/>
      <c r="D446" s="69"/>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 customHeight="1">
      <c r="A447" s="62" t="s">
        <v>120</v>
      </c>
      <c r="B447" s="63"/>
      <c r="C447" s="64" t="s">
        <v>41</v>
      </c>
      <c r="D447" s="100">
        <f>'Proposed Rates'!F339</f>
        <v>1079</v>
      </c>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 customHeight="1">
      <c r="A448" s="62" t="s">
        <v>121</v>
      </c>
      <c r="B448" s="63"/>
      <c r="C448" s="64" t="s">
        <v>41</v>
      </c>
      <c r="D448" s="100">
        <f>'Proposed Rates'!F340</f>
        <v>1422</v>
      </c>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 customHeight="1">
      <c r="A449" s="62" t="s">
        <v>122</v>
      </c>
      <c r="B449" s="63"/>
      <c r="C449" s="64" t="s">
        <v>41</v>
      </c>
      <c r="D449" s="100">
        <f>'Proposed Rates'!F341</f>
        <v>5010</v>
      </c>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 customHeight="1">
      <c r="A450" s="62" t="s">
        <v>123</v>
      </c>
      <c r="B450" s="63"/>
      <c r="C450" s="64" t="s">
        <v>41</v>
      </c>
      <c r="D450" s="100">
        <f>'Proposed Rates'!F342</f>
        <v>39.14</v>
      </c>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 customHeight="1">
      <c r="A451" s="62" t="s">
        <v>124</v>
      </c>
      <c r="B451" s="63"/>
      <c r="C451" s="64"/>
      <c r="D451" s="69" t="str">
        <f>'Proposed Rates'!F343</f>
        <v>Per Attached Table</v>
      </c>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 customHeight="1">
      <c r="A452" s="62" t="s">
        <v>125</v>
      </c>
      <c r="B452" s="63"/>
      <c r="C452" s="64" t="s">
        <v>41</v>
      </c>
      <c r="D452" s="100">
        <f>'Proposed Rates'!F344</f>
        <v>165</v>
      </c>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1.25" customHeight="1">
      <c r="A453" s="607"/>
      <c r="B453" s="596"/>
      <c r="C453" s="64"/>
      <c r="D453" s="69"/>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23.25" customHeight="1">
      <c r="A454" s="597" t="str">
        <f>$A$39</f>
        <v>Hydro Ottawa Limited</v>
      </c>
      <c r="B454" s="595"/>
      <c r="C454" s="595"/>
      <c r="D454" s="596"/>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8" customHeight="1">
      <c r="A455" s="598" t="str">
        <f>$A$40</f>
        <v>PROPOSED - TARIFF OF RATES AND CHARGES</v>
      </c>
      <c r="B455" s="595"/>
      <c r="C455" s="595"/>
      <c r="D455" s="596"/>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99" t="str">
        <f>$A$41</f>
        <v>Effective and Implementation Date January 1, 2026</v>
      </c>
      <c r="B456" s="595"/>
      <c r="C456" s="595"/>
      <c r="D456" s="596"/>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1.25" customHeight="1">
      <c r="A457" s="600" t="str">
        <f>$A$42</f>
        <v>This schedule supersedes and replaces all previously</v>
      </c>
      <c r="B457" s="595"/>
      <c r="C457" s="595"/>
      <c r="D457" s="596"/>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1.25" customHeight="1">
      <c r="A458" s="600" t="str">
        <f>$A$43</f>
        <v>approved schedules of Rates, Charges and Loss Factors</v>
      </c>
      <c r="B458" s="595"/>
      <c r="C458" s="595"/>
      <c r="D458" s="596"/>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1.25" customHeight="1">
      <c r="A459" s="601" t="str">
        <f>$A$44</f>
        <v>EB-2024-0115</v>
      </c>
      <c r="B459" s="595"/>
      <c r="C459" s="595"/>
      <c r="D459" s="596"/>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8" customHeight="1">
      <c r="A460" s="95" t="s">
        <v>126</v>
      </c>
      <c r="B460" s="96"/>
      <c r="C460" s="96"/>
      <c r="D460" s="72"/>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6.75" customHeight="1">
      <c r="A461" s="95"/>
      <c r="B461" s="96"/>
      <c r="C461" s="96"/>
      <c r="D461" s="72"/>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36" customHeight="1">
      <c r="A462" s="603" t="s">
        <v>127</v>
      </c>
      <c r="B462" s="595"/>
      <c r="C462" s="595"/>
      <c r="D462" s="596"/>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6.75" customHeight="1">
      <c r="A463" s="54"/>
      <c r="B463" s="54"/>
      <c r="C463" s="54"/>
      <c r="D463" s="55"/>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48" customHeight="1">
      <c r="A464" s="603" t="s">
        <v>36</v>
      </c>
      <c r="B464" s="595"/>
      <c r="C464" s="595"/>
      <c r="D464" s="596"/>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6.75" customHeight="1">
      <c r="A465" s="54"/>
      <c r="B465" s="54"/>
      <c r="C465" s="54"/>
      <c r="D465" s="55"/>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24" customHeight="1">
      <c r="A466" s="603" t="s">
        <v>79</v>
      </c>
      <c r="B466" s="595"/>
      <c r="C466" s="595"/>
      <c r="D466" s="596"/>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6.75" customHeight="1">
      <c r="A467" s="54"/>
      <c r="B467" s="54"/>
      <c r="C467" s="54"/>
      <c r="D467" s="55"/>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36" customHeight="1">
      <c r="A468" s="603" t="s">
        <v>38</v>
      </c>
      <c r="B468" s="595"/>
      <c r="C468" s="595"/>
      <c r="D468" s="596"/>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6.75" customHeight="1">
      <c r="A469" s="54"/>
      <c r="B469" s="54"/>
      <c r="C469" s="54"/>
      <c r="D469" s="55"/>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24" customHeight="1">
      <c r="A470" s="603" t="s">
        <v>128</v>
      </c>
      <c r="B470" s="595"/>
      <c r="C470" s="595"/>
      <c r="D470" s="596"/>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 customHeight="1">
      <c r="A471" s="54"/>
      <c r="B471" s="63"/>
      <c r="C471" s="63"/>
      <c r="D471" s="72"/>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0.5" customHeight="1">
      <c r="A472" s="62" t="s">
        <v>129</v>
      </c>
      <c r="B472" s="63"/>
      <c r="C472" s="102" t="s">
        <v>41</v>
      </c>
      <c r="D472" s="103">
        <f>'Proposed Rates'!F347</f>
        <v>125.72</v>
      </c>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0.5" customHeight="1">
      <c r="A473" s="62" t="s">
        <v>130</v>
      </c>
      <c r="B473" s="63"/>
      <c r="C473" s="102" t="s">
        <v>41</v>
      </c>
      <c r="D473" s="103">
        <f>'Proposed Rates'!F348</f>
        <v>50.29</v>
      </c>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0.5" customHeight="1">
      <c r="A474" s="62" t="s">
        <v>131</v>
      </c>
      <c r="B474" s="63"/>
      <c r="C474" s="102" t="s">
        <v>132</v>
      </c>
      <c r="D474" s="104">
        <f>'Proposed Rates'!F349</f>
        <v>1.24</v>
      </c>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0.5" customHeight="1">
      <c r="A475" s="62" t="s">
        <v>133</v>
      </c>
      <c r="B475" s="63"/>
      <c r="C475" s="102" t="s">
        <v>132</v>
      </c>
      <c r="D475" s="103">
        <f>'Proposed Rates'!F350</f>
        <v>0.74</v>
      </c>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0.5" customHeight="1">
      <c r="A476" s="62" t="s">
        <v>134</v>
      </c>
      <c r="B476" s="63"/>
      <c r="C476" s="102" t="s">
        <v>132</v>
      </c>
      <c r="D476" s="103">
        <f>'Proposed Rates'!F351</f>
        <v>-0.74</v>
      </c>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0.5" customHeight="1">
      <c r="A477" s="62" t="s">
        <v>135</v>
      </c>
      <c r="B477" s="63"/>
      <c r="C477" s="62"/>
      <c r="D477" s="92"/>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0.5" customHeight="1">
      <c r="A478" s="62" t="s">
        <v>136</v>
      </c>
      <c r="B478" s="63"/>
      <c r="C478" s="102" t="s">
        <v>41</v>
      </c>
      <c r="D478" s="103">
        <f>'Proposed Rates'!F353</f>
        <v>0.63</v>
      </c>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0.5" customHeight="1">
      <c r="A479" s="62" t="s">
        <v>137</v>
      </c>
      <c r="B479" s="63"/>
      <c r="C479" s="102" t="s">
        <v>41</v>
      </c>
      <c r="D479" s="104">
        <f>'Proposed Rates'!F354</f>
        <v>1.24</v>
      </c>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3" customHeight="1">
      <c r="A480" s="62"/>
      <c r="B480" s="63"/>
      <c r="C480" s="102"/>
      <c r="D480" s="92"/>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0.5" customHeight="1">
      <c r="A481" s="62" t="s">
        <v>138</v>
      </c>
      <c r="B481" s="63"/>
      <c r="C481" s="105"/>
      <c r="D481" s="92"/>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0.5" customHeight="1">
      <c r="A482" s="62" t="s">
        <v>139</v>
      </c>
      <c r="B482" s="63"/>
      <c r="C482" s="105"/>
      <c r="D482" s="92"/>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0.5" customHeight="1">
      <c r="A483" s="62" t="s">
        <v>140</v>
      </c>
      <c r="B483" s="63"/>
      <c r="C483" s="105"/>
      <c r="D483" s="92"/>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0.5" customHeight="1">
      <c r="A484" s="62" t="s">
        <v>141</v>
      </c>
      <c r="B484" s="63"/>
      <c r="C484" s="102" t="s">
        <v>41</v>
      </c>
      <c r="D484" s="103" t="str">
        <f>'Proposed Rates'!F358</f>
        <v>no charge</v>
      </c>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0.5" customHeight="1">
      <c r="A485" s="62" t="s">
        <v>142</v>
      </c>
      <c r="B485" s="63"/>
      <c r="C485" s="102" t="s">
        <v>41</v>
      </c>
      <c r="D485" s="103">
        <f>'Proposed Rates'!F359</f>
        <v>5.03</v>
      </c>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3" customHeight="1">
      <c r="A486" s="62"/>
      <c r="B486" s="63"/>
      <c r="C486" s="102"/>
      <c r="D486" s="92"/>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0.5" customHeight="1">
      <c r="A487" s="62" t="s">
        <v>143</v>
      </c>
      <c r="B487" s="63"/>
      <c r="C487" s="105"/>
      <c r="D487" s="92"/>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0.5" customHeight="1">
      <c r="A488" s="62" t="s">
        <v>144</v>
      </c>
      <c r="B488" s="63"/>
      <c r="C488" s="102" t="s">
        <v>41</v>
      </c>
      <c r="D488" s="103">
        <f>'Proposed Rates'!F361</f>
        <v>2.5099999999999998</v>
      </c>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6.75" customHeight="1">
      <c r="A489" s="62"/>
      <c r="B489" s="62"/>
      <c r="C489" s="102"/>
      <c r="D489" s="92"/>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23.25" customHeight="1">
      <c r="A490" s="597" t="str">
        <f>$A$39</f>
        <v>Hydro Ottawa Limited</v>
      </c>
      <c r="B490" s="595"/>
      <c r="C490" s="595"/>
      <c r="D490" s="596"/>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8" customHeight="1">
      <c r="A491" s="598" t="str">
        <f>$A$40</f>
        <v>PROPOSED - TARIFF OF RATES AND CHARGES</v>
      </c>
      <c r="B491" s="595"/>
      <c r="C491" s="595"/>
      <c r="D491" s="596"/>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99" t="str">
        <f>$A$41</f>
        <v>Effective and Implementation Date January 1, 2026</v>
      </c>
      <c r="B492" s="595"/>
      <c r="C492" s="595"/>
      <c r="D492" s="596"/>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1.25" customHeight="1">
      <c r="A493" s="600" t="str">
        <f>$A$42</f>
        <v>This schedule supersedes and replaces all previously</v>
      </c>
      <c r="B493" s="595"/>
      <c r="C493" s="595"/>
      <c r="D493" s="596"/>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1.25" customHeight="1">
      <c r="A494" s="600" t="str">
        <f>$A$43</f>
        <v>approved schedules of Rates, Charges and Loss Factors</v>
      </c>
      <c r="B494" s="595"/>
      <c r="C494" s="595"/>
      <c r="D494" s="596"/>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1.25" customHeight="1">
      <c r="A495" s="601" t="str">
        <f>$A$44</f>
        <v>EB-2024-0115</v>
      </c>
      <c r="B495" s="595"/>
      <c r="C495" s="595"/>
      <c r="D495" s="596"/>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 customHeight="1">
      <c r="A496" s="106" t="s">
        <v>145</v>
      </c>
      <c r="B496" s="106"/>
      <c r="C496" s="107"/>
      <c r="D496" s="108"/>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6.75" customHeight="1">
      <c r="A497" s="106"/>
      <c r="B497" s="106"/>
      <c r="C497" s="107"/>
      <c r="D497" s="108"/>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22.5" customHeight="1">
      <c r="A498" s="605" t="s">
        <v>146</v>
      </c>
      <c r="B498" s="595"/>
      <c r="C498" s="596"/>
      <c r="D498" s="72"/>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1.25" customHeight="1">
      <c r="A499" s="62" t="s">
        <v>147</v>
      </c>
      <c r="B499" s="63"/>
      <c r="C499" s="63"/>
      <c r="D499" s="69">
        <f>'Proposed Rates'!F312</f>
        <v>1.0331999999999999</v>
      </c>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1.25" customHeight="1">
      <c r="A500" s="62" t="s">
        <v>148</v>
      </c>
      <c r="B500" s="63"/>
      <c r="C500" s="63"/>
      <c r="D500" s="69">
        <f>'Proposed Rates'!F313</f>
        <v>1.0149999999999999</v>
      </c>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1.25" customHeight="1">
      <c r="A501" s="62" t="s">
        <v>149</v>
      </c>
      <c r="B501" s="63"/>
      <c r="C501" s="63"/>
      <c r="D501" s="69">
        <f>'Proposed Rates'!F314</f>
        <v>1.0230999999999999</v>
      </c>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1.25" customHeight="1">
      <c r="A502" s="62" t="s">
        <v>150</v>
      </c>
      <c r="B502" s="63"/>
      <c r="C502" s="63"/>
      <c r="D502" s="69">
        <f>'Proposed Rates'!F315</f>
        <v>1.0047999999999999</v>
      </c>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7.25" customHeight="1">
      <c r="A503" s="53"/>
      <c r="B503" s="53"/>
      <c r="C503" s="53"/>
      <c r="D503" s="109"/>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36" customHeight="1">
      <c r="A504" s="53"/>
      <c r="B504" s="53"/>
      <c r="C504" s="53"/>
      <c r="D504" s="109"/>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c r="A505" s="53"/>
      <c r="B505" s="53"/>
      <c r="C505" s="53"/>
      <c r="D505" s="109"/>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c r="A506" s="53"/>
      <c r="B506" s="53"/>
      <c r="C506" s="53"/>
      <c r="D506" s="109"/>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c r="A507" s="53"/>
      <c r="B507" s="53"/>
      <c r="C507" s="53"/>
      <c r="D507" s="109"/>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c r="A508" s="53"/>
      <c r="B508" s="53"/>
      <c r="C508" s="53"/>
      <c r="D508" s="109"/>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c r="A509" s="53"/>
      <c r="B509" s="53"/>
      <c r="C509" s="53"/>
      <c r="D509" s="109"/>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c r="A510" s="53"/>
      <c r="B510" s="53"/>
      <c r="C510" s="53"/>
      <c r="D510" s="109"/>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c r="A511" s="53"/>
      <c r="B511" s="53"/>
      <c r="C511" s="53"/>
      <c r="D511" s="109"/>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c r="A512" s="53"/>
      <c r="B512" s="53"/>
      <c r="C512" s="53"/>
      <c r="D512" s="109"/>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c r="A513" s="53"/>
      <c r="B513" s="53"/>
      <c r="C513" s="53"/>
      <c r="D513" s="109"/>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c r="A514" s="53"/>
      <c r="B514" s="53"/>
      <c r="C514" s="53"/>
      <c r="D514" s="109"/>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c r="A515" s="53"/>
      <c r="B515" s="53"/>
      <c r="C515" s="53"/>
      <c r="D515" s="109"/>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c r="A516" s="53"/>
      <c r="B516" s="53"/>
      <c r="C516" s="53"/>
      <c r="D516" s="109"/>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c r="A517" s="53"/>
      <c r="B517" s="53"/>
      <c r="C517" s="53"/>
      <c r="D517" s="109"/>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c r="A518" s="53"/>
      <c r="B518" s="53"/>
      <c r="C518" s="53"/>
      <c r="D518" s="109"/>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c r="A519" s="53"/>
      <c r="B519" s="53"/>
      <c r="C519" s="53"/>
      <c r="D519" s="109"/>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c r="A520" s="53"/>
      <c r="B520" s="53"/>
      <c r="C520" s="53"/>
      <c r="D520" s="109"/>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c r="A521" s="53"/>
      <c r="B521" s="53"/>
      <c r="C521" s="53"/>
      <c r="D521" s="109"/>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c r="A522" s="53"/>
      <c r="B522" s="53"/>
      <c r="C522" s="53"/>
      <c r="D522" s="109"/>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c r="A523" s="53"/>
      <c r="B523" s="53"/>
      <c r="C523" s="53"/>
      <c r="D523" s="109"/>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c r="A524" s="53"/>
      <c r="B524" s="53"/>
      <c r="C524" s="53"/>
      <c r="D524" s="109"/>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c r="A525" s="53"/>
      <c r="B525" s="53"/>
      <c r="C525" s="53"/>
      <c r="D525" s="109"/>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c r="A526" s="53"/>
      <c r="B526" s="53"/>
      <c r="C526" s="53"/>
      <c r="D526" s="109"/>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109"/>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109"/>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109"/>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109"/>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109"/>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109"/>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109"/>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109"/>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109"/>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109"/>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109"/>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109"/>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109"/>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109"/>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109"/>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109"/>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109"/>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109"/>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109"/>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109"/>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109"/>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109"/>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109"/>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109"/>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109"/>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109"/>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109"/>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109"/>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109"/>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109"/>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109"/>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109"/>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109"/>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109"/>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109"/>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109"/>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109"/>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109"/>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109"/>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109"/>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109"/>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109"/>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109"/>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109"/>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109"/>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109"/>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109"/>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109"/>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109"/>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109"/>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109"/>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109"/>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109"/>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109"/>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109"/>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109"/>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109"/>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109"/>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109"/>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109"/>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109"/>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109"/>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109"/>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109"/>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109"/>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109"/>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109"/>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109"/>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109"/>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109"/>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109"/>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109"/>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109"/>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109"/>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109"/>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109"/>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109"/>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109"/>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109"/>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109"/>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109"/>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109"/>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109"/>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109"/>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109"/>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109"/>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109"/>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109"/>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109"/>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109"/>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109"/>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109"/>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109"/>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109"/>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109"/>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109"/>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109"/>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109"/>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109"/>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109"/>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109"/>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109"/>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109"/>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109"/>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109"/>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109"/>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109"/>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109"/>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109"/>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109"/>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109"/>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109"/>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109"/>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109"/>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109"/>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109"/>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109"/>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109"/>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109"/>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109"/>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109"/>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109"/>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109"/>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109"/>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109"/>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109"/>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109"/>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109"/>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109"/>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109"/>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109"/>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109"/>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109"/>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109"/>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109"/>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109"/>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109"/>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109"/>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109"/>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109"/>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109"/>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109"/>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109"/>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109"/>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109"/>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109"/>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109"/>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109"/>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109"/>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109"/>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109"/>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109"/>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109"/>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109"/>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109"/>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109"/>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109"/>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109"/>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109"/>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109"/>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109"/>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63"/>
      <c r="B688" s="63"/>
      <c r="C688" s="63"/>
      <c r="D688" s="110"/>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110"/>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110"/>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110"/>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110"/>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110"/>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110"/>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110"/>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110"/>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110"/>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110"/>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110"/>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110"/>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110"/>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110"/>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row r="704" spans="1:26"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8">
    <mergeCell ref="A1:D1"/>
    <mergeCell ref="A2:D2"/>
    <mergeCell ref="A3:D3"/>
    <mergeCell ref="A4:D4"/>
    <mergeCell ref="A5:D5"/>
    <mergeCell ref="A6:D6"/>
    <mergeCell ref="A7:D7"/>
    <mergeCell ref="A8:D8"/>
    <mergeCell ref="A10:D10"/>
    <mergeCell ref="A12:D12"/>
    <mergeCell ref="A14:D14"/>
    <mergeCell ref="A16:D16"/>
    <mergeCell ref="A18:D18"/>
    <mergeCell ref="A20:D20"/>
    <mergeCell ref="A39:D39"/>
    <mergeCell ref="A40:D40"/>
    <mergeCell ref="A41:D41"/>
    <mergeCell ref="A42:D42"/>
    <mergeCell ref="A43:D43"/>
    <mergeCell ref="A44:D44"/>
    <mergeCell ref="A45:D45"/>
    <mergeCell ref="A46:D46"/>
    <mergeCell ref="A48:D48"/>
    <mergeCell ref="A50:D50"/>
    <mergeCell ref="A52:D52"/>
    <mergeCell ref="A54:D54"/>
    <mergeCell ref="A56:D56"/>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98:D98"/>
    <mergeCell ref="A119:D119"/>
    <mergeCell ref="A120:D120"/>
    <mergeCell ref="A121:D121"/>
    <mergeCell ref="A122:D122"/>
    <mergeCell ref="A123:D123"/>
    <mergeCell ref="A124:D124"/>
    <mergeCell ref="A125:D125"/>
    <mergeCell ref="A126:D126"/>
    <mergeCell ref="A128:D128"/>
    <mergeCell ref="A130:D130"/>
    <mergeCell ref="A132:D132"/>
    <mergeCell ref="A134:D134"/>
    <mergeCell ref="A136:D136"/>
    <mergeCell ref="A137:D137"/>
    <mergeCell ref="A138:D138"/>
    <mergeCell ref="A139:D139"/>
    <mergeCell ref="A160:D160"/>
    <mergeCell ref="A161:D161"/>
    <mergeCell ref="A162:D162"/>
    <mergeCell ref="A163:D163"/>
    <mergeCell ref="A164:D164"/>
    <mergeCell ref="A165:D165"/>
    <mergeCell ref="A166:D166"/>
    <mergeCell ref="A167:D167"/>
    <mergeCell ref="A169:D169"/>
    <mergeCell ref="A171:D171"/>
    <mergeCell ref="A173:D173"/>
    <mergeCell ref="A175:D175"/>
    <mergeCell ref="A177:D177"/>
    <mergeCell ref="A178:D178"/>
    <mergeCell ref="A179:D179"/>
    <mergeCell ref="A180:D180"/>
    <mergeCell ref="A201:D201"/>
    <mergeCell ref="A202:D202"/>
    <mergeCell ref="A203:D203"/>
    <mergeCell ref="A204:D204"/>
    <mergeCell ref="A205:D205"/>
    <mergeCell ref="A206:D206"/>
    <mergeCell ref="A207:D207"/>
    <mergeCell ref="A208:D208"/>
    <mergeCell ref="A210:D210"/>
    <mergeCell ref="A212:D212"/>
    <mergeCell ref="A214:D214"/>
    <mergeCell ref="A216:D216"/>
    <mergeCell ref="A218:D218"/>
    <mergeCell ref="A238:D238"/>
    <mergeCell ref="A239:D239"/>
    <mergeCell ref="A240:D240"/>
    <mergeCell ref="A241:D241"/>
    <mergeCell ref="A242:D242"/>
    <mergeCell ref="A243:D243"/>
    <mergeCell ref="A244:D244"/>
    <mergeCell ref="A245:D245"/>
    <mergeCell ref="A247:D247"/>
    <mergeCell ref="A249:D249"/>
    <mergeCell ref="A359:D359"/>
    <mergeCell ref="A251:D251"/>
    <mergeCell ref="A253:D253"/>
    <mergeCell ref="A255:D255"/>
    <mergeCell ref="A264:D264"/>
    <mergeCell ref="A265:D265"/>
    <mergeCell ref="A266:D266"/>
    <mergeCell ref="A267:D267"/>
    <mergeCell ref="A268:D268"/>
    <mergeCell ref="A269:D269"/>
    <mergeCell ref="A270:D270"/>
    <mergeCell ref="A271:D271"/>
    <mergeCell ref="A273:D273"/>
    <mergeCell ref="A275:D275"/>
    <mergeCell ref="A277:D277"/>
    <mergeCell ref="A279:D279"/>
    <mergeCell ref="A363:D363"/>
    <mergeCell ref="A364:D364"/>
    <mergeCell ref="A365:D365"/>
    <mergeCell ref="A366:D366"/>
    <mergeCell ref="A367:D367"/>
    <mergeCell ref="A368:D368"/>
    <mergeCell ref="A369:D369"/>
    <mergeCell ref="A370:D370"/>
    <mergeCell ref="A372:D372"/>
    <mergeCell ref="A403:D403"/>
    <mergeCell ref="A374:D374"/>
    <mergeCell ref="A376:D376"/>
    <mergeCell ref="A378:D378"/>
    <mergeCell ref="A380:D380"/>
    <mergeCell ref="A382:D382"/>
    <mergeCell ref="A386:D386"/>
    <mergeCell ref="A387:D387"/>
    <mergeCell ref="A388:D388"/>
    <mergeCell ref="A389:D389"/>
    <mergeCell ref="A420:D420"/>
    <mergeCell ref="A422:D422"/>
    <mergeCell ref="A424:D424"/>
    <mergeCell ref="A426:D426"/>
    <mergeCell ref="A453:B453"/>
    <mergeCell ref="A454:D454"/>
    <mergeCell ref="A455:D455"/>
    <mergeCell ref="A456:D456"/>
    <mergeCell ref="A457:D457"/>
    <mergeCell ref="A458:D458"/>
    <mergeCell ref="A459:D459"/>
    <mergeCell ref="A462:D462"/>
    <mergeCell ref="A464:D464"/>
    <mergeCell ref="A466:D466"/>
    <mergeCell ref="A495:D495"/>
    <mergeCell ref="A498:C498"/>
    <mergeCell ref="A468:D468"/>
    <mergeCell ref="A470:D470"/>
    <mergeCell ref="A490:D490"/>
    <mergeCell ref="A491:D491"/>
    <mergeCell ref="A492:D492"/>
    <mergeCell ref="A493:D493"/>
    <mergeCell ref="A494:D494"/>
    <mergeCell ref="A281:D281"/>
    <mergeCell ref="A301:D301"/>
    <mergeCell ref="A302:D302"/>
    <mergeCell ref="A303:D303"/>
    <mergeCell ref="A304:D304"/>
    <mergeCell ref="A305:D305"/>
    <mergeCell ref="A306:D306"/>
    <mergeCell ref="A307:D307"/>
    <mergeCell ref="A308:D308"/>
    <mergeCell ref="A310:D310"/>
    <mergeCell ref="A312:D312"/>
    <mergeCell ref="A314:D314"/>
    <mergeCell ref="A316:D316"/>
    <mergeCell ref="A318:D318"/>
    <mergeCell ref="A340:D340"/>
    <mergeCell ref="A341:D341"/>
    <mergeCell ref="A342:D342"/>
    <mergeCell ref="A343:D343"/>
    <mergeCell ref="A405:D405"/>
    <mergeCell ref="A412:D412"/>
    <mergeCell ref="A413:D413"/>
    <mergeCell ref="A414:D414"/>
    <mergeCell ref="A415:D415"/>
    <mergeCell ref="A416:D416"/>
    <mergeCell ref="A417:D417"/>
    <mergeCell ref="A344:D344"/>
    <mergeCell ref="A345:D345"/>
    <mergeCell ref="A346:D346"/>
    <mergeCell ref="A347:D347"/>
    <mergeCell ref="A349:D349"/>
    <mergeCell ref="A351:D351"/>
    <mergeCell ref="A353:D353"/>
    <mergeCell ref="A355:D355"/>
    <mergeCell ref="A357:D357"/>
    <mergeCell ref="A390:D390"/>
    <mergeCell ref="A391:D391"/>
    <mergeCell ref="A392:D392"/>
    <mergeCell ref="A393:D393"/>
    <mergeCell ref="A395:D395"/>
    <mergeCell ref="A397:D397"/>
    <mergeCell ref="A399:D399"/>
    <mergeCell ref="A401:D401"/>
  </mergeCells>
  <pageMargins left="0.7" right="0.7" top="0.75" bottom="0.75" header="0" footer="0"/>
  <pageSetup orientation="portrait"/>
  <rowBreaks count="3" manualBreakCount="3">
    <brk id="83" man="1"/>
    <brk id="124" man="1"/>
    <brk id="4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1000"/>
  <sheetViews>
    <sheetView showGridLines="0" workbookViewId="0">
      <pane ySplit="14" topLeftCell="A54" activePane="bottomLeft" state="frozen"/>
      <selection pane="bottomLeft" activeCell="B16" sqref="B16"/>
    </sheetView>
  </sheetViews>
  <sheetFormatPr defaultColWidth="12.5703125" defaultRowHeight="15" customHeight="1"/>
  <cols>
    <col min="1" max="1" width="2.140625" customWidth="1"/>
    <col min="2" max="2" width="30.7109375" customWidth="1"/>
    <col min="3" max="3" width="4.42578125" customWidth="1"/>
    <col min="4" max="4" width="11.42578125" customWidth="1"/>
    <col min="5" max="5" width="1.42578125" customWidth="1"/>
    <col min="6" max="6" width="12.140625" customWidth="1"/>
    <col min="7" max="7" width="8" customWidth="1"/>
    <col min="8" max="8" width="9.28515625" customWidth="1"/>
    <col min="9" max="9" width="0.42578125" customWidth="1"/>
    <col min="10" max="10" width="10.42578125" customWidth="1"/>
    <col min="11" max="11" width="8" customWidth="1"/>
    <col min="12" max="12" width="9.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6" width="12.42578125" customWidth="1"/>
  </cols>
  <sheetData>
    <row r="1" spans="1:46"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6"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6"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6" ht="12" customHeight="1">
      <c r="A4" s="52"/>
      <c r="B4" s="52"/>
      <c r="C4" s="52"/>
      <c r="D4" s="52"/>
      <c r="E4" s="52"/>
      <c r="F4" s="52"/>
      <c r="G4" s="52"/>
      <c r="H4" s="52"/>
      <c r="I4" s="52"/>
      <c r="J4" s="52"/>
      <c r="K4" s="52"/>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row>
    <row r="5" spans="1:46" ht="12" customHeight="1">
      <c r="A5" s="52"/>
      <c r="B5" s="52"/>
      <c r="C5" s="52"/>
      <c r="D5" s="52"/>
      <c r="E5" s="52"/>
      <c r="F5" s="52"/>
      <c r="G5" s="52"/>
      <c r="H5" s="52"/>
      <c r="I5" s="52"/>
      <c r="J5" s="52"/>
      <c r="K5" s="52"/>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row>
    <row r="6" spans="1:46" ht="12" customHeight="1">
      <c r="A6" s="52"/>
      <c r="B6" s="319" t="s">
        <v>294</v>
      </c>
      <c r="C6" s="52"/>
      <c r="D6" s="505" t="s">
        <v>220</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row>
    <row r="7" spans="1:46"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6"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6"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6" ht="12" customHeight="1">
      <c r="A10" s="52"/>
      <c r="B10" s="52"/>
      <c r="C10" s="52"/>
      <c r="D10" s="306" t="s">
        <v>297</v>
      </c>
      <c r="E10" s="306"/>
      <c r="F10" s="386">
        <v>2000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6"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6"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6"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6"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6"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16" si="20">AM15*AL15</f>
        <v>37</v>
      </c>
      <c r="AO15" s="128"/>
      <c r="AP15" s="401">
        <f t="shared" ref="AP15:AP48" si="21">AN15-AG15</f>
        <v>2</v>
      </c>
      <c r="AQ15" s="402">
        <f t="shared" ref="AQ15:AQ48" si="22">IF((AG15)=0,"",(AP15/AG15))</f>
        <v>5.7142857142857141E-2</v>
      </c>
      <c r="AR15" s="403"/>
    </row>
    <row r="16" spans="1:46"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2000</v>
      </c>
      <c r="H17" s="400">
        <f t="shared" si="2"/>
        <v>0</v>
      </c>
      <c r="I17" s="128"/>
      <c r="J17" s="414">
        <f>IFERROR(VLOOKUP($C17,'Proposed Rates'!$B:$J,J$11,FALSE),0)</f>
        <v>0</v>
      </c>
      <c r="K17" s="398">
        <f t="shared" si="3"/>
        <v>2000</v>
      </c>
      <c r="L17" s="400">
        <f t="shared" si="4"/>
        <v>0</v>
      </c>
      <c r="M17" s="128"/>
      <c r="N17" s="401">
        <f t="shared" si="5"/>
        <v>0</v>
      </c>
      <c r="O17" s="402" t="str">
        <f t="shared" si="6"/>
        <v/>
      </c>
      <c r="P17" s="52"/>
      <c r="Q17" s="414">
        <f>IFERROR(VLOOKUP($C17,'Proposed Rates'!$B:$J,Q$11,FALSE),0)</f>
        <v>0</v>
      </c>
      <c r="R17" s="398">
        <f t="shared" si="7"/>
        <v>2000</v>
      </c>
      <c r="S17" s="400">
        <f t="shared" si="8"/>
        <v>0</v>
      </c>
      <c r="T17" s="128"/>
      <c r="U17" s="401">
        <f t="shared" si="9"/>
        <v>0</v>
      </c>
      <c r="V17" s="402" t="str">
        <f t="shared" si="10"/>
        <v/>
      </c>
      <c r="W17" s="52"/>
      <c r="X17" s="414">
        <f>IFERROR(VLOOKUP($C17,'Proposed Rates'!$B:$J,X$11,FALSE),0)</f>
        <v>0</v>
      </c>
      <c r="Y17" s="398">
        <f t="shared" si="11"/>
        <v>2000</v>
      </c>
      <c r="Z17" s="400">
        <f t="shared" si="12"/>
        <v>0</v>
      </c>
      <c r="AA17" s="128"/>
      <c r="AB17" s="401">
        <f t="shared" si="13"/>
        <v>0</v>
      </c>
      <c r="AC17" s="402" t="str">
        <f t="shared" si="14"/>
        <v/>
      </c>
      <c r="AD17" s="52"/>
      <c r="AE17" s="414">
        <f>IFERROR(VLOOKUP($C17,'Proposed Rates'!$B:$J,AE$11,FALSE),0)</f>
        <v>0</v>
      </c>
      <c r="AF17" s="398">
        <f t="shared" si="15"/>
        <v>2000</v>
      </c>
      <c r="AG17" s="400">
        <f t="shared" si="16"/>
        <v>0</v>
      </c>
      <c r="AH17" s="128"/>
      <c r="AI17" s="401">
        <f t="shared" si="17"/>
        <v>0</v>
      </c>
      <c r="AJ17" s="402" t="str">
        <f t="shared" si="18"/>
        <v/>
      </c>
      <c r="AK17" s="52"/>
      <c r="AL17" s="414">
        <f>IFERROR(VLOOKUP($C17,'Proposed Rates'!$B:$J,AL$11,FALSE),0)</f>
        <v>0</v>
      </c>
      <c r="AM17" s="398">
        <f t="shared" si="19"/>
        <v>2000</v>
      </c>
      <c r="AN17" s="400">
        <f t="shared" ref="AN17:AN18" si="23">AL17*AM17</f>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3"/>
        <v>0</v>
      </c>
      <c r="AO18" s="128"/>
      <c r="AP18" s="401">
        <f t="shared" si="21"/>
        <v>0</v>
      </c>
      <c r="AQ18" s="402" t="str">
        <f t="shared" si="22"/>
        <v/>
      </c>
      <c r="AR18" s="403"/>
    </row>
    <row r="19" spans="1:44"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2000</v>
      </c>
      <c r="H19" s="400">
        <f t="shared" si="2"/>
        <v>61</v>
      </c>
      <c r="I19" s="128"/>
      <c r="J19" s="414">
        <f>IFERROR(VLOOKUP($C19,'Proposed Rates'!$B:$J,J$11,FALSE),0)</f>
        <v>3.6400000000000002E-2</v>
      </c>
      <c r="K19" s="398">
        <f t="shared" si="3"/>
        <v>2000</v>
      </c>
      <c r="L19" s="400">
        <f t="shared" si="4"/>
        <v>72.8</v>
      </c>
      <c r="M19" s="128"/>
      <c r="N19" s="401">
        <f t="shared" si="5"/>
        <v>11.799999999999997</v>
      </c>
      <c r="O19" s="402">
        <f t="shared" si="6"/>
        <v>0.19344262295081963</v>
      </c>
      <c r="P19" s="52"/>
      <c r="Q19" s="414">
        <f>IFERROR(VLOOKUP($C19,'Proposed Rates'!$B:$J,Q$11,FALSE),0)</f>
        <v>3.9100000000000003E-2</v>
      </c>
      <c r="R19" s="398">
        <f t="shared" si="7"/>
        <v>2000</v>
      </c>
      <c r="S19" s="400">
        <f t="shared" si="8"/>
        <v>78.2</v>
      </c>
      <c r="T19" s="128"/>
      <c r="U19" s="401">
        <f t="shared" si="9"/>
        <v>5.4000000000000057</v>
      </c>
      <c r="V19" s="402">
        <f t="shared" si="10"/>
        <v>7.4175824175824259E-2</v>
      </c>
      <c r="W19" s="52"/>
      <c r="X19" s="414">
        <f>IFERROR(VLOOKUP($C19,'Proposed Rates'!$B:$J,X$11,FALSE),0)</f>
        <v>4.2599999999999999E-2</v>
      </c>
      <c r="Y19" s="398">
        <f t="shared" si="11"/>
        <v>2000</v>
      </c>
      <c r="Z19" s="400">
        <f t="shared" si="12"/>
        <v>85.2</v>
      </c>
      <c r="AA19" s="128"/>
      <c r="AB19" s="401">
        <f t="shared" si="13"/>
        <v>7</v>
      </c>
      <c r="AC19" s="402">
        <f t="shared" si="14"/>
        <v>8.9514066496163683E-2</v>
      </c>
      <c r="AD19" s="52"/>
      <c r="AE19" s="414">
        <f>IFERROR(VLOOKUP($C19,'Proposed Rates'!$B:$J,AE$11,FALSE),0)</f>
        <v>4.53E-2</v>
      </c>
      <c r="AF19" s="398">
        <f t="shared" si="15"/>
        <v>2000</v>
      </c>
      <c r="AG19" s="400">
        <f t="shared" si="16"/>
        <v>90.6</v>
      </c>
      <c r="AH19" s="128"/>
      <c r="AI19" s="401">
        <f t="shared" si="17"/>
        <v>5.3999999999999915</v>
      </c>
      <c r="AJ19" s="402">
        <f t="shared" si="18"/>
        <v>6.3380281690140747E-2</v>
      </c>
      <c r="AK19" s="52"/>
      <c r="AL19" s="414">
        <f>IFERROR(VLOOKUP($C19,'Proposed Rates'!$B:$J,AL$11,FALSE),0)</f>
        <v>4.7899999999999998E-2</v>
      </c>
      <c r="AM19" s="398">
        <f t="shared" si="19"/>
        <v>2000</v>
      </c>
      <c r="AN19" s="400">
        <f t="shared" ref="AN19:AN28" si="24">AM19*AL19</f>
        <v>95.8</v>
      </c>
      <c r="AO19" s="128"/>
      <c r="AP19" s="401">
        <f t="shared" si="21"/>
        <v>5.2000000000000028</v>
      </c>
      <c r="AQ19" s="402">
        <f t="shared" si="22"/>
        <v>5.7395143487858756E-2</v>
      </c>
      <c r="AR19" s="403"/>
    </row>
    <row r="20" spans="1:44" ht="12" customHeight="1">
      <c r="A20" s="52"/>
      <c r="B20" s="320" t="s">
        <v>309</v>
      </c>
      <c r="C20" s="395" t="str">
        <f t="shared" si="0"/>
        <v>General Service &lt; 50 kW.Smart Meter Disposition Rider</v>
      </c>
      <c r="D20" s="396" t="s">
        <v>308</v>
      </c>
      <c r="E20" s="320"/>
      <c r="F20" s="414">
        <f>IFERROR(VLOOKUP($C20,'Proposed Rates'!$B:$J,F$11,FALSE),0)</f>
        <v>0</v>
      </c>
      <c r="G20" s="398">
        <f t="shared" si="1"/>
        <v>2000</v>
      </c>
      <c r="H20" s="400">
        <f t="shared" si="2"/>
        <v>0</v>
      </c>
      <c r="I20" s="128"/>
      <c r="J20" s="414">
        <f>IFERROR(VLOOKUP($C20,'Proposed Rates'!$B:$J,J$11,FALSE),0)</f>
        <v>0</v>
      </c>
      <c r="K20" s="398">
        <f t="shared" si="3"/>
        <v>2000</v>
      </c>
      <c r="L20" s="400">
        <f t="shared" si="4"/>
        <v>0</v>
      </c>
      <c r="M20" s="128"/>
      <c r="N20" s="401">
        <f t="shared" si="5"/>
        <v>0</v>
      </c>
      <c r="O20" s="402" t="str">
        <f t="shared" si="6"/>
        <v/>
      </c>
      <c r="P20" s="52"/>
      <c r="Q20" s="414">
        <f>IFERROR(VLOOKUP($C20,'Proposed Rates'!$B:$J,Q$11,FALSE),0)</f>
        <v>0</v>
      </c>
      <c r="R20" s="398">
        <f t="shared" si="7"/>
        <v>2000</v>
      </c>
      <c r="S20" s="400">
        <f t="shared" si="8"/>
        <v>0</v>
      </c>
      <c r="T20" s="128"/>
      <c r="U20" s="401">
        <f t="shared" si="9"/>
        <v>0</v>
      </c>
      <c r="V20" s="402" t="str">
        <f t="shared" si="10"/>
        <v/>
      </c>
      <c r="W20" s="52"/>
      <c r="X20" s="414">
        <f>IFERROR(VLOOKUP($C20,'Proposed Rates'!$B:$J,X$11,FALSE),0)</f>
        <v>0</v>
      </c>
      <c r="Y20" s="398">
        <f t="shared" si="11"/>
        <v>2000</v>
      </c>
      <c r="Z20" s="400">
        <f t="shared" si="12"/>
        <v>0</v>
      </c>
      <c r="AA20" s="128"/>
      <c r="AB20" s="401">
        <f t="shared" si="13"/>
        <v>0</v>
      </c>
      <c r="AC20" s="402" t="str">
        <f t="shared" si="14"/>
        <v/>
      </c>
      <c r="AD20" s="52"/>
      <c r="AE20" s="414">
        <f>IFERROR(VLOOKUP($C20,'Proposed Rates'!$B:$J,AE$11,FALSE),0)</f>
        <v>0</v>
      </c>
      <c r="AF20" s="398">
        <f t="shared" si="15"/>
        <v>2000</v>
      </c>
      <c r="AG20" s="400">
        <f t="shared" si="16"/>
        <v>0</v>
      </c>
      <c r="AH20" s="128"/>
      <c r="AI20" s="401">
        <f t="shared" si="17"/>
        <v>0</v>
      </c>
      <c r="AJ20" s="402" t="str">
        <f t="shared" si="18"/>
        <v/>
      </c>
      <c r="AK20" s="52"/>
      <c r="AL20" s="414">
        <f>IFERROR(VLOOKUP($C20,'Proposed Rates'!$B:$J,AL$11,FALSE),0)</f>
        <v>0</v>
      </c>
      <c r="AM20" s="398">
        <f t="shared" si="19"/>
        <v>2000</v>
      </c>
      <c r="AN20" s="400">
        <f t="shared" si="24"/>
        <v>0</v>
      </c>
      <c r="AO20" s="128"/>
      <c r="AP20" s="401">
        <f t="shared" si="21"/>
        <v>0</v>
      </c>
      <c r="AQ20" s="402" t="str">
        <f t="shared" si="22"/>
        <v/>
      </c>
      <c r="AR20" s="403"/>
    </row>
    <row r="21" spans="1:44" ht="12" customHeight="1">
      <c r="A21" s="52"/>
      <c r="B21" s="320" t="s">
        <v>241</v>
      </c>
      <c r="C21" s="395" t="str">
        <f t="shared" si="0"/>
        <v>General Service &lt; 50 kW.LRAM Rate Rider</v>
      </c>
      <c r="D21" s="396" t="s">
        <v>308</v>
      </c>
      <c r="E21" s="320"/>
      <c r="F21" s="414">
        <f>'Proposed Rates'!E78+'Proposed Rates'!E91</f>
        <v>6.9999999999999999E-4</v>
      </c>
      <c r="G21" s="398">
        <f t="shared" si="1"/>
        <v>2000</v>
      </c>
      <c r="H21" s="400">
        <f t="shared" si="2"/>
        <v>1.4</v>
      </c>
      <c r="I21" s="128"/>
      <c r="J21" s="414">
        <f>'Proposed Rates'!F78+'Proposed Rates'!F91</f>
        <v>4.0000000000000002E-4</v>
      </c>
      <c r="K21" s="398">
        <f t="shared" si="3"/>
        <v>2000</v>
      </c>
      <c r="L21" s="400">
        <f t="shared" si="4"/>
        <v>0.8</v>
      </c>
      <c r="M21" s="128"/>
      <c r="N21" s="401">
        <f t="shared" si="5"/>
        <v>-0.59999999999999987</v>
      </c>
      <c r="O21" s="402">
        <f t="shared" si="6"/>
        <v>-0.42857142857142849</v>
      </c>
      <c r="P21" s="52"/>
      <c r="Q21" s="414">
        <f>'Proposed Rates'!G78+'Proposed Rates'!G91</f>
        <v>0</v>
      </c>
      <c r="R21" s="398">
        <f t="shared" si="7"/>
        <v>2000</v>
      </c>
      <c r="S21" s="400">
        <f t="shared" si="8"/>
        <v>0</v>
      </c>
      <c r="T21" s="128"/>
      <c r="U21" s="401">
        <f t="shared" si="9"/>
        <v>-0.8</v>
      </c>
      <c r="V21" s="402">
        <f t="shared" si="10"/>
        <v>-1</v>
      </c>
      <c r="W21" s="52"/>
      <c r="X21" s="414">
        <f>IFERROR(VLOOKUP($C21,'Proposed Rates'!$B:$J,X$11,FALSE),0)</f>
        <v>0</v>
      </c>
      <c r="Y21" s="398">
        <f t="shared" si="11"/>
        <v>2000</v>
      </c>
      <c r="Z21" s="400">
        <f t="shared" si="12"/>
        <v>0</v>
      </c>
      <c r="AA21" s="128"/>
      <c r="AB21" s="401">
        <f t="shared" si="13"/>
        <v>0</v>
      </c>
      <c r="AC21" s="402" t="str">
        <f t="shared" si="14"/>
        <v/>
      </c>
      <c r="AD21" s="52"/>
      <c r="AE21" s="414">
        <f>IFERROR(VLOOKUP($C21,'Proposed Rates'!$B:$J,AE$11,FALSE),0)</f>
        <v>0</v>
      </c>
      <c r="AF21" s="398">
        <f t="shared" si="15"/>
        <v>2000</v>
      </c>
      <c r="AG21" s="400">
        <f t="shared" si="16"/>
        <v>0</v>
      </c>
      <c r="AH21" s="128"/>
      <c r="AI21" s="401">
        <f t="shared" si="17"/>
        <v>0</v>
      </c>
      <c r="AJ21" s="402" t="str">
        <f t="shared" si="18"/>
        <v/>
      </c>
      <c r="AK21" s="52"/>
      <c r="AL21" s="414">
        <f>IFERROR(VLOOKUP($C21,'Proposed Rates'!$B:$J,AL$11,FALSE),0)</f>
        <v>0</v>
      </c>
      <c r="AM21" s="398">
        <f t="shared" si="19"/>
        <v>2000</v>
      </c>
      <c r="AN21" s="400">
        <f t="shared" si="24"/>
        <v>0</v>
      </c>
      <c r="AO21" s="128"/>
      <c r="AP21" s="401">
        <f t="shared" si="21"/>
        <v>0</v>
      </c>
      <c r="AQ21" s="402" t="str">
        <f t="shared" si="22"/>
        <v/>
      </c>
      <c r="AR21" s="403"/>
    </row>
    <row r="22" spans="1:44"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2000</v>
      </c>
      <c r="H22" s="400">
        <f t="shared" si="2"/>
        <v>0</v>
      </c>
      <c r="I22" s="128"/>
      <c r="J22" s="414">
        <f>IFERROR(VLOOKUP($C22,'Proposed Rates'!$B:$J,J$11,FALSE),0)</f>
        <v>-5.9999999999999995E-4</v>
      </c>
      <c r="K22" s="398">
        <f t="shared" si="3"/>
        <v>2000</v>
      </c>
      <c r="L22" s="400">
        <f t="shared" si="4"/>
        <v>-1.2</v>
      </c>
      <c r="M22" s="128"/>
      <c r="N22" s="401">
        <f t="shared" si="5"/>
        <v>-1.2</v>
      </c>
      <c r="O22" s="402" t="str">
        <f t="shared" si="6"/>
        <v/>
      </c>
      <c r="P22" s="52"/>
      <c r="Q22" s="414">
        <f>IFERROR(VLOOKUP($C22,'Proposed Rates'!$B:$J,Q$11,FALSE),0)</f>
        <v>0</v>
      </c>
      <c r="R22" s="398">
        <f t="shared" si="7"/>
        <v>2000</v>
      </c>
      <c r="S22" s="400">
        <f t="shared" si="8"/>
        <v>0</v>
      </c>
      <c r="T22" s="128"/>
      <c r="U22" s="401">
        <f t="shared" si="9"/>
        <v>1.2</v>
      </c>
      <c r="V22" s="402">
        <f t="shared" si="10"/>
        <v>-1</v>
      </c>
      <c r="W22" s="52"/>
      <c r="X22" s="414">
        <f>IFERROR(VLOOKUP($C22,'Proposed Rates'!$B:$J,X$11,FALSE),0)</f>
        <v>0</v>
      </c>
      <c r="Y22" s="398">
        <f t="shared" si="11"/>
        <v>2000</v>
      </c>
      <c r="Z22" s="400">
        <f t="shared" si="12"/>
        <v>0</v>
      </c>
      <c r="AA22" s="128"/>
      <c r="AB22" s="401">
        <f t="shared" si="13"/>
        <v>0</v>
      </c>
      <c r="AC22" s="402" t="str">
        <f t="shared" si="14"/>
        <v/>
      </c>
      <c r="AD22" s="52"/>
      <c r="AE22" s="414">
        <f>IFERROR(VLOOKUP($C22,'Proposed Rates'!$B:$J,AE$11,FALSE),0)</f>
        <v>0</v>
      </c>
      <c r="AF22" s="398">
        <f t="shared" si="15"/>
        <v>2000</v>
      </c>
      <c r="AG22" s="400">
        <f t="shared" si="16"/>
        <v>0</v>
      </c>
      <c r="AH22" s="128"/>
      <c r="AI22" s="401">
        <f t="shared" si="17"/>
        <v>0</v>
      </c>
      <c r="AJ22" s="402" t="str">
        <f t="shared" si="18"/>
        <v/>
      </c>
      <c r="AK22" s="52"/>
      <c r="AL22" s="414">
        <f>IFERROR(VLOOKUP($C22,'Proposed Rates'!$B:$J,AL$11,FALSE),0)</f>
        <v>0</v>
      </c>
      <c r="AM22" s="398">
        <f t="shared" si="19"/>
        <v>2000</v>
      </c>
      <c r="AN22" s="400">
        <f t="shared" si="24"/>
        <v>0</v>
      </c>
      <c r="AO22" s="128"/>
      <c r="AP22" s="401">
        <f t="shared" si="21"/>
        <v>0</v>
      </c>
      <c r="AQ22" s="402" t="str">
        <f t="shared" si="22"/>
        <v/>
      </c>
      <c r="AR22" s="403"/>
    </row>
    <row r="23" spans="1:44"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4"/>
        <v>0</v>
      </c>
      <c r="AO23" s="128"/>
      <c r="AP23" s="401">
        <f t="shared" si="21"/>
        <v>0</v>
      </c>
      <c r="AQ23" s="402" t="str">
        <f t="shared" si="22"/>
        <v/>
      </c>
      <c r="AR23" s="403"/>
    </row>
    <row r="24" spans="1:44"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4"/>
        <v>0</v>
      </c>
      <c r="AO24" s="128"/>
      <c r="AP24" s="401">
        <f t="shared" si="21"/>
        <v>0</v>
      </c>
      <c r="AQ24" s="402" t="str">
        <f t="shared" si="22"/>
        <v/>
      </c>
      <c r="AR24" s="403"/>
    </row>
    <row r="25" spans="1:44"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4"/>
        <v>0</v>
      </c>
      <c r="AO25" s="128"/>
      <c r="AP25" s="401">
        <f t="shared" si="21"/>
        <v>0</v>
      </c>
      <c r="AQ25" s="402" t="str">
        <f t="shared" si="22"/>
        <v/>
      </c>
      <c r="AR25" s="403"/>
    </row>
    <row r="26" spans="1:44"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4"/>
        <v>0</v>
      </c>
      <c r="AO26" s="128"/>
      <c r="AP26" s="401">
        <f t="shared" si="21"/>
        <v>0</v>
      </c>
      <c r="AQ26" s="402" t="str">
        <f t="shared" si="22"/>
        <v/>
      </c>
      <c r="AR26" s="403"/>
    </row>
    <row r="27" spans="1:44"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4"/>
        <v>0</v>
      </c>
      <c r="AO27" s="128"/>
      <c r="AP27" s="401">
        <f t="shared" si="21"/>
        <v>0</v>
      </c>
      <c r="AQ27" s="402" t="str">
        <f t="shared" si="22"/>
        <v/>
      </c>
      <c r="AR27" s="403"/>
    </row>
    <row r="28" spans="1:44"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4"/>
        <v>0</v>
      </c>
      <c r="AO28" s="128"/>
      <c r="AP28" s="401">
        <f t="shared" si="21"/>
        <v>0</v>
      </c>
      <c r="AQ28" s="402" t="str">
        <f t="shared" si="22"/>
        <v/>
      </c>
      <c r="AR28" s="403"/>
    </row>
    <row r="29" spans="1:44" ht="12" customHeight="1">
      <c r="A29" s="306"/>
      <c r="B29" s="405" t="s">
        <v>310</v>
      </c>
      <c r="C29" s="406"/>
      <c r="D29" s="406"/>
      <c r="E29" s="406"/>
      <c r="F29" s="407"/>
      <c r="G29" s="500"/>
      <c r="H29" s="409">
        <f>SUM(H15:H28)</f>
        <v>85.93</v>
      </c>
      <c r="I29" s="410"/>
      <c r="J29" s="407"/>
      <c r="K29" s="500"/>
      <c r="L29" s="502">
        <f>SUM(L15:L28)</f>
        <v>100.47999999999999</v>
      </c>
      <c r="M29" s="410"/>
      <c r="N29" s="411">
        <f t="shared" si="5"/>
        <v>14.549999999999983</v>
      </c>
      <c r="O29" s="412">
        <f t="shared" si="6"/>
        <v>0.16932386826486653</v>
      </c>
      <c r="P29" s="306"/>
      <c r="Q29" s="407"/>
      <c r="R29" s="500"/>
      <c r="S29" s="409">
        <f>SUM(S15:S28)</f>
        <v>108.4</v>
      </c>
      <c r="T29" s="410"/>
      <c r="U29" s="411">
        <f t="shared" si="9"/>
        <v>7.9200000000000159</v>
      </c>
      <c r="V29" s="412">
        <f t="shared" si="10"/>
        <v>7.8821656050955577E-2</v>
      </c>
      <c r="W29" s="306"/>
      <c r="X29" s="407"/>
      <c r="Y29" s="500"/>
      <c r="Z29" s="409">
        <f>SUM(Z15:Z28)</f>
        <v>118.1</v>
      </c>
      <c r="AA29" s="410"/>
      <c r="AB29" s="411">
        <f t="shared" si="13"/>
        <v>9.6999999999999886</v>
      </c>
      <c r="AC29" s="412">
        <f t="shared" si="14"/>
        <v>8.9483394833948224E-2</v>
      </c>
      <c r="AD29" s="306"/>
      <c r="AE29" s="407"/>
      <c r="AF29" s="500"/>
      <c r="AG29" s="409">
        <f>SUM(AG15:AG28)</f>
        <v>125.6</v>
      </c>
      <c r="AH29" s="410"/>
      <c r="AI29" s="411">
        <f t="shared" si="17"/>
        <v>7.5</v>
      </c>
      <c r="AJ29" s="412">
        <f t="shared" si="18"/>
        <v>6.3505503810330238E-2</v>
      </c>
      <c r="AK29" s="306"/>
      <c r="AL29" s="407"/>
      <c r="AM29" s="500"/>
      <c r="AN29" s="409">
        <f>SUM(AN15:AN28)</f>
        <v>132.80000000000001</v>
      </c>
      <c r="AO29" s="410"/>
      <c r="AP29" s="411">
        <f t="shared" si="21"/>
        <v>7.2000000000000171</v>
      </c>
      <c r="AQ29" s="412">
        <f t="shared" si="22"/>
        <v>5.732484076433135E-2</v>
      </c>
      <c r="AR29" s="413"/>
    </row>
    <row r="30" spans="1:44" ht="12" customHeight="1">
      <c r="A30" s="52"/>
      <c r="B30" s="404" t="s">
        <v>234</v>
      </c>
      <c r="C30" s="395" t="str">
        <f t="shared" ref="C30:C36" si="25">D$6&amp;"."&amp;B30</f>
        <v>General Service &lt; 50 kW.DVA Disposition Rate Rider Group 1 -2025</v>
      </c>
      <c r="D30" s="396" t="s">
        <v>308</v>
      </c>
      <c r="E30" s="320"/>
      <c r="F30" s="414">
        <f>IFERROR(VLOOKUP($C30,'Proposed Rates'!$B:$J,F$11,FALSE),0)</f>
        <v>0</v>
      </c>
      <c r="G30" s="398">
        <f t="shared" ref="G30:G33" si="26">IF($D30="Monthly",1,IF($D30="per KWH",$F$10,0))</f>
        <v>2000</v>
      </c>
      <c r="H30" s="400">
        <f t="shared" ref="H30:H36" si="27">G30*F30</f>
        <v>0</v>
      </c>
      <c r="I30" s="128"/>
      <c r="J30" s="414">
        <f>IFERROR(VLOOKUP($C30,'Proposed Rates'!$B:$J,J$11,FALSE),0)</f>
        <v>-5.0000000000000001E-4</v>
      </c>
      <c r="K30" s="398">
        <f t="shared" ref="K30:K33" si="28">IF($D30="Monthly",1,IF($D30="per KWH",$F$10,0))</f>
        <v>2000</v>
      </c>
      <c r="L30" s="400">
        <f t="shared" ref="L30:L36" si="29">K30*J30</f>
        <v>-1</v>
      </c>
      <c r="M30" s="128"/>
      <c r="N30" s="401">
        <f t="shared" si="5"/>
        <v>-1</v>
      </c>
      <c r="O30" s="402" t="str">
        <f t="shared" si="6"/>
        <v/>
      </c>
      <c r="P30" s="52"/>
      <c r="Q30" s="414">
        <f>IFERROR(VLOOKUP($C30,'Proposed Rates'!$B:$J,Q$11,FALSE),0)</f>
        <v>0</v>
      </c>
      <c r="R30" s="398">
        <f t="shared" ref="R30:R33" si="30">IF($D30="Monthly",1,IF($D30="per KWH",$F$10,0))</f>
        <v>2000</v>
      </c>
      <c r="S30" s="400">
        <f t="shared" ref="S30:S36" si="31">R30*Q30</f>
        <v>0</v>
      </c>
      <c r="T30" s="128"/>
      <c r="U30" s="401">
        <f t="shared" si="9"/>
        <v>1</v>
      </c>
      <c r="V30" s="402">
        <f t="shared" si="10"/>
        <v>-1</v>
      </c>
      <c r="W30" s="52"/>
      <c r="X30" s="414">
        <f>IFERROR(VLOOKUP($C30,'Proposed Rates'!$B:$J,X$11,FALSE),0)</f>
        <v>0</v>
      </c>
      <c r="Y30" s="398">
        <f t="shared" ref="Y30:Y33" si="32">IF($D30="Monthly",1,IF($D30="per KWH",$F$10,0))</f>
        <v>2000</v>
      </c>
      <c r="Z30" s="400">
        <f t="shared" ref="Z30:Z36" si="33">Y30*X30</f>
        <v>0</v>
      </c>
      <c r="AA30" s="128"/>
      <c r="AB30" s="401">
        <f t="shared" si="13"/>
        <v>0</v>
      </c>
      <c r="AC30" s="402" t="str">
        <f t="shared" si="14"/>
        <v/>
      </c>
      <c r="AD30" s="52"/>
      <c r="AE30" s="414">
        <f>IFERROR(VLOOKUP($C30,'Proposed Rates'!$B:$J,AE$11,FALSE),0)</f>
        <v>0</v>
      </c>
      <c r="AF30" s="398">
        <f t="shared" ref="AF30:AF33" si="34">IF($D30="Monthly",1,IF($D30="per KWH",$F$10,0))</f>
        <v>2000</v>
      </c>
      <c r="AG30" s="400">
        <f t="shared" ref="AG30:AG36" si="35">AF30*AE30</f>
        <v>0</v>
      </c>
      <c r="AH30" s="128"/>
      <c r="AI30" s="401">
        <f t="shared" si="17"/>
        <v>0</v>
      </c>
      <c r="AJ30" s="402" t="str">
        <f t="shared" si="18"/>
        <v/>
      </c>
      <c r="AK30" s="52"/>
      <c r="AL30" s="414">
        <f>IFERROR(VLOOKUP($C30,'Proposed Rates'!$B:$J,AL$11,FALSE),0)</f>
        <v>0</v>
      </c>
      <c r="AM30" s="398">
        <f t="shared" ref="AM30:AM33" si="36">IF($D30="Monthly",1,IF($D30="per KWH",$F$10,0))</f>
        <v>2000</v>
      </c>
      <c r="AN30" s="400">
        <f t="shared" ref="AN30:AN36" si="37">AM30*AL30</f>
        <v>0</v>
      </c>
      <c r="AO30" s="128"/>
      <c r="AP30" s="401">
        <f t="shared" si="21"/>
        <v>0</v>
      </c>
      <c r="AQ30" s="402" t="str">
        <f t="shared" si="22"/>
        <v/>
      </c>
      <c r="AR30" s="403"/>
    </row>
    <row r="31" spans="1:44" ht="12" customHeight="1">
      <c r="A31" s="52"/>
      <c r="B31" s="404" t="s">
        <v>236</v>
      </c>
      <c r="C31" s="395" t="str">
        <f t="shared" si="25"/>
        <v>General Service &lt; 50 kW.DVA Disposition Rate Rider Group 1 - 2024</v>
      </c>
      <c r="D31" s="396" t="s">
        <v>308</v>
      </c>
      <c r="E31" s="320"/>
      <c r="F31" s="414">
        <f>IFERROR(VLOOKUP($C31,'Proposed Rates'!$B:$J,F$11,FALSE),0)</f>
        <v>0</v>
      </c>
      <c r="G31" s="398">
        <f t="shared" si="26"/>
        <v>2000</v>
      </c>
      <c r="H31" s="400">
        <f t="shared" si="27"/>
        <v>0</v>
      </c>
      <c r="I31" s="485"/>
      <c r="J31" s="414">
        <f>IFERROR(VLOOKUP($C31,'Proposed Rates'!$B:$J,J$11,FALSE),0)</f>
        <v>0</v>
      </c>
      <c r="K31" s="398">
        <f t="shared" si="28"/>
        <v>2000</v>
      </c>
      <c r="L31" s="400">
        <f t="shared" si="29"/>
        <v>0</v>
      </c>
      <c r="M31" s="417"/>
      <c r="N31" s="401">
        <f t="shared" si="5"/>
        <v>0</v>
      </c>
      <c r="O31" s="402" t="str">
        <f t="shared" si="6"/>
        <v/>
      </c>
      <c r="P31" s="52"/>
      <c r="Q31" s="414">
        <f>IFERROR(VLOOKUP($C31,'Proposed Rates'!$B:$J,Q$11,FALSE),0)</f>
        <v>0</v>
      </c>
      <c r="R31" s="398">
        <f t="shared" si="30"/>
        <v>2000</v>
      </c>
      <c r="S31" s="400">
        <f t="shared" si="31"/>
        <v>0</v>
      </c>
      <c r="T31" s="417"/>
      <c r="U31" s="401">
        <f t="shared" si="9"/>
        <v>0</v>
      </c>
      <c r="V31" s="402" t="str">
        <f t="shared" si="10"/>
        <v/>
      </c>
      <c r="W31" s="52"/>
      <c r="X31" s="414">
        <f>IFERROR(VLOOKUP($C31,'Proposed Rates'!$B:$J,X$11,FALSE),0)</f>
        <v>0</v>
      </c>
      <c r="Y31" s="398">
        <f t="shared" si="32"/>
        <v>2000</v>
      </c>
      <c r="Z31" s="400">
        <f t="shared" si="33"/>
        <v>0</v>
      </c>
      <c r="AA31" s="417"/>
      <c r="AB31" s="401">
        <f t="shared" si="13"/>
        <v>0</v>
      </c>
      <c r="AC31" s="402" t="str">
        <f t="shared" si="14"/>
        <v/>
      </c>
      <c r="AD31" s="52"/>
      <c r="AE31" s="414">
        <f>IFERROR(VLOOKUP($C31,'Proposed Rates'!$B:$J,AE$11,FALSE),0)</f>
        <v>0</v>
      </c>
      <c r="AF31" s="398">
        <f t="shared" si="34"/>
        <v>2000</v>
      </c>
      <c r="AG31" s="400">
        <f t="shared" si="35"/>
        <v>0</v>
      </c>
      <c r="AH31" s="417"/>
      <c r="AI31" s="401">
        <f t="shared" si="17"/>
        <v>0</v>
      </c>
      <c r="AJ31" s="402" t="str">
        <f t="shared" si="18"/>
        <v/>
      </c>
      <c r="AK31" s="52"/>
      <c r="AL31" s="414">
        <f>IFERROR(VLOOKUP($C31,'Proposed Rates'!$B:$J,AL$11,FALSE),0)</f>
        <v>0</v>
      </c>
      <c r="AM31" s="398">
        <f t="shared" si="36"/>
        <v>2000</v>
      </c>
      <c r="AN31" s="400">
        <f t="shared" si="37"/>
        <v>0</v>
      </c>
      <c r="AO31" s="417"/>
      <c r="AP31" s="401">
        <f t="shared" si="21"/>
        <v>0</v>
      </c>
      <c r="AQ31" s="402" t="str">
        <f t="shared" si="22"/>
        <v/>
      </c>
      <c r="AR31" s="403"/>
    </row>
    <row r="32" spans="1:44" ht="12" customHeight="1">
      <c r="A32" s="52"/>
      <c r="B32" s="404" t="s">
        <v>244</v>
      </c>
      <c r="C32" s="395" t="str">
        <f t="shared" si="25"/>
        <v>General Service &lt; 50 kW.CBR Class B Rate Riders</v>
      </c>
      <c r="D32" s="396" t="s">
        <v>308</v>
      </c>
      <c r="E32" s="320"/>
      <c r="F32" s="414">
        <f>IFERROR(VLOOKUP($C32,'Proposed Rates'!$B:$J,F$11,FALSE),0)</f>
        <v>2.0000000000000001E-4</v>
      </c>
      <c r="G32" s="398">
        <f t="shared" si="26"/>
        <v>2000</v>
      </c>
      <c r="H32" s="400">
        <f t="shared" si="27"/>
        <v>0.4</v>
      </c>
      <c r="I32" s="485"/>
      <c r="J32" s="414">
        <f>IFERROR(VLOOKUP($C32,'Proposed Rates'!$B:$J,J$11,FALSE),0)</f>
        <v>4.0000000000000002E-4</v>
      </c>
      <c r="K32" s="398">
        <f t="shared" si="28"/>
        <v>2000</v>
      </c>
      <c r="L32" s="400">
        <f t="shared" si="29"/>
        <v>0.8</v>
      </c>
      <c r="M32" s="417"/>
      <c r="N32" s="401">
        <f t="shared" si="5"/>
        <v>0.4</v>
      </c>
      <c r="O32" s="402">
        <f t="shared" si="6"/>
        <v>1</v>
      </c>
      <c r="P32" s="52"/>
      <c r="Q32" s="414">
        <f>IFERROR(VLOOKUP($C32,'Proposed Rates'!$B:$J,Q$11,FALSE),0)</f>
        <v>0</v>
      </c>
      <c r="R32" s="398">
        <f t="shared" si="30"/>
        <v>2000</v>
      </c>
      <c r="S32" s="400">
        <f t="shared" si="31"/>
        <v>0</v>
      </c>
      <c r="T32" s="417"/>
      <c r="U32" s="401">
        <f t="shared" si="9"/>
        <v>-0.8</v>
      </c>
      <c r="V32" s="402">
        <f t="shared" si="10"/>
        <v>-1</v>
      </c>
      <c r="W32" s="52"/>
      <c r="X32" s="414">
        <f>IFERROR(VLOOKUP($C32,'Proposed Rates'!$B:$J,X$11,FALSE),0)</f>
        <v>0</v>
      </c>
      <c r="Y32" s="398">
        <f t="shared" si="32"/>
        <v>2000</v>
      </c>
      <c r="Z32" s="400">
        <f t="shared" si="33"/>
        <v>0</v>
      </c>
      <c r="AA32" s="417"/>
      <c r="AB32" s="401">
        <f t="shared" si="13"/>
        <v>0</v>
      </c>
      <c r="AC32" s="402" t="str">
        <f t="shared" si="14"/>
        <v/>
      </c>
      <c r="AD32" s="52"/>
      <c r="AE32" s="414">
        <f>IFERROR(VLOOKUP($C32,'Proposed Rates'!$B:$J,AE$11,FALSE),0)</f>
        <v>0</v>
      </c>
      <c r="AF32" s="398">
        <f t="shared" si="34"/>
        <v>2000</v>
      </c>
      <c r="AG32" s="400">
        <f t="shared" si="35"/>
        <v>0</v>
      </c>
      <c r="AH32" s="417"/>
      <c r="AI32" s="401">
        <f t="shared" si="17"/>
        <v>0</v>
      </c>
      <c r="AJ32" s="402" t="str">
        <f t="shared" si="18"/>
        <v/>
      </c>
      <c r="AK32" s="52"/>
      <c r="AL32" s="414">
        <f>IFERROR(VLOOKUP($C32,'Proposed Rates'!$B:$J,AL$11,FALSE),0)</f>
        <v>0</v>
      </c>
      <c r="AM32" s="398">
        <f t="shared" si="36"/>
        <v>2000</v>
      </c>
      <c r="AN32" s="400">
        <f t="shared" si="37"/>
        <v>0</v>
      </c>
      <c r="AO32" s="417"/>
      <c r="AP32" s="401">
        <f t="shared" si="21"/>
        <v>0</v>
      </c>
      <c r="AQ32" s="402" t="str">
        <f t="shared" si="22"/>
        <v/>
      </c>
      <c r="AR32" s="403"/>
    </row>
    <row r="33" spans="1:44" ht="12" customHeight="1">
      <c r="A33" s="52"/>
      <c r="B33" s="404" t="s">
        <v>311</v>
      </c>
      <c r="C33" s="395" t="str">
        <f t="shared" si="25"/>
        <v>General Service &lt; 50 kW.GA Disposition Rate Rider-NonRPP</v>
      </c>
      <c r="D33" s="396" t="s">
        <v>308</v>
      </c>
      <c r="E33" s="320"/>
      <c r="F33" s="414">
        <f>IFERROR(VLOOKUP($C33,'Proposed Rates'!$B:$J,F$11,FALSE),0)</f>
        <v>0</v>
      </c>
      <c r="G33" s="398">
        <f t="shared" si="26"/>
        <v>2000</v>
      </c>
      <c r="H33" s="400">
        <f t="shared" si="27"/>
        <v>0</v>
      </c>
      <c r="I33" s="485"/>
      <c r="J33" s="414">
        <f>IFERROR(VLOOKUP($C33,'Proposed Rates'!$B:$J,J$11,FALSE),0)</f>
        <v>0</v>
      </c>
      <c r="K33" s="398">
        <f t="shared" si="28"/>
        <v>2000</v>
      </c>
      <c r="L33" s="400">
        <f t="shared" si="29"/>
        <v>0</v>
      </c>
      <c r="M33" s="417"/>
      <c r="N33" s="401">
        <f t="shared" si="5"/>
        <v>0</v>
      </c>
      <c r="O33" s="402" t="str">
        <f t="shared" si="6"/>
        <v/>
      </c>
      <c r="P33" s="52"/>
      <c r="Q33" s="414">
        <f>IFERROR(VLOOKUP($C33,'Proposed Rates'!$B:$J,Q$11,FALSE),0)</f>
        <v>0</v>
      </c>
      <c r="R33" s="398">
        <f t="shared" si="30"/>
        <v>2000</v>
      </c>
      <c r="S33" s="400">
        <f t="shared" si="31"/>
        <v>0</v>
      </c>
      <c r="T33" s="417"/>
      <c r="U33" s="401">
        <f t="shared" si="9"/>
        <v>0</v>
      </c>
      <c r="V33" s="402" t="str">
        <f t="shared" si="10"/>
        <v/>
      </c>
      <c r="W33" s="52"/>
      <c r="X33" s="414">
        <f>IFERROR(VLOOKUP($C33,'Proposed Rates'!$B:$J,X$11,FALSE),0)</f>
        <v>0</v>
      </c>
      <c r="Y33" s="398">
        <f t="shared" si="32"/>
        <v>2000</v>
      </c>
      <c r="Z33" s="400">
        <f t="shared" si="33"/>
        <v>0</v>
      </c>
      <c r="AA33" s="417"/>
      <c r="AB33" s="401">
        <f t="shared" si="13"/>
        <v>0</v>
      </c>
      <c r="AC33" s="402" t="str">
        <f t="shared" si="14"/>
        <v/>
      </c>
      <c r="AD33" s="52"/>
      <c r="AE33" s="414">
        <f>IFERROR(VLOOKUP($C33,'Proposed Rates'!$B:$J,AE$11,FALSE),0)</f>
        <v>0</v>
      </c>
      <c r="AF33" s="398">
        <f t="shared" si="34"/>
        <v>2000</v>
      </c>
      <c r="AG33" s="400">
        <f t="shared" si="35"/>
        <v>0</v>
      </c>
      <c r="AH33" s="417"/>
      <c r="AI33" s="401">
        <f t="shared" si="17"/>
        <v>0</v>
      </c>
      <c r="AJ33" s="402" t="str">
        <f t="shared" si="18"/>
        <v/>
      </c>
      <c r="AK33" s="52"/>
      <c r="AL33" s="414">
        <f>IFERROR(VLOOKUP($C33,'Proposed Rates'!$B:$J,AL$11,FALSE),0)</f>
        <v>0</v>
      </c>
      <c r="AM33" s="398">
        <f t="shared" si="36"/>
        <v>2000</v>
      </c>
      <c r="AN33" s="400">
        <f t="shared" si="37"/>
        <v>0</v>
      </c>
      <c r="AO33" s="417"/>
      <c r="AP33" s="401">
        <f t="shared" si="21"/>
        <v>0</v>
      </c>
      <c r="AQ33" s="402" t="str">
        <f t="shared" si="22"/>
        <v/>
      </c>
      <c r="AR33" s="403"/>
    </row>
    <row r="34" spans="1:44" ht="12" customHeight="1">
      <c r="A34" s="52"/>
      <c r="B34" s="320" t="s">
        <v>269</v>
      </c>
      <c r="C34" s="395" t="str">
        <f t="shared" si="25"/>
        <v>General Service &lt; 50 kW.Low Voltage Service Charge</v>
      </c>
      <c r="D34" s="396" t="s">
        <v>308</v>
      </c>
      <c r="E34" s="320"/>
      <c r="F34" s="418">
        <f>IFERROR(VLOOKUP($C34,'Proposed Rates'!$B:$J,F$11,FALSE),0)</f>
        <v>5.0000000000000002E-5</v>
      </c>
      <c r="G34" s="419">
        <f>$F$10*(1+F$63)</f>
        <v>2067.6</v>
      </c>
      <c r="H34" s="400">
        <f t="shared" si="27"/>
        <v>0.10338</v>
      </c>
      <c r="I34" s="128"/>
      <c r="J34" s="418">
        <f>IFERROR(VLOOKUP($C34,'Proposed Rates'!$B:$J,J$11,FALSE),0)</f>
        <v>6.0000000000000002E-5</v>
      </c>
      <c r="K34" s="419">
        <f>$F$10*(1+J$63)</f>
        <v>2066.3999999999996</v>
      </c>
      <c r="L34" s="400">
        <f t="shared" si="29"/>
        <v>0.12398399999999998</v>
      </c>
      <c r="M34" s="128"/>
      <c r="N34" s="401">
        <f t="shared" si="5"/>
        <v>2.0603999999999983E-2</v>
      </c>
      <c r="O34" s="402">
        <f t="shared" si="6"/>
        <v>0.19930354033662201</v>
      </c>
      <c r="P34" s="52"/>
      <c r="Q34" s="418">
        <f>IFERROR(VLOOKUP($C34,'Proposed Rates'!$B:$J,Q$11,FALSE),0)</f>
        <v>6.0000000000000002E-5</v>
      </c>
      <c r="R34" s="419">
        <f>$F$10*(1+Q$63)</f>
        <v>2066.3999999999996</v>
      </c>
      <c r="S34" s="400">
        <f t="shared" si="31"/>
        <v>0.12398399999999998</v>
      </c>
      <c r="T34" s="128"/>
      <c r="U34" s="401">
        <f t="shared" si="9"/>
        <v>0</v>
      </c>
      <c r="V34" s="402">
        <f t="shared" si="10"/>
        <v>0</v>
      </c>
      <c r="W34" s="52"/>
      <c r="X34" s="418">
        <f>IFERROR(VLOOKUP($C34,'Proposed Rates'!$B:$J,X$11,FALSE),0)</f>
        <v>6.0000000000000002E-5</v>
      </c>
      <c r="Y34" s="419">
        <f>$F$10*(1+X$63)</f>
        <v>2066.3999999999996</v>
      </c>
      <c r="Z34" s="400">
        <f t="shared" si="33"/>
        <v>0.12398399999999998</v>
      </c>
      <c r="AA34" s="128"/>
      <c r="AB34" s="401">
        <f t="shared" si="13"/>
        <v>0</v>
      </c>
      <c r="AC34" s="402">
        <f t="shared" si="14"/>
        <v>0</v>
      </c>
      <c r="AD34" s="52"/>
      <c r="AE34" s="418">
        <f>IFERROR(VLOOKUP($C34,'Proposed Rates'!$B:$J,AE$11,FALSE),0)</f>
        <v>6.0000000000000002E-5</v>
      </c>
      <c r="AF34" s="419">
        <f>$F$10*(1+AE$63)</f>
        <v>2066.3999999999996</v>
      </c>
      <c r="AG34" s="400">
        <f t="shared" si="35"/>
        <v>0.12398399999999998</v>
      </c>
      <c r="AH34" s="128"/>
      <c r="AI34" s="401">
        <f t="shared" si="17"/>
        <v>0</v>
      </c>
      <c r="AJ34" s="402">
        <f t="shared" si="18"/>
        <v>0</v>
      </c>
      <c r="AK34" s="52"/>
      <c r="AL34" s="418">
        <f>IFERROR(VLOOKUP($C34,'Proposed Rates'!$B:$J,AL$11,FALSE),0)</f>
        <v>6.0000000000000002E-5</v>
      </c>
      <c r="AM34" s="419">
        <f>$F$10*(1+AL$63)</f>
        <v>2066.3999999999996</v>
      </c>
      <c r="AN34" s="400">
        <f t="shared" si="37"/>
        <v>0.12398399999999998</v>
      </c>
      <c r="AO34" s="128"/>
      <c r="AP34" s="401">
        <f t="shared" si="21"/>
        <v>0</v>
      </c>
      <c r="AQ34" s="402">
        <f t="shared" si="22"/>
        <v>0</v>
      </c>
      <c r="AR34" s="403"/>
    </row>
    <row r="35" spans="1:44" ht="12" customHeight="1">
      <c r="A35" s="52"/>
      <c r="B35" s="320" t="s">
        <v>312</v>
      </c>
      <c r="C35" s="395" t="str">
        <f t="shared" si="25"/>
        <v>General Service &lt; 50 kW.Line Losses on Cost of Power</v>
      </c>
      <c r="D35" s="396" t="s">
        <v>308</v>
      </c>
      <c r="E35" s="320"/>
      <c r="F35" s="420">
        <f>'Proposed Rates'!$K$249*F$44+'Proposed Rates'!$K$250*F$45+'Proposed Rates'!$K$251*F$46</f>
        <v>0.12752000000000002</v>
      </c>
      <c r="G35" s="507">
        <f>$F$10*(1+F$63)-$F$10</f>
        <v>67.599999999999909</v>
      </c>
      <c r="H35" s="400">
        <f t="shared" si="27"/>
        <v>8.6203519999999898</v>
      </c>
      <c r="I35" s="128"/>
      <c r="J35" s="420">
        <f>'Proposed Rates'!$K$249*J$44+'Proposed Rates'!$K$250*J$45+'Proposed Rates'!$K$251*J$46</f>
        <v>0.12752000000000002</v>
      </c>
      <c r="K35" s="507">
        <f>$F$10*(1+J$63)-$F$10</f>
        <v>66.399999999999636</v>
      </c>
      <c r="L35" s="400">
        <f t="shared" si="29"/>
        <v>8.4673279999999558</v>
      </c>
      <c r="M35" s="128"/>
      <c r="N35" s="401">
        <f t="shared" si="5"/>
        <v>-0.15302400000003402</v>
      </c>
      <c r="O35" s="402">
        <f t="shared" si="6"/>
        <v>-1.7751479289944794E-2</v>
      </c>
      <c r="P35" s="52"/>
      <c r="Q35" s="420">
        <f>'Proposed Rates'!$K$249*Q$44+'Proposed Rates'!$K$250*Q$45+'Proposed Rates'!$K$251*Q$46</f>
        <v>0.12752000000000002</v>
      </c>
      <c r="R35" s="507">
        <f>$F$10*(1+Q$63)-$F$10</f>
        <v>66.399999999999636</v>
      </c>
      <c r="S35" s="400">
        <f t="shared" si="31"/>
        <v>8.4673279999999558</v>
      </c>
      <c r="T35" s="128"/>
      <c r="U35" s="401">
        <f t="shared" si="9"/>
        <v>0</v>
      </c>
      <c r="V35" s="402">
        <f t="shared" si="10"/>
        <v>0</v>
      </c>
      <c r="W35" s="52"/>
      <c r="X35" s="420">
        <f>'Proposed Rates'!$K$249*X$44+'Proposed Rates'!$K$250*X$45+'Proposed Rates'!$K$251*X$46</f>
        <v>0.12752000000000002</v>
      </c>
      <c r="Y35" s="507">
        <f>$F$10*(1+X$63)-$F$10</f>
        <v>66.399999999999636</v>
      </c>
      <c r="Z35" s="400">
        <f t="shared" si="33"/>
        <v>8.4673279999999558</v>
      </c>
      <c r="AA35" s="128"/>
      <c r="AB35" s="401">
        <f t="shared" si="13"/>
        <v>0</v>
      </c>
      <c r="AC35" s="402">
        <f t="shared" si="14"/>
        <v>0</v>
      </c>
      <c r="AD35" s="52"/>
      <c r="AE35" s="420">
        <f>'Proposed Rates'!$K$249*AE$44+'Proposed Rates'!$K$250*AE$45+'Proposed Rates'!$K$251*AE$46</f>
        <v>0.12752000000000002</v>
      </c>
      <c r="AF35" s="507">
        <f>$F$10*(1+AE$63)-$F$10</f>
        <v>66.399999999999636</v>
      </c>
      <c r="AG35" s="400">
        <f t="shared" si="35"/>
        <v>8.4673279999999558</v>
      </c>
      <c r="AH35" s="128"/>
      <c r="AI35" s="401">
        <f t="shared" si="17"/>
        <v>0</v>
      </c>
      <c r="AJ35" s="402">
        <f t="shared" si="18"/>
        <v>0</v>
      </c>
      <c r="AK35" s="52"/>
      <c r="AL35" s="420">
        <f>'Proposed Rates'!$K$249*AL$44+'Proposed Rates'!$K$250*AL$45+'Proposed Rates'!$K$251*AL$46</f>
        <v>0.12752000000000002</v>
      </c>
      <c r="AM35" s="507">
        <f>$F$10*(1+AL$63)-$F$10</f>
        <v>66.399999999999636</v>
      </c>
      <c r="AN35" s="400">
        <f t="shared" si="37"/>
        <v>8.4673279999999558</v>
      </c>
      <c r="AO35" s="128"/>
      <c r="AP35" s="401">
        <f t="shared" si="21"/>
        <v>0</v>
      </c>
      <c r="AQ35" s="402">
        <f t="shared" si="22"/>
        <v>0</v>
      </c>
      <c r="AR35" s="403"/>
    </row>
    <row r="36" spans="1:44" ht="12" customHeight="1">
      <c r="A36" s="52"/>
      <c r="B36" s="320" t="s">
        <v>271</v>
      </c>
      <c r="C36" s="395" t="str">
        <f t="shared" si="25"/>
        <v>General Service &lt; 50 kW.Smart Meter Entity Charge</v>
      </c>
      <c r="D36" s="396" t="s">
        <v>306</v>
      </c>
      <c r="E36" s="320"/>
      <c r="F36" s="397">
        <f>IFERROR(VLOOKUP($C36,'Proposed Rates'!$B:$J,F$11,FALSE),0)</f>
        <v>0.42</v>
      </c>
      <c r="G36" s="398">
        <f>IF($D36="Monthly",1,IF($D36="per KWH",$F$10,0))</f>
        <v>1</v>
      </c>
      <c r="H36" s="400">
        <f t="shared" si="27"/>
        <v>0.42</v>
      </c>
      <c r="I36" s="128"/>
      <c r="J36" s="397">
        <f>IFERROR(VLOOKUP($C36,'Proposed Rates'!$B:$J,J$11,FALSE),0)</f>
        <v>0.42</v>
      </c>
      <c r="K36" s="398">
        <f>IF($D36="Monthly",1,IF($D36="per KWH",$F$10,0))</f>
        <v>1</v>
      </c>
      <c r="L36" s="400">
        <f t="shared" si="29"/>
        <v>0.42</v>
      </c>
      <c r="M36" s="128"/>
      <c r="N36" s="401">
        <f t="shared" si="5"/>
        <v>0</v>
      </c>
      <c r="O36" s="402">
        <f t="shared" si="6"/>
        <v>0</v>
      </c>
      <c r="P36" s="52"/>
      <c r="Q36" s="397">
        <f>IFERROR(VLOOKUP($C36,'Proposed Rates'!$B:$J,Q$11,FALSE),0)</f>
        <v>0.42</v>
      </c>
      <c r="R36" s="398">
        <f>IF($D36="Monthly",1,IF($D36="per KWH",$F$10,0))</f>
        <v>1</v>
      </c>
      <c r="S36" s="400">
        <f t="shared" si="31"/>
        <v>0.42</v>
      </c>
      <c r="T36" s="128"/>
      <c r="U36" s="401">
        <f t="shared" si="9"/>
        <v>0</v>
      </c>
      <c r="V36" s="402">
        <f t="shared" si="10"/>
        <v>0</v>
      </c>
      <c r="W36" s="52"/>
      <c r="X36" s="397">
        <f>IFERROR(VLOOKUP($C36,'Proposed Rates'!$B:$J,X$11,FALSE),0)</f>
        <v>0.43</v>
      </c>
      <c r="Y36" s="398">
        <f>IF($D36="Monthly",1,IF($D36="per KWH",$F$10,0))</f>
        <v>1</v>
      </c>
      <c r="Z36" s="400">
        <f t="shared" si="33"/>
        <v>0.43</v>
      </c>
      <c r="AA36" s="128"/>
      <c r="AB36" s="401">
        <f t="shared" si="13"/>
        <v>1.0000000000000009E-2</v>
      </c>
      <c r="AC36" s="402">
        <f t="shared" si="14"/>
        <v>2.3809523809523832E-2</v>
      </c>
      <c r="AD36" s="52"/>
      <c r="AE36" s="397">
        <f>IFERROR(VLOOKUP($C36,'Proposed Rates'!$B:$J,AE$11,FALSE),0)</f>
        <v>0.44</v>
      </c>
      <c r="AF36" s="398">
        <f>IF($D36="Monthly",1,IF($D36="per KWH",$F$10,0))</f>
        <v>1</v>
      </c>
      <c r="AG36" s="400">
        <f t="shared" si="35"/>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7"/>
        <v>0.45</v>
      </c>
      <c r="AO36" s="128"/>
      <c r="AP36" s="401">
        <f t="shared" si="21"/>
        <v>1.0000000000000009E-2</v>
      </c>
      <c r="AQ36" s="402">
        <f t="shared" si="22"/>
        <v>2.2727272727272749E-2</v>
      </c>
      <c r="AR36" s="403"/>
    </row>
    <row r="37" spans="1:44" ht="12" customHeight="1">
      <c r="A37" s="52"/>
      <c r="B37" s="405" t="s">
        <v>313</v>
      </c>
      <c r="C37" s="422"/>
      <c r="D37" s="422"/>
      <c r="E37" s="422"/>
      <c r="F37" s="423"/>
      <c r="G37" s="501"/>
      <c r="H37" s="409">
        <f>SUM(H30:H36)+H29</f>
        <v>95.473731999999998</v>
      </c>
      <c r="I37" s="425"/>
      <c r="J37" s="423"/>
      <c r="K37" s="501"/>
      <c r="L37" s="502">
        <f>SUM(L30:L36)+L29</f>
        <v>109.29131199999995</v>
      </c>
      <c r="M37" s="425"/>
      <c r="N37" s="411">
        <f t="shared" si="5"/>
        <v>13.81757999999995</v>
      </c>
      <c r="O37" s="412">
        <f t="shared" si="6"/>
        <v>0.14472650969588105</v>
      </c>
      <c r="P37" s="52"/>
      <c r="Q37" s="423"/>
      <c r="R37" s="501"/>
      <c r="S37" s="409">
        <f>SUM(S30:S36)+S29</f>
        <v>117.41131199999997</v>
      </c>
      <c r="T37" s="425"/>
      <c r="U37" s="411">
        <f t="shared" si="9"/>
        <v>8.1200000000000188</v>
      </c>
      <c r="V37" s="412">
        <f t="shared" si="10"/>
        <v>7.4296848042230676E-2</v>
      </c>
      <c r="W37" s="52"/>
      <c r="X37" s="423"/>
      <c r="Y37" s="501"/>
      <c r="Z37" s="409">
        <f>SUM(Z30:Z36)+Z29</f>
        <v>127.12131199999995</v>
      </c>
      <c r="AA37" s="425"/>
      <c r="AB37" s="411">
        <f t="shared" si="13"/>
        <v>9.7099999999999795</v>
      </c>
      <c r="AC37" s="412">
        <f t="shared" si="14"/>
        <v>8.2700719671712566E-2</v>
      </c>
      <c r="AD37" s="52"/>
      <c r="AE37" s="423"/>
      <c r="AF37" s="501"/>
      <c r="AG37" s="409">
        <f>SUM(AG30:AG36)+AG29</f>
        <v>134.63131199999995</v>
      </c>
      <c r="AH37" s="425"/>
      <c r="AI37" s="411">
        <f t="shared" si="17"/>
        <v>7.5100000000000051</v>
      </c>
      <c r="AJ37" s="412">
        <f t="shared" si="18"/>
        <v>5.9077426765387762E-2</v>
      </c>
      <c r="AK37" s="52"/>
      <c r="AL37" s="423"/>
      <c r="AM37" s="501"/>
      <c r="AN37" s="409">
        <f>SUM(AN30:AN36)+AN29</f>
        <v>141.84131199999996</v>
      </c>
      <c r="AO37" s="425"/>
      <c r="AP37" s="411">
        <f t="shared" si="21"/>
        <v>7.210000000000008</v>
      </c>
      <c r="AQ37" s="412">
        <f t="shared" si="22"/>
        <v>5.3553663652925042E-2</v>
      </c>
      <c r="AR37" s="413"/>
    </row>
    <row r="38" spans="1:44" ht="12" customHeight="1">
      <c r="A38" s="52"/>
      <c r="B38" s="128" t="s">
        <v>255</v>
      </c>
      <c r="C38" s="395" t="str">
        <f t="shared" ref="C38:C39" si="38">D$6&amp;"."&amp;B38</f>
        <v>General Service &lt; 50 kW.RTSR - Network</v>
      </c>
      <c r="D38" s="426" t="s">
        <v>308</v>
      </c>
      <c r="E38" s="128"/>
      <c r="F38" s="414">
        <f>IFERROR(VLOOKUP($C38,'Proposed Rates'!$B:$J,F$11,FALSE),0)</f>
        <v>1.18E-2</v>
      </c>
      <c r="G38" s="508">
        <f t="shared" ref="G38:G39" si="39">$F$10*(1+F$63)</f>
        <v>2067.6</v>
      </c>
      <c r="H38" s="400">
        <f t="shared" ref="H38:H39" si="40">G38*F38</f>
        <v>24.397679999999998</v>
      </c>
      <c r="I38" s="128"/>
      <c r="J38" s="414">
        <f>IFERROR(VLOOKUP($C38,'Proposed Rates'!$B:$J,J$11,FALSE),0)</f>
        <v>1.0699999999999999E-2</v>
      </c>
      <c r="K38" s="508">
        <f t="shared" ref="K38:K39" si="41">$F$10*(1+J$63)</f>
        <v>2066.3999999999996</v>
      </c>
      <c r="L38" s="400">
        <f t="shared" ref="L38:L39" si="42">K38*J38</f>
        <v>22.110479999999995</v>
      </c>
      <c r="M38" s="128"/>
      <c r="N38" s="401">
        <f t="shared" si="5"/>
        <v>-2.2872000000000021</v>
      </c>
      <c r="O38" s="402">
        <f t="shared" si="6"/>
        <v>-9.3746618530942377E-2</v>
      </c>
      <c r="P38" s="52"/>
      <c r="Q38" s="414">
        <f>IFERROR(VLOOKUP($C38,'Proposed Rates'!$B:$J,Q$11,FALSE),0)</f>
        <v>1.0699999999999999E-2</v>
      </c>
      <c r="R38" s="508">
        <f t="shared" ref="R38:R39" si="43">$F$10*(1+Q$63)</f>
        <v>2066.3999999999996</v>
      </c>
      <c r="S38" s="400">
        <f t="shared" ref="S38:S39" si="44">R38*Q38</f>
        <v>22.110479999999995</v>
      </c>
      <c r="T38" s="128"/>
      <c r="U38" s="401">
        <f t="shared" si="9"/>
        <v>0</v>
      </c>
      <c r="V38" s="402">
        <f t="shared" si="10"/>
        <v>0</v>
      </c>
      <c r="W38" s="52"/>
      <c r="X38" s="414">
        <f>IFERROR(VLOOKUP($C38,'Proposed Rates'!$B:$J,X$11,FALSE),0)</f>
        <v>1.0699999999999999E-2</v>
      </c>
      <c r="Y38" s="508">
        <f t="shared" ref="Y38:Y39" si="45">$F$10*(1+X$63)</f>
        <v>2066.3999999999996</v>
      </c>
      <c r="Z38" s="400">
        <f t="shared" ref="Z38:Z39" si="46">Y38*X38</f>
        <v>22.110479999999995</v>
      </c>
      <c r="AA38" s="128"/>
      <c r="AB38" s="401">
        <f t="shared" si="13"/>
        <v>0</v>
      </c>
      <c r="AC38" s="402">
        <f t="shared" si="14"/>
        <v>0</v>
      </c>
      <c r="AD38" s="52"/>
      <c r="AE38" s="414">
        <f>IFERROR(VLOOKUP($C38,'Proposed Rates'!$B:$J,AE$11,FALSE),0)</f>
        <v>1.0699999999999999E-2</v>
      </c>
      <c r="AF38" s="508">
        <f t="shared" ref="AF38:AF39" si="47">$F$10*(1+AE$63)</f>
        <v>2066.3999999999996</v>
      </c>
      <c r="AG38" s="400">
        <f t="shared" ref="AG38:AG39" si="48">AF38*AE38</f>
        <v>22.110479999999995</v>
      </c>
      <c r="AH38" s="128"/>
      <c r="AI38" s="401">
        <f t="shared" si="17"/>
        <v>0</v>
      </c>
      <c r="AJ38" s="402">
        <f t="shared" si="18"/>
        <v>0</v>
      </c>
      <c r="AK38" s="52"/>
      <c r="AL38" s="414">
        <f>IFERROR(VLOOKUP($C38,'Proposed Rates'!$B:$J,AL$11,FALSE),0)</f>
        <v>1.0699999999999999E-2</v>
      </c>
      <c r="AM38" s="508">
        <f t="shared" ref="AM38:AM39" si="49">$F$10*(1+AL$63)</f>
        <v>2066.3999999999996</v>
      </c>
      <c r="AN38" s="400">
        <f t="shared" ref="AN38:AN39" si="50">AM38*AL38</f>
        <v>22.110479999999995</v>
      </c>
      <c r="AO38" s="128"/>
      <c r="AP38" s="401">
        <f t="shared" si="21"/>
        <v>0</v>
      </c>
      <c r="AQ38" s="402">
        <f t="shared" si="22"/>
        <v>0</v>
      </c>
      <c r="AR38" s="403"/>
    </row>
    <row r="39" spans="1:44" ht="12" customHeight="1">
      <c r="A39" s="52"/>
      <c r="B39" s="128" t="s">
        <v>256</v>
      </c>
      <c r="C39" s="395" t="str">
        <f t="shared" si="38"/>
        <v>General Service &lt; 50 kW.RTSR - Line and Transformation Connection</v>
      </c>
      <c r="D39" s="426" t="s">
        <v>308</v>
      </c>
      <c r="E39" s="128"/>
      <c r="F39" s="414">
        <f>IFERROR(VLOOKUP($C39,'Proposed Rates'!$B:$J,F$11,FALSE),0)</f>
        <v>7.0000000000000001E-3</v>
      </c>
      <c r="G39" s="508">
        <f t="shared" si="39"/>
        <v>2067.6</v>
      </c>
      <c r="H39" s="400">
        <f t="shared" si="40"/>
        <v>14.4732</v>
      </c>
      <c r="I39" s="128"/>
      <c r="J39" s="414">
        <f>IFERROR(VLOOKUP($C39,'Proposed Rates'!$B:$J,J$11,FALSE),0)</f>
        <v>6.1000000000000004E-3</v>
      </c>
      <c r="K39" s="508">
        <f t="shared" si="41"/>
        <v>2066.3999999999996</v>
      </c>
      <c r="L39" s="400">
        <f t="shared" si="42"/>
        <v>12.605039999999999</v>
      </c>
      <c r="M39" s="128"/>
      <c r="N39" s="401">
        <f t="shared" si="5"/>
        <v>-1.8681600000000014</v>
      </c>
      <c r="O39" s="402">
        <f t="shared" si="6"/>
        <v>-0.12907719094602446</v>
      </c>
      <c r="P39" s="52"/>
      <c r="Q39" s="414">
        <f>IFERROR(VLOOKUP($C39,'Proposed Rates'!$B:$J,Q$11,FALSE),0)</f>
        <v>6.1000000000000004E-3</v>
      </c>
      <c r="R39" s="508">
        <f t="shared" si="43"/>
        <v>2066.3999999999996</v>
      </c>
      <c r="S39" s="400">
        <f t="shared" si="44"/>
        <v>12.605039999999999</v>
      </c>
      <c r="T39" s="128"/>
      <c r="U39" s="401">
        <f t="shared" si="9"/>
        <v>0</v>
      </c>
      <c r="V39" s="402">
        <f t="shared" si="10"/>
        <v>0</v>
      </c>
      <c r="W39" s="52"/>
      <c r="X39" s="414">
        <f>IFERROR(VLOOKUP($C39,'Proposed Rates'!$B:$J,X$11,FALSE),0)</f>
        <v>6.1000000000000004E-3</v>
      </c>
      <c r="Y39" s="508">
        <f t="shared" si="45"/>
        <v>2066.3999999999996</v>
      </c>
      <c r="Z39" s="400">
        <f t="shared" si="46"/>
        <v>12.605039999999999</v>
      </c>
      <c r="AA39" s="128"/>
      <c r="AB39" s="401">
        <f t="shared" si="13"/>
        <v>0</v>
      </c>
      <c r="AC39" s="402">
        <f t="shared" si="14"/>
        <v>0</v>
      </c>
      <c r="AD39" s="52"/>
      <c r="AE39" s="414">
        <f>IFERROR(VLOOKUP($C39,'Proposed Rates'!$B:$J,AE$11,FALSE),0)</f>
        <v>6.1000000000000004E-3</v>
      </c>
      <c r="AF39" s="508">
        <f t="shared" si="47"/>
        <v>2066.3999999999996</v>
      </c>
      <c r="AG39" s="400">
        <f t="shared" si="48"/>
        <v>12.605039999999999</v>
      </c>
      <c r="AH39" s="128"/>
      <c r="AI39" s="401">
        <f t="shared" si="17"/>
        <v>0</v>
      </c>
      <c r="AJ39" s="402">
        <f t="shared" si="18"/>
        <v>0</v>
      </c>
      <c r="AK39" s="52"/>
      <c r="AL39" s="414">
        <f>IFERROR(VLOOKUP($C39,'Proposed Rates'!$B:$J,AL$11,FALSE),0)</f>
        <v>6.1000000000000004E-3</v>
      </c>
      <c r="AM39" s="508">
        <f t="shared" si="49"/>
        <v>2066.3999999999996</v>
      </c>
      <c r="AN39" s="400">
        <f t="shared" si="50"/>
        <v>12.605039999999999</v>
      </c>
      <c r="AO39" s="128"/>
      <c r="AP39" s="401">
        <f t="shared" si="21"/>
        <v>0</v>
      </c>
      <c r="AQ39" s="402">
        <f t="shared" si="22"/>
        <v>0</v>
      </c>
      <c r="AR39" s="403"/>
    </row>
    <row r="40" spans="1:44" ht="12" customHeight="1">
      <c r="A40" s="52"/>
      <c r="B40" s="405" t="s">
        <v>314</v>
      </c>
      <c r="C40" s="427"/>
      <c r="D40" s="427"/>
      <c r="E40" s="427"/>
      <c r="F40" s="428"/>
      <c r="G40" s="501"/>
      <c r="H40" s="409">
        <f>SUM(H37:H39)</f>
        <v>134.34461199999998</v>
      </c>
      <c r="I40" s="410"/>
      <c r="J40" s="428"/>
      <c r="K40" s="501"/>
      <c r="L40" s="502">
        <f>SUM(L37:L39)</f>
        <v>144.00683199999995</v>
      </c>
      <c r="M40" s="410"/>
      <c r="N40" s="411">
        <f t="shared" si="5"/>
        <v>9.6622199999999623</v>
      </c>
      <c r="O40" s="412">
        <f t="shared" si="6"/>
        <v>7.1921157507976299E-2</v>
      </c>
      <c r="P40" s="52"/>
      <c r="Q40" s="428"/>
      <c r="R40" s="501"/>
      <c r="S40" s="409">
        <f>SUM(S37:S39)</f>
        <v>152.12683199999995</v>
      </c>
      <c r="T40" s="410"/>
      <c r="U40" s="411">
        <f t="shared" si="9"/>
        <v>8.1200000000000045</v>
      </c>
      <c r="V40" s="412">
        <f t="shared" si="10"/>
        <v>5.6386213676306744E-2</v>
      </c>
      <c r="W40" s="52"/>
      <c r="X40" s="428"/>
      <c r="Y40" s="501"/>
      <c r="Z40" s="409">
        <f>SUM(Z37:Z39)</f>
        <v>161.83683199999993</v>
      </c>
      <c r="AA40" s="410"/>
      <c r="AB40" s="411">
        <f t="shared" si="13"/>
        <v>9.7099999999999795</v>
      </c>
      <c r="AC40" s="412">
        <f t="shared" si="14"/>
        <v>6.3828319254028654E-2</v>
      </c>
      <c r="AD40" s="52"/>
      <c r="AE40" s="428"/>
      <c r="AF40" s="501"/>
      <c r="AG40" s="409">
        <f>SUM(AG37:AG39)</f>
        <v>169.34683199999995</v>
      </c>
      <c r="AH40" s="410"/>
      <c r="AI40" s="411">
        <f t="shared" si="17"/>
        <v>7.5100000000000193</v>
      </c>
      <c r="AJ40" s="412">
        <f t="shared" si="18"/>
        <v>4.6404764028005828E-2</v>
      </c>
      <c r="AK40" s="52"/>
      <c r="AL40" s="428"/>
      <c r="AM40" s="501"/>
      <c r="AN40" s="409">
        <f>SUM(AN37:AN39)</f>
        <v>176.55683199999996</v>
      </c>
      <c r="AO40" s="410"/>
      <c r="AP40" s="411">
        <f t="shared" si="21"/>
        <v>7.210000000000008</v>
      </c>
      <c r="AQ40" s="412">
        <f t="shared" si="22"/>
        <v>4.2575346198386578E-2</v>
      </c>
      <c r="AR40" s="413"/>
    </row>
    <row r="41" spans="1:44" ht="12" customHeight="1">
      <c r="A41" s="52"/>
      <c r="B41" s="320" t="s">
        <v>257</v>
      </c>
      <c r="C41" s="395" t="str">
        <f t="shared" ref="C41:C48" si="51">D$6&amp;"."&amp;B41</f>
        <v>General Service &lt; 50 kW.Wholesale Market Service Charge (WMSC)</v>
      </c>
      <c r="D41" s="396" t="s">
        <v>308</v>
      </c>
      <c r="E41" s="320"/>
      <c r="F41" s="414">
        <f>IFERROR(VLOOKUP($C41,'Proposed Rates'!$B:$J,F$11,FALSE),0)</f>
        <v>4.4999999999999997E-3</v>
      </c>
      <c r="G41" s="508">
        <f t="shared" ref="G41:G42" si="52">$F$10*(1+F$63)</f>
        <v>2067.6</v>
      </c>
      <c r="H41" s="400">
        <f t="shared" ref="H41:H48" si="53">G41*F41</f>
        <v>9.304199999999998</v>
      </c>
      <c r="I41" s="128"/>
      <c r="J41" s="414">
        <f>IFERROR(VLOOKUP($C41,'Proposed Rates'!$B:$J,J$11,FALSE),0)</f>
        <v>4.4999999999999997E-3</v>
      </c>
      <c r="K41" s="508">
        <f t="shared" ref="K41:K42" si="54">$F$10*(1+J$63)</f>
        <v>2066.3999999999996</v>
      </c>
      <c r="L41" s="400">
        <f t="shared" ref="L41:L48" si="55">K41*J41</f>
        <v>9.2987999999999982</v>
      </c>
      <c r="M41" s="128"/>
      <c r="N41" s="401">
        <f t="shared" si="5"/>
        <v>-5.3999999999998494E-3</v>
      </c>
      <c r="O41" s="402">
        <f t="shared" si="6"/>
        <v>-5.8038305281484176E-4</v>
      </c>
      <c r="P41" s="52"/>
      <c r="Q41" s="414">
        <f>IFERROR(VLOOKUP($C41,'Proposed Rates'!$B:$J,Q$11,FALSE),0)</f>
        <v>4.4999999999999997E-3</v>
      </c>
      <c r="R41" s="508">
        <f t="shared" ref="R41:R42" si="56">$F$10*(1+Q$63)</f>
        <v>2066.3999999999996</v>
      </c>
      <c r="S41" s="400">
        <f t="shared" ref="S41:S48" si="57">R41*Q41</f>
        <v>9.2987999999999982</v>
      </c>
      <c r="T41" s="128"/>
      <c r="U41" s="401">
        <f t="shared" si="9"/>
        <v>0</v>
      </c>
      <c r="V41" s="402">
        <f t="shared" si="10"/>
        <v>0</v>
      </c>
      <c r="W41" s="52"/>
      <c r="X41" s="414">
        <f>IFERROR(VLOOKUP($C41,'Proposed Rates'!$B:$J,X$11,FALSE),0)</f>
        <v>4.4999999999999997E-3</v>
      </c>
      <c r="Y41" s="508">
        <f t="shared" ref="Y41:Y42" si="58">$F$10*(1+X$63)</f>
        <v>2066.3999999999996</v>
      </c>
      <c r="Z41" s="400">
        <f t="shared" ref="Z41:Z48" si="59">Y41*X41</f>
        <v>9.2987999999999982</v>
      </c>
      <c r="AA41" s="128"/>
      <c r="AB41" s="401">
        <f t="shared" si="13"/>
        <v>0</v>
      </c>
      <c r="AC41" s="402">
        <f t="shared" si="14"/>
        <v>0</v>
      </c>
      <c r="AD41" s="52"/>
      <c r="AE41" s="414">
        <f>IFERROR(VLOOKUP($C41,'Proposed Rates'!$B:$J,AE$11,FALSE),0)</f>
        <v>4.4999999999999997E-3</v>
      </c>
      <c r="AF41" s="508">
        <f t="shared" ref="AF41:AF42" si="60">$F$10*(1+AE$63)</f>
        <v>2066.3999999999996</v>
      </c>
      <c r="AG41" s="400">
        <f t="shared" ref="AG41:AG48" si="61">AF41*AE41</f>
        <v>9.2987999999999982</v>
      </c>
      <c r="AH41" s="128"/>
      <c r="AI41" s="401">
        <f t="shared" si="17"/>
        <v>0</v>
      </c>
      <c r="AJ41" s="402">
        <f t="shared" si="18"/>
        <v>0</v>
      </c>
      <c r="AK41" s="52"/>
      <c r="AL41" s="414">
        <f>IFERROR(VLOOKUP($C41,'Proposed Rates'!$B:$J,AL$11,FALSE),0)</f>
        <v>4.4999999999999997E-3</v>
      </c>
      <c r="AM41" s="508">
        <f t="shared" ref="AM41:AM42" si="62">$F$10*(1+AL$63)</f>
        <v>2066.3999999999996</v>
      </c>
      <c r="AN41" s="400">
        <f t="shared" ref="AN41:AN48" si="63">AM41*AL41</f>
        <v>9.2987999999999982</v>
      </c>
      <c r="AO41" s="128"/>
      <c r="AP41" s="401">
        <f t="shared" si="21"/>
        <v>0</v>
      </c>
      <c r="AQ41" s="402">
        <f t="shared" si="22"/>
        <v>0</v>
      </c>
      <c r="AR41" s="403"/>
    </row>
    <row r="42" spans="1:44" ht="12" customHeight="1">
      <c r="A42" s="52"/>
      <c r="B42" s="320" t="s">
        <v>258</v>
      </c>
      <c r="C42" s="395" t="str">
        <f t="shared" si="51"/>
        <v>General Service &lt; 50 kW.Rural and Remote Rate Protection (RRRP)</v>
      </c>
      <c r="D42" s="396" t="s">
        <v>308</v>
      </c>
      <c r="E42" s="320"/>
      <c r="F42" s="414">
        <f>IFERROR(VLOOKUP($C42,'Proposed Rates'!$B:$J,F$11,FALSE),0)</f>
        <v>1.5E-3</v>
      </c>
      <c r="G42" s="508">
        <f t="shared" si="52"/>
        <v>2067.6</v>
      </c>
      <c r="H42" s="400">
        <f t="shared" si="53"/>
        <v>3.1013999999999999</v>
      </c>
      <c r="I42" s="128"/>
      <c r="J42" s="414">
        <f>IFERROR(VLOOKUP($C42,'Proposed Rates'!$B:$J,J$11,FALSE),0)</f>
        <v>1.5E-3</v>
      </c>
      <c r="K42" s="508">
        <f t="shared" si="54"/>
        <v>2066.3999999999996</v>
      </c>
      <c r="L42" s="400">
        <f t="shared" si="55"/>
        <v>3.0995999999999997</v>
      </c>
      <c r="M42" s="128"/>
      <c r="N42" s="401">
        <f t="shared" si="5"/>
        <v>-1.8000000000002458E-3</v>
      </c>
      <c r="O42" s="402">
        <f t="shared" si="6"/>
        <v>-5.8038305281493706E-4</v>
      </c>
      <c r="P42" s="52"/>
      <c r="Q42" s="414">
        <f>IFERROR(VLOOKUP($C42,'Proposed Rates'!$B:$J,Q$11,FALSE),0)</f>
        <v>1.5E-3</v>
      </c>
      <c r="R42" s="508">
        <f t="shared" si="56"/>
        <v>2066.3999999999996</v>
      </c>
      <c r="S42" s="400">
        <f t="shared" si="57"/>
        <v>3.0995999999999997</v>
      </c>
      <c r="T42" s="128"/>
      <c r="U42" s="401">
        <f t="shared" si="9"/>
        <v>0</v>
      </c>
      <c r="V42" s="402">
        <f t="shared" si="10"/>
        <v>0</v>
      </c>
      <c r="W42" s="52"/>
      <c r="X42" s="414">
        <f>IFERROR(VLOOKUP($C42,'Proposed Rates'!$B:$J,X$11,FALSE),0)</f>
        <v>1.5E-3</v>
      </c>
      <c r="Y42" s="508">
        <f t="shared" si="58"/>
        <v>2066.3999999999996</v>
      </c>
      <c r="Z42" s="400">
        <f t="shared" si="59"/>
        <v>3.0995999999999997</v>
      </c>
      <c r="AA42" s="128"/>
      <c r="AB42" s="401">
        <f t="shared" si="13"/>
        <v>0</v>
      </c>
      <c r="AC42" s="402">
        <f t="shared" si="14"/>
        <v>0</v>
      </c>
      <c r="AD42" s="52"/>
      <c r="AE42" s="414">
        <f>IFERROR(VLOOKUP($C42,'Proposed Rates'!$B:$J,AE$11,FALSE),0)</f>
        <v>1.5E-3</v>
      </c>
      <c r="AF42" s="508">
        <f t="shared" si="60"/>
        <v>2066.3999999999996</v>
      </c>
      <c r="AG42" s="400">
        <f t="shared" si="61"/>
        <v>3.0995999999999997</v>
      </c>
      <c r="AH42" s="128"/>
      <c r="AI42" s="401">
        <f t="shared" si="17"/>
        <v>0</v>
      </c>
      <c r="AJ42" s="402">
        <f t="shared" si="18"/>
        <v>0</v>
      </c>
      <c r="AK42" s="52"/>
      <c r="AL42" s="414">
        <f>IFERROR(VLOOKUP($C42,'Proposed Rates'!$B:$J,AL$11,FALSE),0)</f>
        <v>1.5E-3</v>
      </c>
      <c r="AM42" s="508">
        <f t="shared" si="62"/>
        <v>2066.3999999999996</v>
      </c>
      <c r="AN42" s="400">
        <f t="shared" si="63"/>
        <v>3.0995999999999997</v>
      </c>
      <c r="AO42" s="128"/>
      <c r="AP42" s="401">
        <f t="shared" si="21"/>
        <v>0</v>
      </c>
      <c r="AQ42" s="402">
        <f t="shared" si="22"/>
        <v>0</v>
      </c>
      <c r="AR42" s="403"/>
    </row>
    <row r="43" spans="1:44" ht="12" customHeight="1">
      <c r="A43" s="52"/>
      <c r="B43" s="320" t="s">
        <v>260</v>
      </c>
      <c r="C43" s="395" t="str">
        <f t="shared" si="51"/>
        <v>General Service &lt; 50 kW.Standard Supply Service Charge</v>
      </c>
      <c r="D43" s="396" t="s">
        <v>306</v>
      </c>
      <c r="E43" s="320"/>
      <c r="F43" s="397">
        <f>IFERROR(VLOOKUP($C43,'Proposed Rates'!$B:$J,F$11,FALSE),0)</f>
        <v>0.25</v>
      </c>
      <c r="G43" s="398">
        <f>IF($D43="Monthly",1,IF($D43="per KWH",$F$10,0))</f>
        <v>1</v>
      </c>
      <c r="H43" s="400">
        <f t="shared" si="53"/>
        <v>0.25</v>
      </c>
      <c r="I43" s="128"/>
      <c r="J43" s="397">
        <f>IFERROR(VLOOKUP($C43,'Proposed Rates'!$B:$J,J$11,FALSE),0)</f>
        <v>1.51</v>
      </c>
      <c r="K43" s="398">
        <f>IF($D43="Monthly",1,IF($D43="per KWH",$F$10,0))</f>
        <v>1</v>
      </c>
      <c r="L43" s="400">
        <f t="shared" si="55"/>
        <v>1.51</v>
      </c>
      <c r="M43" s="128"/>
      <c r="N43" s="401">
        <f t="shared" si="5"/>
        <v>1.26</v>
      </c>
      <c r="O43" s="402">
        <f t="shared" si="6"/>
        <v>5.04</v>
      </c>
      <c r="P43" s="52"/>
      <c r="Q43" s="397">
        <f>IFERROR(VLOOKUP($C43,'Proposed Rates'!$B:$J,Q$11,FALSE),0)</f>
        <v>1.54</v>
      </c>
      <c r="R43" s="398">
        <f>IF($D43="Monthly",1,IF($D43="per KWH",$F$10,0))</f>
        <v>1</v>
      </c>
      <c r="S43" s="400">
        <f t="shared" si="57"/>
        <v>1.54</v>
      </c>
      <c r="T43" s="128"/>
      <c r="U43" s="401">
        <f t="shared" si="9"/>
        <v>3.0000000000000027E-2</v>
      </c>
      <c r="V43" s="402">
        <f t="shared" si="10"/>
        <v>1.986754966887419E-2</v>
      </c>
      <c r="W43" s="52"/>
      <c r="X43" s="397">
        <f>IFERROR(VLOOKUP($C43,'Proposed Rates'!$B:$J,X$11,FALSE),0)</f>
        <v>1.57</v>
      </c>
      <c r="Y43" s="398">
        <f>IF($D43="Monthly",1,IF($D43="per KWH",$F$10,0))</f>
        <v>1</v>
      </c>
      <c r="Z43" s="400">
        <f t="shared" si="59"/>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61"/>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3"/>
        <v>1.63</v>
      </c>
      <c r="AO43" s="128"/>
      <c r="AP43" s="401">
        <f t="shared" si="21"/>
        <v>2.9999999999999805E-2</v>
      </c>
      <c r="AQ43" s="402">
        <f t="shared" si="22"/>
        <v>1.8749999999999878E-2</v>
      </c>
      <c r="AR43" s="403"/>
    </row>
    <row r="44" spans="1:44" ht="12" customHeight="1">
      <c r="A44" s="52"/>
      <c r="B44" s="320" t="s">
        <v>262</v>
      </c>
      <c r="C44" s="395" t="str">
        <f t="shared" si="51"/>
        <v>General Service &lt; 50 kW.TOU - Off Peak</v>
      </c>
      <c r="D44" s="396" t="s">
        <v>308</v>
      </c>
      <c r="E44" s="320"/>
      <c r="F44" s="430">
        <f>VLOOKUP($B44,'Proposed Rates'!$D$248:$J$254,+F$11-2,FALSE)</f>
        <v>9.8000000000000004E-2</v>
      </c>
      <c r="G44" s="508">
        <f>'Proposed Rates'!$K$249*$F$10</f>
        <v>1280</v>
      </c>
      <c r="H44" s="400">
        <f t="shared" si="53"/>
        <v>125.44</v>
      </c>
      <c r="I44" s="128"/>
      <c r="J44" s="430">
        <f>VLOOKUP($B44,'Proposed Rates'!$D$248:$J$254,+J$11-2,FALSE)</f>
        <v>9.8000000000000004E-2</v>
      </c>
      <c r="K44" s="508">
        <f>'Proposed Rates'!$K$249*$F$10</f>
        <v>1280</v>
      </c>
      <c r="L44" s="400">
        <f t="shared" si="55"/>
        <v>125.44</v>
      </c>
      <c r="M44" s="128"/>
      <c r="N44" s="401">
        <f t="shared" si="5"/>
        <v>0</v>
      </c>
      <c r="O44" s="402">
        <f t="shared" si="6"/>
        <v>0</v>
      </c>
      <c r="P44" s="52"/>
      <c r="Q44" s="430">
        <f>VLOOKUP($B44,'Proposed Rates'!$D$248:$J$254,+Q$11-2,FALSE)</f>
        <v>9.8000000000000004E-2</v>
      </c>
      <c r="R44" s="508">
        <f>'Proposed Rates'!$K$249*$F$10</f>
        <v>1280</v>
      </c>
      <c r="S44" s="400">
        <f t="shared" si="57"/>
        <v>125.44</v>
      </c>
      <c r="T44" s="128"/>
      <c r="U44" s="401">
        <f t="shared" si="9"/>
        <v>0</v>
      </c>
      <c r="V44" s="402">
        <f t="shared" si="10"/>
        <v>0</v>
      </c>
      <c r="W44" s="52"/>
      <c r="X44" s="430">
        <f>VLOOKUP($B44,'Proposed Rates'!$D$248:$J$254,+X$11-2,FALSE)</f>
        <v>9.8000000000000004E-2</v>
      </c>
      <c r="Y44" s="508">
        <f>'Proposed Rates'!$K$249*$F$10</f>
        <v>1280</v>
      </c>
      <c r="Z44" s="400">
        <f t="shared" si="59"/>
        <v>125.44</v>
      </c>
      <c r="AA44" s="128"/>
      <c r="AB44" s="401">
        <f t="shared" si="13"/>
        <v>0</v>
      </c>
      <c r="AC44" s="402">
        <f t="shared" si="14"/>
        <v>0</v>
      </c>
      <c r="AD44" s="52"/>
      <c r="AE44" s="430">
        <f>VLOOKUP($B44,'Proposed Rates'!$D$248:$J$254,+AE$11-2,FALSE)</f>
        <v>9.8000000000000004E-2</v>
      </c>
      <c r="AF44" s="508">
        <f>'Proposed Rates'!$K$249*$F$10</f>
        <v>1280</v>
      </c>
      <c r="AG44" s="400">
        <f t="shared" si="61"/>
        <v>125.44</v>
      </c>
      <c r="AH44" s="128"/>
      <c r="AI44" s="401">
        <f t="shared" si="17"/>
        <v>0</v>
      </c>
      <c r="AJ44" s="402">
        <f t="shared" si="18"/>
        <v>0</v>
      </c>
      <c r="AK44" s="52"/>
      <c r="AL44" s="430">
        <f>VLOOKUP($B44,'Proposed Rates'!$D$248:$J$254,+AL$11-2,FALSE)</f>
        <v>9.8000000000000004E-2</v>
      </c>
      <c r="AM44" s="508">
        <f>'Proposed Rates'!$K$249*$F$10</f>
        <v>1280</v>
      </c>
      <c r="AN44" s="400">
        <f t="shared" si="63"/>
        <v>125.44</v>
      </c>
      <c r="AO44" s="128"/>
      <c r="AP44" s="401">
        <f t="shared" si="21"/>
        <v>0</v>
      </c>
      <c r="AQ44" s="402">
        <f t="shared" si="22"/>
        <v>0</v>
      </c>
      <c r="AR44" s="403"/>
    </row>
    <row r="45" spans="1:44" ht="12" customHeight="1">
      <c r="A45" s="52"/>
      <c r="B45" s="320" t="s">
        <v>263</v>
      </c>
      <c r="C45" s="395" t="str">
        <f t="shared" si="51"/>
        <v>General Service &lt; 50 kW.TOU - Mid Peak</v>
      </c>
      <c r="D45" s="396" t="s">
        <v>308</v>
      </c>
      <c r="E45" s="320"/>
      <c r="F45" s="430">
        <f>VLOOKUP($B45,'Proposed Rates'!$D$248:$J$254,+F$11-2,FALSE)</f>
        <v>0.157</v>
      </c>
      <c r="G45" s="508">
        <f>'Proposed Rates'!$K$250*$F$10</f>
        <v>360</v>
      </c>
      <c r="H45" s="400">
        <f t="shared" si="53"/>
        <v>56.52</v>
      </c>
      <c r="I45" s="128"/>
      <c r="J45" s="430">
        <f>VLOOKUP($B45,'Proposed Rates'!$D$248:$J$254,+J$11-2,FALSE)</f>
        <v>0.157</v>
      </c>
      <c r="K45" s="508">
        <f>'Proposed Rates'!$K$250*$F$10</f>
        <v>360</v>
      </c>
      <c r="L45" s="400">
        <f t="shared" si="55"/>
        <v>56.52</v>
      </c>
      <c r="M45" s="128"/>
      <c r="N45" s="401">
        <f t="shared" si="5"/>
        <v>0</v>
      </c>
      <c r="O45" s="402">
        <f t="shared" si="6"/>
        <v>0</v>
      </c>
      <c r="P45" s="52"/>
      <c r="Q45" s="430">
        <f>VLOOKUP($B45,'Proposed Rates'!$D$248:$J$254,+Q$11-2,FALSE)</f>
        <v>0.157</v>
      </c>
      <c r="R45" s="508">
        <f>'Proposed Rates'!$K$250*$F$10</f>
        <v>360</v>
      </c>
      <c r="S45" s="400">
        <f t="shared" si="57"/>
        <v>56.52</v>
      </c>
      <c r="T45" s="128"/>
      <c r="U45" s="401">
        <f t="shared" si="9"/>
        <v>0</v>
      </c>
      <c r="V45" s="402">
        <f t="shared" si="10"/>
        <v>0</v>
      </c>
      <c r="W45" s="52"/>
      <c r="X45" s="430">
        <f>VLOOKUP($B45,'Proposed Rates'!$D$248:$J$254,+X$11-2,FALSE)</f>
        <v>0.157</v>
      </c>
      <c r="Y45" s="508">
        <f>'Proposed Rates'!$K$250*$F$10</f>
        <v>360</v>
      </c>
      <c r="Z45" s="400">
        <f t="shared" si="59"/>
        <v>56.52</v>
      </c>
      <c r="AA45" s="128"/>
      <c r="AB45" s="401">
        <f t="shared" si="13"/>
        <v>0</v>
      </c>
      <c r="AC45" s="402">
        <f t="shared" si="14"/>
        <v>0</v>
      </c>
      <c r="AD45" s="52"/>
      <c r="AE45" s="430">
        <f>VLOOKUP($B45,'Proposed Rates'!$D$248:$J$254,+AE$11-2,FALSE)</f>
        <v>0.157</v>
      </c>
      <c r="AF45" s="508">
        <f>'Proposed Rates'!$K$250*$F$10</f>
        <v>360</v>
      </c>
      <c r="AG45" s="400">
        <f t="shared" si="61"/>
        <v>56.52</v>
      </c>
      <c r="AH45" s="128"/>
      <c r="AI45" s="401">
        <f t="shared" si="17"/>
        <v>0</v>
      </c>
      <c r="AJ45" s="402">
        <f t="shared" si="18"/>
        <v>0</v>
      </c>
      <c r="AK45" s="52"/>
      <c r="AL45" s="430">
        <f>VLOOKUP($B45,'Proposed Rates'!$D$248:$J$254,+AL$11-2,FALSE)</f>
        <v>0.157</v>
      </c>
      <c r="AM45" s="508">
        <f>'Proposed Rates'!$K$250*$F$10</f>
        <v>360</v>
      </c>
      <c r="AN45" s="400">
        <f t="shared" si="63"/>
        <v>56.52</v>
      </c>
      <c r="AO45" s="128"/>
      <c r="AP45" s="401">
        <f t="shared" si="21"/>
        <v>0</v>
      </c>
      <c r="AQ45" s="402">
        <f t="shared" si="22"/>
        <v>0</v>
      </c>
      <c r="AR45" s="403"/>
    </row>
    <row r="46" spans="1:44" ht="12" customHeight="1">
      <c r="A46" s="52"/>
      <c r="B46" s="52" t="s">
        <v>264</v>
      </c>
      <c r="C46" s="395" t="str">
        <f t="shared" si="51"/>
        <v>General Service &lt; 50 kW.TOU - On Peak</v>
      </c>
      <c r="D46" s="396" t="s">
        <v>308</v>
      </c>
      <c r="E46" s="320"/>
      <c r="F46" s="430">
        <f>VLOOKUP($B46,'Proposed Rates'!$D$248:$J$254,+F$11-2,FALSE)</f>
        <v>0.20300000000000001</v>
      </c>
      <c r="G46" s="508">
        <f>'Proposed Rates'!$K$251*$F$10</f>
        <v>360</v>
      </c>
      <c r="H46" s="400">
        <f t="shared" si="53"/>
        <v>73.08</v>
      </c>
      <c r="I46" s="128"/>
      <c r="J46" s="430">
        <f>VLOOKUP($B46,'Proposed Rates'!$D$248:$J$254,+J$11-2,FALSE)</f>
        <v>0.20300000000000001</v>
      </c>
      <c r="K46" s="508">
        <f>'Proposed Rates'!$K$251*$F$10</f>
        <v>360</v>
      </c>
      <c r="L46" s="400">
        <f t="shared" si="55"/>
        <v>73.08</v>
      </c>
      <c r="M46" s="128"/>
      <c r="N46" s="401">
        <f t="shared" si="5"/>
        <v>0</v>
      </c>
      <c r="O46" s="402">
        <f t="shared" si="6"/>
        <v>0</v>
      </c>
      <c r="P46" s="52"/>
      <c r="Q46" s="430">
        <f>VLOOKUP($B46,'Proposed Rates'!$D$248:$J$254,+Q$11-2,FALSE)</f>
        <v>0.20300000000000001</v>
      </c>
      <c r="R46" s="508">
        <f>'Proposed Rates'!$K$251*$F$10</f>
        <v>360</v>
      </c>
      <c r="S46" s="400">
        <f t="shared" si="57"/>
        <v>73.08</v>
      </c>
      <c r="T46" s="128"/>
      <c r="U46" s="401">
        <f t="shared" si="9"/>
        <v>0</v>
      </c>
      <c r="V46" s="402">
        <f t="shared" si="10"/>
        <v>0</v>
      </c>
      <c r="W46" s="52"/>
      <c r="X46" s="430">
        <f>VLOOKUP($B46,'Proposed Rates'!$D$248:$J$254,+X$11-2,FALSE)</f>
        <v>0.20300000000000001</v>
      </c>
      <c r="Y46" s="508">
        <f>'Proposed Rates'!$K$251*$F$10</f>
        <v>360</v>
      </c>
      <c r="Z46" s="400">
        <f t="shared" si="59"/>
        <v>73.08</v>
      </c>
      <c r="AA46" s="128"/>
      <c r="AB46" s="401">
        <f t="shared" si="13"/>
        <v>0</v>
      </c>
      <c r="AC46" s="402">
        <f t="shared" si="14"/>
        <v>0</v>
      </c>
      <c r="AD46" s="52"/>
      <c r="AE46" s="430">
        <f>VLOOKUP($B46,'Proposed Rates'!$D$248:$J$254,+AE$11-2,FALSE)</f>
        <v>0.20300000000000001</v>
      </c>
      <c r="AF46" s="508">
        <f>'Proposed Rates'!$K$251*$F$10</f>
        <v>360</v>
      </c>
      <c r="AG46" s="400">
        <f t="shared" si="61"/>
        <v>73.08</v>
      </c>
      <c r="AH46" s="128"/>
      <c r="AI46" s="401">
        <f t="shared" si="17"/>
        <v>0</v>
      </c>
      <c r="AJ46" s="402">
        <f t="shared" si="18"/>
        <v>0</v>
      </c>
      <c r="AK46" s="52"/>
      <c r="AL46" s="430">
        <f>VLOOKUP($B46,'Proposed Rates'!$D$248:$J$254,+AL$11-2,FALSE)</f>
        <v>0.20300000000000001</v>
      </c>
      <c r="AM46" s="508">
        <f>'Proposed Rates'!$K$251*$F$10</f>
        <v>360</v>
      </c>
      <c r="AN46" s="400">
        <f t="shared" si="63"/>
        <v>73.08</v>
      </c>
      <c r="AO46" s="128"/>
      <c r="AP46" s="401">
        <f t="shared" si="21"/>
        <v>0</v>
      </c>
      <c r="AQ46" s="402">
        <f t="shared" si="22"/>
        <v>0</v>
      </c>
      <c r="AR46" s="403"/>
    </row>
    <row r="47" spans="1:44" ht="12" customHeight="1">
      <c r="A47" s="52"/>
      <c r="B47" s="320" t="s">
        <v>265</v>
      </c>
      <c r="C47" s="395" t="str">
        <f t="shared" si="51"/>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3"/>
        <v>90</v>
      </c>
      <c r="I47" s="128"/>
      <c r="J47" s="430">
        <f>VLOOKUP($B47,'Proposed Rates'!$D$248:$J$254,+J$11-2,FALSE)</f>
        <v>0.12</v>
      </c>
      <c r="K47" s="508">
        <f>IF(AND($S$2=1, $F$10&gt;=750), 750, IF(AND($S$2=1, AND($F$10&lt;750, $F$10&gt;=0)), $F$10, IF(AND($S$2=2, $F$10&gt;=1000), 1000, IF(AND($S$2=2, AND($F$10&lt;1000, $F$10&gt;=0)), $F$10))))</f>
        <v>750</v>
      </c>
      <c r="L47" s="400">
        <f t="shared" si="55"/>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7"/>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9"/>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61"/>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3"/>
        <v>90</v>
      </c>
      <c r="AO47" s="128"/>
      <c r="AP47" s="401">
        <f t="shared" si="21"/>
        <v>0</v>
      </c>
      <c r="AQ47" s="402">
        <f t="shared" si="22"/>
        <v>0</v>
      </c>
      <c r="AR47" s="403"/>
    </row>
    <row r="48" spans="1:44" ht="12" customHeight="1">
      <c r="A48" s="52"/>
      <c r="B48" s="320" t="s">
        <v>266</v>
      </c>
      <c r="C48" s="395" t="str">
        <f t="shared" si="51"/>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1250</v>
      </c>
      <c r="H48" s="400">
        <f t="shared" si="53"/>
        <v>177.49999999999997</v>
      </c>
      <c r="I48" s="128"/>
      <c r="J48" s="430">
        <f>VLOOKUP($B48,'Proposed Rates'!$D$248:$J$254,+J$11-2,FALSE)</f>
        <v>0.14199999999999999</v>
      </c>
      <c r="K48" s="508">
        <f>IF(AND($S$2=1, $F$10&gt;=750), $F$10-750, IF(AND($S$2=1, AND($F$10&lt;750, $F$10&gt;=0)), 0, IF(AND($S$2=2, $F$10&gt;=1000), $F$10-1000, IF(AND($S$2=2, AND($F$10&lt;1000, $F$10&gt;=0)), 0))))</f>
        <v>1250</v>
      </c>
      <c r="L48" s="400">
        <f t="shared" si="55"/>
        <v>177.49999999999997</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1250</v>
      </c>
      <c r="S48" s="400">
        <f t="shared" si="57"/>
        <v>177.49999999999997</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1250</v>
      </c>
      <c r="Z48" s="400">
        <f t="shared" si="59"/>
        <v>177.49999999999997</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1250</v>
      </c>
      <c r="AG48" s="400">
        <f t="shared" si="61"/>
        <v>177.49999999999997</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1250</v>
      </c>
      <c r="AN48" s="400">
        <f t="shared" si="63"/>
        <v>177.49999999999997</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402.040212</v>
      </c>
      <c r="I50" s="482"/>
      <c r="J50" s="445"/>
      <c r="K50" s="446"/>
      <c r="L50" s="448">
        <f>SUM(L41:L46,L40)</f>
        <v>412.95523199999991</v>
      </c>
      <c r="M50" s="449"/>
      <c r="N50" s="448">
        <f t="shared" ref="N50:N54" si="64">L50-H50</f>
        <v>10.915019999999913</v>
      </c>
      <c r="O50" s="450">
        <f t="shared" ref="O50:O54" si="65">IF((H50)=0,"",(N50/H50))</f>
        <v>2.7149075326823063E-2</v>
      </c>
      <c r="P50" s="52"/>
      <c r="Q50" s="445"/>
      <c r="R50" s="446"/>
      <c r="S50" s="448">
        <f>SUM(S41:S46,S40)</f>
        <v>421.105232</v>
      </c>
      <c r="T50" s="449"/>
      <c r="U50" s="448">
        <f t="shared" ref="U50:U54" si="66">S50-L50</f>
        <v>8.1500000000000909</v>
      </c>
      <c r="V50" s="450">
        <f t="shared" ref="V50:V54" si="67">IF((L50)=0,"",(U50/L50))</f>
        <v>1.9735795477220382E-2</v>
      </c>
      <c r="W50" s="52"/>
      <c r="X50" s="445"/>
      <c r="Y50" s="446"/>
      <c r="Z50" s="448">
        <f>SUM(Z41:Z46,Z40)</f>
        <v>430.8452319999999</v>
      </c>
      <c r="AA50" s="449"/>
      <c r="AB50" s="448">
        <f t="shared" ref="AB50:AB54" si="68">Z50-S50</f>
        <v>9.7399999999998954</v>
      </c>
      <c r="AC50" s="450">
        <f t="shared" ref="AC50:AC54" si="69">IF((S50)=0,"",(AB50/S50))</f>
        <v>2.3129610510277145E-2</v>
      </c>
      <c r="AD50" s="52"/>
      <c r="AE50" s="445"/>
      <c r="AF50" s="446"/>
      <c r="AG50" s="448">
        <f>SUM(AG41:AG46,AG40)</f>
        <v>438.38523199999997</v>
      </c>
      <c r="AH50" s="449"/>
      <c r="AI50" s="448">
        <f t="shared" ref="AI50:AI54" si="70">AG50-Z50</f>
        <v>7.5400000000000773</v>
      </c>
      <c r="AJ50" s="450">
        <f t="shared" ref="AJ50:AJ54" si="71">IF((Z50)=0,"",(AI50/Z50))</f>
        <v>1.7500483793215286E-2</v>
      </c>
      <c r="AK50" s="52"/>
      <c r="AL50" s="445"/>
      <c r="AM50" s="446"/>
      <c r="AN50" s="448">
        <f>SUM(AN41:AN46,AN40)</f>
        <v>445.62523199999998</v>
      </c>
      <c r="AO50" s="449"/>
      <c r="AP50" s="448">
        <f t="shared" ref="AP50:AP54" si="72">AN50-AG50</f>
        <v>7.2400000000000091</v>
      </c>
      <c r="AQ50" s="450">
        <f t="shared" ref="AQ50:AQ54" si="73">IF((AG50)=0,"",(AP50/AG50))</f>
        <v>1.6515154871822892E-2</v>
      </c>
      <c r="AR50" s="451"/>
    </row>
    <row r="51" spans="1:44" ht="12" customHeight="1">
      <c r="A51" s="52"/>
      <c r="B51" s="452" t="s">
        <v>316</v>
      </c>
      <c r="C51" s="320"/>
      <c r="D51" s="320"/>
      <c r="E51" s="320"/>
      <c r="F51" s="445">
        <v>0.13</v>
      </c>
      <c r="G51" s="128"/>
      <c r="H51" s="490">
        <f>H50*F51</f>
        <v>52.26522756</v>
      </c>
      <c r="I51" s="417"/>
      <c r="J51" s="445">
        <v>0.13</v>
      </c>
      <c r="K51" s="417"/>
      <c r="L51" s="400">
        <f>L50*J51</f>
        <v>53.68418015999999</v>
      </c>
      <c r="M51" s="128"/>
      <c r="N51" s="401">
        <f t="shared" si="64"/>
        <v>1.4189525999999901</v>
      </c>
      <c r="O51" s="402">
        <f t="shared" si="65"/>
        <v>2.7149075326823091E-2</v>
      </c>
      <c r="P51" s="52"/>
      <c r="Q51" s="445">
        <v>0.13</v>
      </c>
      <c r="R51" s="417"/>
      <c r="S51" s="400">
        <f>S50*Q51</f>
        <v>54.743680160000004</v>
      </c>
      <c r="T51" s="128"/>
      <c r="U51" s="401">
        <f t="shared" si="66"/>
        <v>1.0595000000000141</v>
      </c>
      <c r="V51" s="402">
        <f t="shared" si="67"/>
        <v>1.9735795477220423E-2</v>
      </c>
      <c r="W51" s="52"/>
      <c r="X51" s="445">
        <v>0.13</v>
      </c>
      <c r="Y51" s="417"/>
      <c r="Z51" s="400">
        <f>Z50*X51</f>
        <v>56.009880159999987</v>
      </c>
      <c r="AA51" s="128"/>
      <c r="AB51" s="401">
        <f t="shared" si="68"/>
        <v>1.2661999999999836</v>
      </c>
      <c r="AC51" s="402">
        <f t="shared" si="69"/>
        <v>2.312961051027709E-2</v>
      </c>
      <c r="AD51" s="52"/>
      <c r="AE51" s="445">
        <v>0.13</v>
      </c>
      <c r="AF51" s="417"/>
      <c r="AG51" s="400">
        <f>AG50*AE51</f>
        <v>56.990080159999998</v>
      </c>
      <c r="AH51" s="128"/>
      <c r="AI51" s="401">
        <f t="shared" si="70"/>
        <v>0.98020000000001062</v>
      </c>
      <c r="AJ51" s="402">
        <f t="shared" si="71"/>
        <v>1.7500483793215293E-2</v>
      </c>
      <c r="AK51" s="52"/>
      <c r="AL51" s="445">
        <v>0.13</v>
      </c>
      <c r="AM51" s="417"/>
      <c r="AN51" s="400">
        <f>AN50*AL51</f>
        <v>57.93128016</v>
      </c>
      <c r="AO51" s="128"/>
      <c r="AP51" s="401">
        <f t="shared" si="72"/>
        <v>0.94120000000000203</v>
      </c>
      <c r="AQ51" s="402">
        <f t="shared" si="73"/>
        <v>1.651515487182291E-2</v>
      </c>
      <c r="AR51" s="403"/>
    </row>
    <row r="52" spans="1:44" ht="12" customHeight="1">
      <c r="A52" s="52"/>
      <c r="B52" s="454" t="s">
        <v>365</v>
      </c>
      <c r="C52" s="320"/>
      <c r="D52" s="320"/>
      <c r="E52" s="320"/>
      <c r="F52" s="455"/>
      <c r="G52" s="128"/>
      <c r="H52" s="490">
        <f>H50+H51</f>
        <v>454.30543955999997</v>
      </c>
      <c r="I52" s="417"/>
      <c r="J52" s="455"/>
      <c r="K52" s="417"/>
      <c r="L52" s="400">
        <f>L50+L51</f>
        <v>466.63941215999989</v>
      </c>
      <c r="M52" s="128"/>
      <c r="N52" s="401">
        <f t="shared" si="64"/>
        <v>12.333972599999925</v>
      </c>
      <c r="O52" s="402">
        <f t="shared" si="65"/>
        <v>2.7149075326823115E-2</v>
      </c>
      <c r="P52" s="52"/>
      <c r="Q52" s="455"/>
      <c r="R52" s="417"/>
      <c r="S52" s="400">
        <f>S50+S51</f>
        <v>475.84891216</v>
      </c>
      <c r="T52" s="128"/>
      <c r="U52" s="401">
        <f t="shared" si="66"/>
        <v>9.209500000000105</v>
      </c>
      <c r="V52" s="402">
        <f t="shared" si="67"/>
        <v>1.9735795477220385E-2</v>
      </c>
      <c r="W52" s="52"/>
      <c r="X52" s="455"/>
      <c r="Y52" s="417"/>
      <c r="Z52" s="400">
        <f>Z50+Z51</f>
        <v>486.85511215999986</v>
      </c>
      <c r="AA52" s="128"/>
      <c r="AB52" s="401">
        <f t="shared" si="68"/>
        <v>11.006199999999865</v>
      </c>
      <c r="AC52" s="402">
        <f t="shared" si="69"/>
        <v>2.3129610510277111E-2</v>
      </c>
      <c r="AD52" s="52"/>
      <c r="AE52" s="455"/>
      <c r="AF52" s="417"/>
      <c r="AG52" s="400">
        <f>AG50+AG51</f>
        <v>495.37531215999996</v>
      </c>
      <c r="AH52" s="128"/>
      <c r="AI52" s="401">
        <f t="shared" si="70"/>
        <v>8.5202000000001021</v>
      </c>
      <c r="AJ52" s="402">
        <f t="shared" si="71"/>
        <v>1.7500483793215314E-2</v>
      </c>
      <c r="AK52" s="52"/>
      <c r="AL52" s="455"/>
      <c r="AM52" s="417"/>
      <c r="AN52" s="400">
        <f>AN50+AN51</f>
        <v>503.55651216000001</v>
      </c>
      <c r="AO52" s="128"/>
      <c r="AP52" s="401">
        <f t="shared" si="72"/>
        <v>8.1812000000000467</v>
      </c>
      <c r="AQ52" s="402">
        <f t="shared" si="73"/>
        <v>1.6515154871822969E-2</v>
      </c>
      <c r="AR52" s="403"/>
    </row>
    <row r="53" spans="1:44" ht="12" customHeight="1">
      <c r="A53" s="52"/>
      <c r="B53" s="628" t="s">
        <v>273</v>
      </c>
      <c r="C53" s="615"/>
      <c r="D53" s="615"/>
      <c r="E53" s="320"/>
      <c r="F53" s="456">
        <f>'Proposed Rates'!E287</f>
        <v>0.23499999999999999</v>
      </c>
      <c r="G53" s="128"/>
      <c r="H53" s="492">
        <f>F53*H50</f>
        <v>94.479449819999999</v>
      </c>
      <c r="I53" s="417"/>
      <c r="J53" s="456">
        <f>'Proposed Rates'!I287</f>
        <v>0.23499999999999999</v>
      </c>
      <c r="K53" s="417"/>
      <c r="L53" s="457">
        <f>J53*L50</f>
        <v>97.044479519999967</v>
      </c>
      <c r="M53" s="128"/>
      <c r="N53" s="457">
        <f t="shared" si="64"/>
        <v>2.5650296999999682</v>
      </c>
      <c r="O53" s="459">
        <f t="shared" si="65"/>
        <v>2.7149075326822942E-2</v>
      </c>
      <c r="P53" s="52"/>
      <c r="Q53" s="456">
        <f>'Proposed Rates'!H287</f>
        <v>0.23499999999999999</v>
      </c>
      <c r="R53" s="417"/>
      <c r="S53" s="457">
        <f>Q53*S50</f>
        <v>98.959729519999996</v>
      </c>
      <c r="T53" s="128"/>
      <c r="U53" s="457">
        <f t="shared" si="66"/>
        <v>1.9152500000000288</v>
      </c>
      <c r="V53" s="459">
        <f t="shared" si="67"/>
        <v>1.9735795477220458E-2</v>
      </c>
      <c r="W53" s="52"/>
      <c r="X53" s="456">
        <f>'Proposed Rates'!J287</f>
        <v>0.23499999999999999</v>
      </c>
      <c r="Y53" s="417"/>
      <c r="Z53" s="457">
        <f>X53*Z50</f>
        <v>101.24862951999997</v>
      </c>
      <c r="AA53" s="128"/>
      <c r="AB53" s="457">
        <f t="shared" si="68"/>
        <v>2.2888999999999697</v>
      </c>
      <c r="AC53" s="459">
        <f t="shared" si="69"/>
        <v>2.312961051027709E-2</v>
      </c>
      <c r="AD53" s="52"/>
      <c r="AE53" s="456">
        <f>'Proposed Rates'!J287</f>
        <v>0.23499999999999999</v>
      </c>
      <c r="AF53" s="417"/>
      <c r="AG53" s="457">
        <f>AE53*AG50</f>
        <v>103.02052951999998</v>
      </c>
      <c r="AH53" s="128"/>
      <c r="AI53" s="457">
        <f t="shared" si="70"/>
        <v>1.7719000000000165</v>
      </c>
      <c r="AJ53" s="459">
        <f t="shared" si="71"/>
        <v>1.7500483793215268E-2</v>
      </c>
      <c r="AK53" s="52"/>
      <c r="AL53" s="456">
        <f>'Proposed Rates'!J287</f>
        <v>0.23499999999999999</v>
      </c>
      <c r="AM53" s="417"/>
      <c r="AN53" s="457">
        <f>AL53*AN50</f>
        <v>104.72192951999999</v>
      </c>
      <c r="AO53" s="128"/>
      <c r="AP53" s="457">
        <f t="shared" si="72"/>
        <v>1.7014000000000067</v>
      </c>
      <c r="AQ53" s="459">
        <f t="shared" si="73"/>
        <v>1.6515154871822941E-2</v>
      </c>
      <c r="AR53" s="460"/>
    </row>
    <row r="54" spans="1:44" ht="12" customHeight="1">
      <c r="A54" s="52"/>
      <c r="B54" s="627" t="s">
        <v>318</v>
      </c>
      <c r="C54" s="613"/>
      <c r="D54" s="613"/>
      <c r="E54" s="461"/>
      <c r="F54" s="462"/>
      <c r="G54" s="493"/>
      <c r="H54" s="494">
        <f>H52-H53</f>
        <v>359.82598973999995</v>
      </c>
      <c r="I54" s="463"/>
      <c r="J54" s="462"/>
      <c r="K54" s="463"/>
      <c r="L54" s="464">
        <f>L52-L53</f>
        <v>369.59493263999991</v>
      </c>
      <c r="M54" s="465"/>
      <c r="N54" s="466">
        <f t="shared" si="64"/>
        <v>9.7689428999999564</v>
      </c>
      <c r="O54" s="467">
        <f t="shared" si="65"/>
        <v>2.714907532682316E-2</v>
      </c>
      <c r="P54" s="52"/>
      <c r="Q54" s="462"/>
      <c r="R54" s="463"/>
      <c r="S54" s="464">
        <f>S52-S53</f>
        <v>376.88918264</v>
      </c>
      <c r="T54" s="465"/>
      <c r="U54" s="466">
        <f t="shared" si="66"/>
        <v>7.2942500000000905</v>
      </c>
      <c r="V54" s="467">
        <f t="shared" si="67"/>
        <v>1.9735795477220406E-2</v>
      </c>
      <c r="W54" s="52"/>
      <c r="X54" s="462"/>
      <c r="Y54" s="463"/>
      <c r="Z54" s="464">
        <f>Z52-Z53</f>
        <v>385.60648263999991</v>
      </c>
      <c r="AA54" s="465"/>
      <c r="AB54" s="466">
        <f t="shared" si="68"/>
        <v>8.7172999999999092</v>
      </c>
      <c r="AC54" s="467">
        <f t="shared" si="69"/>
        <v>2.3129610510277152E-2</v>
      </c>
      <c r="AD54" s="52"/>
      <c r="AE54" s="462"/>
      <c r="AF54" s="463"/>
      <c r="AG54" s="464">
        <f>AG52-AG53</f>
        <v>392.35478264</v>
      </c>
      <c r="AH54" s="465"/>
      <c r="AI54" s="466">
        <f t="shared" si="70"/>
        <v>6.7483000000000857</v>
      </c>
      <c r="AJ54" s="467">
        <f t="shared" si="71"/>
        <v>1.7500483793215327E-2</v>
      </c>
      <c r="AK54" s="52"/>
      <c r="AL54" s="462"/>
      <c r="AM54" s="463"/>
      <c r="AN54" s="464">
        <f>AN52-AN53</f>
        <v>398.83458264000001</v>
      </c>
      <c r="AO54" s="465"/>
      <c r="AP54" s="466">
        <f t="shared" si="72"/>
        <v>6.4798000000000116</v>
      </c>
      <c r="AQ54" s="467">
        <f t="shared" si="73"/>
        <v>1.6515154871822903E-2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414.50021199999998</v>
      </c>
      <c r="I56" s="482"/>
      <c r="J56" s="445"/>
      <c r="K56" s="446"/>
      <c r="L56" s="448">
        <f>SUM(L47:L48,L40,L41:L43)</f>
        <v>425.41523199999989</v>
      </c>
      <c r="M56" s="449"/>
      <c r="N56" s="448">
        <f t="shared" ref="N56:N60" si="74">L56-H56</f>
        <v>10.915019999999913</v>
      </c>
      <c r="O56" s="450">
        <f t="shared" ref="O56:O60" si="75">IF((H56)=0,"",(N56/H56))</f>
        <v>2.633296602511729E-2</v>
      </c>
      <c r="P56" s="52"/>
      <c r="Q56" s="445"/>
      <c r="R56" s="446"/>
      <c r="S56" s="448">
        <f>SUM(S47:S48,S40,S41:S43)</f>
        <v>433.56523199999992</v>
      </c>
      <c r="T56" s="449"/>
      <c r="U56" s="448">
        <f t="shared" ref="U56:U60" si="76">S56-L56</f>
        <v>8.1500000000000341</v>
      </c>
      <c r="V56" s="450">
        <f t="shared" ref="V56:V60" si="77">IF((L56)=0,"",(U56/L56))</f>
        <v>1.9157753147870445E-2</v>
      </c>
      <c r="W56" s="52"/>
      <c r="X56" s="445"/>
      <c r="Y56" s="446"/>
      <c r="Z56" s="448">
        <f>SUM(Z47:Z48,Z40,Z41:Z43)</f>
        <v>443.30523199999993</v>
      </c>
      <c r="AA56" s="449"/>
      <c r="AB56" s="448">
        <f t="shared" ref="AB56:AB60" si="78">Z56-S56</f>
        <v>9.7400000000000091</v>
      </c>
      <c r="AC56" s="450">
        <f t="shared" ref="AC56:AC60" si="79">IF((S56)=0,"",(AB56/S56))</f>
        <v>2.2464900967889442E-2</v>
      </c>
      <c r="AD56" s="52"/>
      <c r="AE56" s="445"/>
      <c r="AF56" s="446"/>
      <c r="AG56" s="448">
        <f>SUM(AG47:AG48,AG40,AG41:AG43)</f>
        <v>450.84523199999995</v>
      </c>
      <c r="AH56" s="449"/>
      <c r="AI56" s="448">
        <f t="shared" ref="AI56:AI60" si="80">AG56-Z56</f>
        <v>7.5400000000000205</v>
      </c>
      <c r="AJ56" s="450">
        <f t="shared" ref="AJ56:AJ60" si="81">IF((Z56)=0,"",(AI56/Z56))</f>
        <v>1.7008596911845204E-2</v>
      </c>
      <c r="AK56" s="52"/>
      <c r="AL56" s="445"/>
      <c r="AM56" s="446"/>
      <c r="AN56" s="448">
        <f>SUM(AN47:AN48,AN40,AN41:AN43)</f>
        <v>458.08523199999996</v>
      </c>
      <c r="AO56" s="449"/>
      <c r="AP56" s="448">
        <f t="shared" ref="AP56:AP60" si="82">AN56-AG56</f>
        <v>7.2400000000000091</v>
      </c>
      <c r="AQ56" s="450">
        <f t="shared" ref="AQ56:AQ60" si="83">IF((AG56)=0,"",(AP56/AG56))</f>
        <v>1.605872589110582E-2</v>
      </c>
      <c r="AR56" s="451"/>
    </row>
    <row r="57" spans="1:44" ht="12" customHeight="1">
      <c r="A57" s="52"/>
      <c r="B57" s="452" t="s">
        <v>316</v>
      </c>
      <c r="C57" s="320"/>
      <c r="D57" s="320"/>
      <c r="E57" s="320"/>
      <c r="F57" s="445">
        <v>0.13</v>
      </c>
      <c r="G57" s="489"/>
      <c r="H57" s="490">
        <f>H56*F57</f>
        <v>53.885027559999997</v>
      </c>
      <c r="I57" s="417"/>
      <c r="J57" s="445">
        <v>0.13</v>
      </c>
      <c r="K57" s="453"/>
      <c r="L57" s="401">
        <f>L56*J57</f>
        <v>55.303980159999988</v>
      </c>
      <c r="M57" s="128"/>
      <c r="N57" s="401">
        <f t="shared" si="74"/>
        <v>1.4189525999999901</v>
      </c>
      <c r="O57" s="402">
        <f t="shared" si="75"/>
        <v>2.6332966025117314E-2</v>
      </c>
      <c r="P57" s="52"/>
      <c r="Q57" s="445">
        <v>0.13</v>
      </c>
      <c r="R57" s="453"/>
      <c r="S57" s="400">
        <f>S56*Q57</f>
        <v>56.363480159999995</v>
      </c>
      <c r="T57" s="128"/>
      <c r="U57" s="401">
        <f t="shared" si="76"/>
        <v>1.059500000000007</v>
      </c>
      <c r="V57" s="402">
        <f t="shared" si="77"/>
        <v>1.9157753147870493E-2</v>
      </c>
      <c r="W57" s="52"/>
      <c r="X57" s="445">
        <v>0.13</v>
      </c>
      <c r="Y57" s="453"/>
      <c r="Z57" s="400">
        <f>Z56*X57</f>
        <v>57.629680159999992</v>
      </c>
      <c r="AA57" s="128"/>
      <c r="AB57" s="401">
        <f t="shared" si="78"/>
        <v>1.2661999999999978</v>
      </c>
      <c r="AC57" s="402">
        <f t="shared" si="79"/>
        <v>2.2464900967889379E-2</v>
      </c>
      <c r="AD57" s="52"/>
      <c r="AE57" s="445">
        <v>0.13</v>
      </c>
      <c r="AF57" s="453"/>
      <c r="AG57" s="401">
        <f>AG56*AE57</f>
        <v>58.609880159999996</v>
      </c>
      <c r="AH57" s="128"/>
      <c r="AI57" s="401">
        <f t="shared" si="80"/>
        <v>0.98020000000000351</v>
      </c>
      <c r="AJ57" s="402">
        <f t="shared" si="81"/>
        <v>1.7008596911845218E-2</v>
      </c>
      <c r="AK57" s="52"/>
      <c r="AL57" s="445">
        <v>0.13</v>
      </c>
      <c r="AM57" s="453"/>
      <c r="AN57" s="400">
        <f>AN56*AL57</f>
        <v>59.551080159999998</v>
      </c>
      <c r="AO57" s="128"/>
      <c r="AP57" s="401">
        <f t="shared" si="82"/>
        <v>0.94120000000000203</v>
      </c>
      <c r="AQ57" s="402">
        <f t="shared" si="83"/>
        <v>1.6058725891105834E-2</v>
      </c>
      <c r="AR57" s="403"/>
    </row>
    <row r="58" spans="1:44" ht="12" customHeight="1">
      <c r="A58" s="52"/>
      <c r="B58" s="454" t="s">
        <v>366</v>
      </c>
      <c r="C58" s="320"/>
      <c r="D58" s="320"/>
      <c r="E58" s="320"/>
      <c r="F58" s="455"/>
      <c r="G58" s="128"/>
      <c r="H58" s="490">
        <f>H56+H57</f>
        <v>468.38523955999995</v>
      </c>
      <c r="I58" s="417"/>
      <c r="J58" s="455"/>
      <c r="K58" s="417"/>
      <c r="L58" s="400">
        <f>L56+L57</f>
        <v>480.71921215999987</v>
      </c>
      <c r="M58" s="128"/>
      <c r="N58" s="401">
        <f t="shared" si="74"/>
        <v>12.333972599999925</v>
      </c>
      <c r="O58" s="402">
        <f t="shared" si="75"/>
        <v>2.6332966025117338E-2</v>
      </c>
      <c r="P58" s="52"/>
      <c r="Q58" s="455"/>
      <c r="R58" s="417"/>
      <c r="S58" s="400">
        <f>S56+S57</f>
        <v>489.92871215999992</v>
      </c>
      <c r="T58" s="128"/>
      <c r="U58" s="401">
        <f t="shared" si="76"/>
        <v>9.2095000000000482</v>
      </c>
      <c r="V58" s="402">
        <f t="shared" si="77"/>
        <v>1.9157753147870465E-2</v>
      </c>
      <c r="W58" s="52"/>
      <c r="X58" s="455"/>
      <c r="Y58" s="417"/>
      <c r="Z58" s="400">
        <f>Z56+Z57</f>
        <v>500.93491215999995</v>
      </c>
      <c r="AA58" s="128"/>
      <c r="AB58" s="401">
        <f t="shared" si="78"/>
        <v>11.006200000000035</v>
      </c>
      <c r="AC58" s="402">
        <f t="shared" si="79"/>
        <v>2.2464900967889494E-2</v>
      </c>
      <c r="AD58" s="52"/>
      <c r="AE58" s="455"/>
      <c r="AF58" s="417"/>
      <c r="AG58" s="400">
        <f>AG56+AG57</f>
        <v>509.45511215999994</v>
      </c>
      <c r="AH58" s="128"/>
      <c r="AI58" s="401">
        <f t="shared" si="80"/>
        <v>8.5201999999999884</v>
      </c>
      <c r="AJ58" s="402">
        <f t="shared" si="81"/>
        <v>1.7008596911845135E-2</v>
      </c>
      <c r="AK58" s="52"/>
      <c r="AL58" s="455"/>
      <c r="AM58" s="417"/>
      <c r="AN58" s="400">
        <f>AN56+AN57</f>
        <v>517.63631215999999</v>
      </c>
      <c r="AO58" s="128"/>
      <c r="AP58" s="401">
        <f t="shared" si="82"/>
        <v>8.1812000000000467</v>
      </c>
      <c r="AQ58" s="402">
        <f t="shared" si="83"/>
        <v>1.605872589110589E-2</v>
      </c>
      <c r="AR58" s="403"/>
    </row>
    <row r="59" spans="1:44" ht="12" customHeight="1">
      <c r="A59" s="52"/>
      <c r="B59" s="628" t="s">
        <v>273</v>
      </c>
      <c r="C59" s="615"/>
      <c r="D59" s="615"/>
      <c r="E59" s="320"/>
      <c r="F59" s="456">
        <f>F53</f>
        <v>0.23499999999999999</v>
      </c>
      <c r="G59" s="128"/>
      <c r="H59" s="492">
        <f>F59*H56</f>
        <v>97.407549819999986</v>
      </c>
      <c r="I59" s="417"/>
      <c r="J59" s="456">
        <f>J53</f>
        <v>0.23499999999999999</v>
      </c>
      <c r="K59" s="417"/>
      <c r="L59" s="457">
        <f>J59*L56</f>
        <v>99.972579519999968</v>
      </c>
      <c r="M59" s="128"/>
      <c r="N59" s="457">
        <f t="shared" si="74"/>
        <v>2.5650296999999824</v>
      </c>
      <c r="O59" s="459">
        <f t="shared" si="75"/>
        <v>2.6332966025117321E-2</v>
      </c>
      <c r="P59" s="52"/>
      <c r="Q59" s="456">
        <f>Q53</f>
        <v>0.23499999999999999</v>
      </c>
      <c r="R59" s="417"/>
      <c r="S59" s="457">
        <f>Q59*S56</f>
        <v>101.88782951999998</v>
      </c>
      <c r="T59" s="128"/>
      <c r="U59" s="457">
        <f t="shared" si="76"/>
        <v>1.9152500000000146</v>
      </c>
      <c r="V59" s="459">
        <f t="shared" si="77"/>
        <v>1.9157753147870514E-2</v>
      </c>
      <c r="W59" s="52"/>
      <c r="X59" s="456">
        <f>X53</f>
        <v>0.23499999999999999</v>
      </c>
      <c r="Y59" s="417"/>
      <c r="Z59" s="457">
        <f>X59*Z56</f>
        <v>104.17672951999998</v>
      </c>
      <c r="AA59" s="128"/>
      <c r="AB59" s="457">
        <f t="shared" si="78"/>
        <v>2.2888999999999982</v>
      </c>
      <c r="AC59" s="459">
        <f t="shared" si="79"/>
        <v>2.2464900967889403E-2</v>
      </c>
      <c r="AD59" s="52"/>
      <c r="AE59" s="456">
        <f>AE53</f>
        <v>0.23499999999999999</v>
      </c>
      <c r="AF59" s="417"/>
      <c r="AG59" s="457">
        <f>AE59*AG56</f>
        <v>105.94862951999998</v>
      </c>
      <c r="AH59" s="128"/>
      <c r="AI59" s="457">
        <f t="shared" si="80"/>
        <v>1.7719000000000023</v>
      </c>
      <c r="AJ59" s="459">
        <f t="shared" si="81"/>
        <v>1.700859691184518E-2</v>
      </c>
      <c r="AK59" s="52"/>
      <c r="AL59" s="456">
        <f>AL53</f>
        <v>0.23499999999999999</v>
      </c>
      <c r="AM59" s="417"/>
      <c r="AN59" s="457">
        <f>AL59*AN56</f>
        <v>107.65002951999999</v>
      </c>
      <c r="AO59" s="128"/>
      <c r="AP59" s="457">
        <f t="shared" si="82"/>
        <v>1.7014000000000067</v>
      </c>
      <c r="AQ59" s="459">
        <f t="shared" si="83"/>
        <v>1.6058725891105862E-2</v>
      </c>
      <c r="AR59" s="460"/>
    </row>
    <row r="60" spans="1:44" ht="12" customHeight="1">
      <c r="A60" s="52"/>
      <c r="B60" s="627" t="s">
        <v>321</v>
      </c>
      <c r="C60" s="613"/>
      <c r="D60" s="613"/>
      <c r="E60" s="461"/>
      <c r="F60" s="469"/>
      <c r="G60" s="495"/>
      <c r="H60" s="496">
        <f>H58-H59</f>
        <v>370.97768973999996</v>
      </c>
      <c r="I60" s="470"/>
      <c r="J60" s="469"/>
      <c r="K60" s="470"/>
      <c r="L60" s="471">
        <f>L58-L59</f>
        <v>380.74663263999992</v>
      </c>
      <c r="M60" s="472"/>
      <c r="N60" s="473">
        <f t="shared" si="74"/>
        <v>9.7689428999999564</v>
      </c>
      <c r="O60" s="474">
        <f t="shared" si="75"/>
        <v>2.6332966025117383E-2</v>
      </c>
      <c r="P60" s="52"/>
      <c r="Q60" s="469"/>
      <c r="R60" s="470"/>
      <c r="S60" s="471">
        <f>S58-S59</f>
        <v>388.04088263999995</v>
      </c>
      <c r="T60" s="472"/>
      <c r="U60" s="473">
        <f t="shared" si="76"/>
        <v>7.2942500000000337</v>
      </c>
      <c r="V60" s="474">
        <f t="shared" si="77"/>
        <v>1.9157753147870455E-2</v>
      </c>
      <c r="W60" s="52"/>
      <c r="X60" s="469"/>
      <c r="Y60" s="470"/>
      <c r="Z60" s="471">
        <f>Z58-Z59</f>
        <v>396.75818263999997</v>
      </c>
      <c r="AA60" s="472"/>
      <c r="AB60" s="473">
        <f t="shared" si="78"/>
        <v>8.7173000000000229</v>
      </c>
      <c r="AC60" s="474">
        <f t="shared" si="79"/>
        <v>2.246490096788948E-2</v>
      </c>
      <c r="AD60" s="52"/>
      <c r="AE60" s="469"/>
      <c r="AF60" s="470"/>
      <c r="AG60" s="471">
        <f>AG58-AG59</f>
        <v>403.50648263999994</v>
      </c>
      <c r="AH60" s="472"/>
      <c r="AI60" s="473">
        <f t="shared" si="80"/>
        <v>6.748299999999972</v>
      </c>
      <c r="AJ60" s="474">
        <f t="shared" si="81"/>
        <v>1.7008596911845086E-2</v>
      </c>
      <c r="AK60" s="52"/>
      <c r="AL60" s="469"/>
      <c r="AM60" s="470"/>
      <c r="AN60" s="471">
        <f>AN58-AN59</f>
        <v>409.98628264000001</v>
      </c>
      <c r="AO60" s="472"/>
      <c r="AP60" s="473">
        <f t="shared" si="82"/>
        <v>6.4798000000000684</v>
      </c>
      <c r="AQ60" s="474">
        <f t="shared" si="83"/>
        <v>1.605872589110597E-2</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300-000000000000}">
      <formula1>"TOU,non-TOU"</formula1>
    </dataValidation>
    <dataValidation type="list" allowBlank="1" showErrorMessage="1" sqref="E15:E28 E30:E36 E38:E39 E41:E49 E55 E61" xr:uid="{00000000-0002-0000-1300-000001000000}">
      <formula1>#REF!</formula1>
    </dataValidation>
    <dataValidation type="list" allowBlank="1" showInputMessage="1" showErrorMessage="1" prompt="Select Charge Unit - monthly, per kWh, per kW" sqref="D15:D28 D30:D36 D38:D39 D41:D49 D55 D61" xr:uid="{00000000-0002-0000-1300-000002000000}">
      <formula1>"Monthly,per kWh,per kW"</formula1>
    </dataValidation>
  </dataValidations>
  <pageMargins left="0.74803149606299213" right="0.74803149606299213" top="0.98425196850393704" bottom="0.98425196850393704"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30.7109375" customWidth="1"/>
    <col min="3" max="3" width="4.42578125" customWidth="1"/>
    <col min="4" max="4" width="11.42578125" customWidth="1"/>
    <col min="5" max="5" width="1.42578125" customWidth="1"/>
    <col min="6" max="6" width="10.5703125" customWidth="1"/>
    <col min="7" max="7" width="8" customWidth="1"/>
    <col min="8" max="8" width="9.28515625" customWidth="1"/>
    <col min="9" max="9" width="0.42578125" customWidth="1"/>
    <col min="10" max="10" width="10.42578125" customWidth="1"/>
    <col min="11" max="11" width="8" customWidth="1"/>
    <col min="12" max="12" width="9.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1.710937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6" width="12.42578125" customWidth="1"/>
  </cols>
  <sheetData>
    <row r="1" spans="1:46" ht="12" customHeight="1">
      <c r="A1" s="52"/>
      <c r="B1" s="52"/>
      <c r="C1" s="52"/>
      <c r="D1" s="52"/>
      <c r="E1" s="52"/>
      <c r="F1" s="52"/>
      <c r="G1" s="52"/>
      <c r="H1" s="52"/>
      <c r="I1" s="52"/>
      <c r="J1" s="52"/>
      <c r="K1" s="52"/>
      <c r="L1" s="3"/>
      <c r="M1" s="3"/>
      <c r="N1" s="3"/>
      <c r="O1" s="3"/>
      <c r="P1" s="3"/>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c r="AS1" s="3"/>
      <c r="AT1" s="3"/>
    </row>
    <row r="2" spans="1:46" ht="12" customHeight="1">
      <c r="A2" s="52"/>
      <c r="B2" s="52"/>
      <c r="C2" s="379"/>
      <c r="D2" s="379"/>
      <c r="E2" s="379"/>
      <c r="F2" s="379" t="s">
        <v>291</v>
      </c>
      <c r="G2" s="379"/>
      <c r="H2" s="379"/>
      <c r="I2" s="379"/>
      <c r="J2" s="379"/>
      <c r="K2" s="379"/>
      <c r="L2" s="379"/>
      <c r="M2" s="379"/>
      <c r="N2" s="379"/>
      <c r="O2" s="379"/>
      <c r="P2" s="3"/>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c r="AS2" s="3"/>
      <c r="AT2" s="3"/>
    </row>
    <row r="3" spans="1:46" ht="12" customHeight="1">
      <c r="A3" s="52"/>
      <c r="B3" s="52"/>
      <c r="C3" s="379"/>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row>
    <row r="4" spans="1:46" ht="12" customHeight="1">
      <c r="A4" s="52"/>
      <c r="B4" s="52"/>
      <c r="C4" s="52"/>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row>
    <row r="5" spans="1:46" ht="12" customHeight="1">
      <c r="A5" s="52"/>
      <c r="B5" s="52"/>
      <c r="C5" s="52"/>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row>
    <row r="6" spans="1:46" ht="12" customHeight="1">
      <c r="A6" s="52"/>
      <c r="B6" s="319" t="s">
        <v>294</v>
      </c>
      <c r="C6" s="52"/>
      <c r="D6" s="505" t="s">
        <v>220</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row>
    <row r="7" spans="1:46"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row>
    <row r="8" spans="1:46"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3"/>
      <c r="AT8" s="3"/>
    </row>
    <row r="9" spans="1:46"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3"/>
      <c r="AT9" s="3"/>
    </row>
    <row r="10" spans="1:46" ht="12" customHeight="1">
      <c r="A10" s="52"/>
      <c r="B10" s="52"/>
      <c r="C10" s="52"/>
      <c r="D10" s="306" t="s">
        <v>297</v>
      </c>
      <c r="E10" s="306"/>
      <c r="F10" s="386">
        <v>2400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3"/>
      <c r="AT10" s="3"/>
    </row>
    <row r="11" spans="1:46"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
      <c r="AT11" s="3"/>
    </row>
    <row r="12" spans="1:46"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
      <c r="AT12" s="3"/>
    </row>
    <row r="13" spans="1:46"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
      <c r="AT13" s="3"/>
    </row>
    <row r="14" spans="1:46"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
      <c r="AT14" s="3"/>
    </row>
    <row r="15" spans="1:46"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16" si="20">AM15*AL15</f>
        <v>37</v>
      </c>
      <c r="AO15" s="128"/>
      <c r="AP15" s="401">
        <f t="shared" ref="AP15:AP48" si="21">AN15-AG15</f>
        <v>2</v>
      </c>
      <c r="AQ15" s="402">
        <f t="shared" ref="AQ15:AQ48" si="22">IF((AG15)=0,"",(AP15/AG15))</f>
        <v>5.7142857142857141E-2</v>
      </c>
      <c r="AR15" s="403"/>
      <c r="AS15" s="3"/>
      <c r="AT15" s="3"/>
    </row>
    <row r="16" spans="1:46"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c r="AS16" s="3"/>
      <c r="AT16" s="3"/>
    </row>
    <row r="17" spans="1:46"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2400</v>
      </c>
      <c r="H17" s="400">
        <f t="shared" si="2"/>
        <v>0</v>
      </c>
      <c r="I17" s="128"/>
      <c r="J17" s="414">
        <f>IFERROR(VLOOKUP($C17,'Proposed Rates'!$B:$J,J$11,FALSE),0)</f>
        <v>0</v>
      </c>
      <c r="K17" s="398">
        <f t="shared" si="3"/>
        <v>2400</v>
      </c>
      <c r="L17" s="400">
        <f t="shared" si="4"/>
        <v>0</v>
      </c>
      <c r="M17" s="128"/>
      <c r="N17" s="401">
        <f t="shared" si="5"/>
        <v>0</v>
      </c>
      <c r="O17" s="402" t="str">
        <f t="shared" si="6"/>
        <v/>
      </c>
      <c r="P17" s="52"/>
      <c r="Q17" s="414">
        <f>IFERROR(VLOOKUP($C17,'Proposed Rates'!$B:$J,Q$11,FALSE),0)</f>
        <v>0</v>
      </c>
      <c r="R17" s="398">
        <f t="shared" si="7"/>
        <v>2400</v>
      </c>
      <c r="S17" s="400">
        <f t="shared" si="8"/>
        <v>0</v>
      </c>
      <c r="T17" s="128"/>
      <c r="U17" s="401">
        <f t="shared" si="9"/>
        <v>0</v>
      </c>
      <c r="V17" s="402" t="str">
        <f t="shared" si="10"/>
        <v/>
      </c>
      <c r="W17" s="52"/>
      <c r="X17" s="414">
        <f>IFERROR(VLOOKUP($C17,'Proposed Rates'!$B:$J,X$11,FALSE),0)</f>
        <v>0</v>
      </c>
      <c r="Y17" s="398">
        <f t="shared" si="11"/>
        <v>2400</v>
      </c>
      <c r="Z17" s="400">
        <f t="shared" si="12"/>
        <v>0</v>
      </c>
      <c r="AA17" s="128"/>
      <c r="AB17" s="401">
        <f t="shared" si="13"/>
        <v>0</v>
      </c>
      <c r="AC17" s="402" t="str">
        <f t="shared" si="14"/>
        <v/>
      </c>
      <c r="AD17" s="52"/>
      <c r="AE17" s="414">
        <f>IFERROR(VLOOKUP($C17,'Proposed Rates'!$B:$J,AE$11,FALSE),0)</f>
        <v>0</v>
      </c>
      <c r="AF17" s="398">
        <f t="shared" si="15"/>
        <v>2400</v>
      </c>
      <c r="AG17" s="400">
        <f t="shared" si="16"/>
        <v>0</v>
      </c>
      <c r="AH17" s="128"/>
      <c r="AI17" s="401">
        <f t="shared" si="17"/>
        <v>0</v>
      </c>
      <c r="AJ17" s="402" t="str">
        <f t="shared" si="18"/>
        <v/>
      </c>
      <c r="AK17" s="52"/>
      <c r="AL17" s="414">
        <f>IFERROR(VLOOKUP($C17,'Proposed Rates'!$B:$J,AL$11,FALSE),0)</f>
        <v>0</v>
      </c>
      <c r="AM17" s="398">
        <f t="shared" si="19"/>
        <v>2400</v>
      </c>
      <c r="AN17" s="400">
        <f t="shared" ref="AN17:AN18" si="23">AL17*AM17</f>
        <v>0</v>
      </c>
      <c r="AO17" s="128"/>
      <c r="AP17" s="401">
        <f t="shared" si="21"/>
        <v>0</v>
      </c>
      <c r="AQ17" s="402" t="str">
        <f t="shared" si="22"/>
        <v/>
      </c>
      <c r="AR17" s="403"/>
      <c r="AS17" s="3"/>
      <c r="AT17" s="3"/>
    </row>
    <row r="18" spans="1:46"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3"/>
        <v>0</v>
      </c>
      <c r="AO18" s="128"/>
      <c r="AP18" s="401">
        <f t="shared" si="21"/>
        <v>0</v>
      </c>
      <c r="AQ18" s="402" t="str">
        <f t="shared" si="22"/>
        <v/>
      </c>
      <c r="AR18" s="403"/>
      <c r="AS18" s="3"/>
      <c r="AT18" s="3"/>
    </row>
    <row r="19" spans="1:46"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2400</v>
      </c>
      <c r="H19" s="400">
        <f t="shared" si="2"/>
        <v>73.2</v>
      </c>
      <c r="I19" s="128"/>
      <c r="J19" s="414">
        <f>IFERROR(VLOOKUP($C19,'Proposed Rates'!$B:$J,J$11,FALSE),0)</f>
        <v>3.6400000000000002E-2</v>
      </c>
      <c r="K19" s="398">
        <f t="shared" si="3"/>
        <v>2400</v>
      </c>
      <c r="L19" s="400">
        <f t="shared" si="4"/>
        <v>87.36</v>
      </c>
      <c r="M19" s="128"/>
      <c r="N19" s="401">
        <f t="shared" si="5"/>
        <v>14.159999999999997</v>
      </c>
      <c r="O19" s="402">
        <f t="shared" si="6"/>
        <v>0.19344262295081963</v>
      </c>
      <c r="P19" s="52"/>
      <c r="Q19" s="414">
        <f>IFERROR(VLOOKUP($C19,'Proposed Rates'!$B:$J,Q$11,FALSE),0)</f>
        <v>3.9100000000000003E-2</v>
      </c>
      <c r="R19" s="398">
        <f t="shared" si="7"/>
        <v>2400</v>
      </c>
      <c r="S19" s="400">
        <f t="shared" si="8"/>
        <v>93.84</v>
      </c>
      <c r="T19" s="128"/>
      <c r="U19" s="401">
        <f t="shared" si="9"/>
        <v>6.480000000000004</v>
      </c>
      <c r="V19" s="402">
        <f t="shared" si="10"/>
        <v>7.4175824175824218E-2</v>
      </c>
      <c r="W19" s="52"/>
      <c r="X19" s="414">
        <f>IFERROR(VLOOKUP($C19,'Proposed Rates'!$B:$J,X$11,FALSE),0)</f>
        <v>4.2599999999999999E-2</v>
      </c>
      <c r="Y19" s="398">
        <f t="shared" si="11"/>
        <v>2400</v>
      </c>
      <c r="Z19" s="400">
        <f t="shared" si="12"/>
        <v>102.24</v>
      </c>
      <c r="AA19" s="128"/>
      <c r="AB19" s="401">
        <f t="shared" si="13"/>
        <v>8.3999999999999915</v>
      </c>
      <c r="AC19" s="402">
        <f t="shared" si="14"/>
        <v>8.9514066496163586E-2</v>
      </c>
      <c r="AD19" s="52"/>
      <c r="AE19" s="414">
        <f>IFERROR(VLOOKUP($C19,'Proposed Rates'!$B:$J,AE$11,FALSE),0)</f>
        <v>4.53E-2</v>
      </c>
      <c r="AF19" s="398">
        <f t="shared" si="15"/>
        <v>2400</v>
      </c>
      <c r="AG19" s="400">
        <f t="shared" si="16"/>
        <v>108.72</v>
      </c>
      <c r="AH19" s="128"/>
      <c r="AI19" s="401">
        <f t="shared" si="17"/>
        <v>6.480000000000004</v>
      </c>
      <c r="AJ19" s="402">
        <f t="shared" si="18"/>
        <v>6.3380281690140886E-2</v>
      </c>
      <c r="AK19" s="52"/>
      <c r="AL19" s="414">
        <f>IFERROR(VLOOKUP($C19,'Proposed Rates'!$B:$J,AL$11,FALSE),0)</f>
        <v>4.7899999999999998E-2</v>
      </c>
      <c r="AM19" s="398">
        <f t="shared" si="19"/>
        <v>2400</v>
      </c>
      <c r="AN19" s="400">
        <f t="shared" ref="AN19:AN28" si="24">AM19*AL19</f>
        <v>114.96</v>
      </c>
      <c r="AO19" s="128"/>
      <c r="AP19" s="401">
        <f t="shared" si="21"/>
        <v>6.2399999999999949</v>
      </c>
      <c r="AQ19" s="402">
        <f t="shared" si="22"/>
        <v>5.7395143487858673E-2</v>
      </c>
      <c r="AR19" s="403"/>
      <c r="AS19" s="3"/>
      <c r="AT19" s="3"/>
    </row>
    <row r="20" spans="1:46" ht="12" customHeight="1">
      <c r="A20" s="52"/>
      <c r="B20" s="320" t="s">
        <v>309</v>
      </c>
      <c r="C20" s="395" t="str">
        <f t="shared" si="0"/>
        <v>General Service &lt; 50 kW.Smart Meter Disposition Rider</v>
      </c>
      <c r="D20" s="396" t="s">
        <v>308</v>
      </c>
      <c r="E20" s="320"/>
      <c r="F20" s="414">
        <f>IFERROR(VLOOKUP($C20,'Proposed Rates'!$B:$J,F$11,FALSE),0)</f>
        <v>0</v>
      </c>
      <c r="G20" s="398">
        <f t="shared" si="1"/>
        <v>2400</v>
      </c>
      <c r="H20" s="400">
        <f t="shared" si="2"/>
        <v>0</v>
      </c>
      <c r="I20" s="128"/>
      <c r="J20" s="414">
        <f>IFERROR(VLOOKUP($C20,'Proposed Rates'!$B:$J,J$11,FALSE),0)</f>
        <v>0</v>
      </c>
      <c r="K20" s="398">
        <f t="shared" si="3"/>
        <v>2400</v>
      </c>
      <c r="L20" s="400">
        <f t="shared" si="4"/>
        <v>0</v>
      </c>
      <c r="M20" s="128"/>
      <c r="N20" s="401">
        <f t="shared" si="5"/>
        <v>0</v>
      </c>
      <c r="O20" s="402" t="str">
        <f t="shared" si="6"/>
        <v/>
      </c>
      <c r="P20" s="52"/>
      <c r="Q20" s="414">
        <f>IFERROR(VLOOKUP($C20,'Proposed Rates'!$B:$J,Q$11,FALSE),0)</f>
        <v>0</v>
      </c>
      <c r="R20" s="398">
        <f t="shared" si="7"/>
        <v>2400</v>
      </c>
      <c r="S20" s="400">
        <f t="shared" si="8"/>
        <v>0</v>
      </c>
      <c r="T20" s="128"/>
      <c r="U20" s="401">
        <f t="shared" si="9"/>
        <v>0</v>
      </c>
      <c r="V20" s="402" t="str">
        <f t="shared" si="10"/>
        <v/>
      </c>
      <c r="W20" s="52"/>
      <c r="X20" s="414">
        <f>IFERROR(VLOOKUP($C20,'Proposed Rates'!$B:$J,X$11,FALSE),0)</f>
        <v>0</v>
      </c>
      <c r="Y20" s="398">
        <f t="shared" si="11"/>
        <v>2400</v>
      </c>
      <c r="Z20" s="400">
        <f t="shared" si="12"/>
        <v>0</v>
      </c>
      <c r="AA20" s="128"/>
      <c r="AB20" s="401">
        <f t="shared" si="13"/>
        <v>0</v>
      </c>
      <c r="AC20" s="402" t="str">
        <f t="shared" si="14"/>
        <v/>
      </c>
      <c r="AD20" s="52"/>
      <c r="AE20" s="414">
        <f>IFERROR(VLOOKUP($C20,'Proposed Rates'!$B:$J,AE$11,FALSE),0)</f>
        <v>0</v>
      </c>
      <c r="AF20" s="398">
        <f t="shared" si="15"/>
        <v>2400</v>
      </c>
      <c r="AG20" s="400">
        <f t="shared" si="16"/>
        <v>0</v>
      </c>
      <c r="AH20" s="128"/>
      <c r="AI20" s="401">
        <f t="shared" si="17"/>
        <v>0</v>
      </c>
      <c r="AJ20" s="402" t="str">
        <f t="shared" si="18"/>
        <v/>
      </c>
      <c r="AK20" s="52"/>
      <c r="AL20" s="414">
        <f>IFERROR(VLOOKUP($C20,'Proposed Rates'!$B:$J,AL$11,FALSE),0)</f>
        <v>0</v>
      </c>
      <c r="AM20" s="398">
        <f t="shared" si="19"/>
        <v>2400</v>
      </c>
      <c r="AN20" s="400">
        <f t="shared" si="24"/>
        <v>0</v>
      </c>
      <c r="AO20" s="128"/>
      <c r="AP20" s="401">
        <f t="shared" si="21"/>
        <v>0</v>
      </c>
      <c r="AQ20" s="402" t="str">
        <f t="shared" si="22"/>
        <v/>
      </c>
      <c r="AR20" s="403"/>
      <c r="AS20" s="3"/>
      <c r="AT20" s="3"/>
    </row>
    <row r="21" spans="1:46" ht="12" customHeight="1">
      <c r="A21" s="52"/>
      <c r="B21" s="320" t="s">
        <v>241</v>
      </c>
      <c r="C21" s="395" t="str">
        <f t="shared" si="0"/>
        <v>General Service &lt; 50 kW.LRAM Rate Rider</v>
      </c>
      <c r="D21" s="396" t="s">
        <v>308</v>
      </c>
      <c r="E21" s="320"/>
      <c r="F21" s="414">
        <f>'Proposed Rates'!E78+'Proposed Rates'!E91</f>
        <v>6.9999999999999999E-4</v>
      </c>
      <c r="G21" s="398">
        <f t="shared" si="1"/>
        <v>2400</v>
      </c>
      <c r="H21" s="400">
        <f t="shared" si="2"/>
        <v>1.68</v>
      </c>
      <c r="I21" s="128"/>
      <c r="J21" s="414">
        <f>'Proposed Rates'!F78+'Proposed Rates'!F91</f>
        <v>4.0000000000000002E-4</v>
      </c>
      <c r="K21" s="398">
        <f t="shared" si="3"/>
        <v>2400</v>
      </c>
      <c r="L21" s="400">
        <f t="shared" si="4"/>
        <v>0.96000000000000008</v>
      </c>
      <c r="M21" s="128"/>
      <c r="N21" s="401">
        <f t="shared" si="5"/>
        <v>-0.71999999999999986</v>
      </c>
      <c r="O21" s="402">
        <f t="shared" si="6"/>
        <v>-0.42857142857142849</v>
      </c>
      <c r="P21" s="52"/>
      <c r="Q21" s="414">
        <f>'Proposed Rates'!G78+'Proposed Rates'!G91</f>
        <v>0</v>
      </c>
      <c r="R21" s="398">
        <f t="shared" si="7"/>
        <v>2400</v>
      </c>
      <c r="S21" s="400">
        <f t="shared" si="8"/>
        <v>0</v>
      </c>
      <c r="T21" s="128"/>
      <c r="U21" s="401">
        <f t="shared" si="9"/>
        <v>-0.96000000000000008</v>
      </c>
      <c r="V21" s="402">
        <f t="shared" si="10"/>
        <v>-1</v>
      </c>
      <c r="W21" s="52"/>
      <c r="X21" s="414">
        <f>IFERROR(VLOOKUP($C21,'Proposed Rates'!$B:$J,X$11,FALSE),0)</f>
        <v>0</v>
      </c>
      <c r="Y21" s="398">
        <f t="shared" si="11"/>
        <v>2400</v>
      </c>
      <c r="Z21" s="400">
        <f t="shared" si="12"/>
        <v>0</v>
      </c>
      <c r="AA21" s="128"/>
      <c r="AB21" s="401">
        <f t="shared" si="13"/>
        <v>0</v>
      </c>
      <c r="AC21" s="402" t="str">
        <f t="shared" si="14"/>
        <v/>
      </c>
      <c r="AD21" s="52"/>
      <c r="AE21" s="414">
        <f>IFERROR(VLOOKUP($C21,'Proposed Rates'!$B:$J,AE$11,FALSE),0)</f>
        <v>0</v>
      </c>
      <c r="AF21" s="398">
        <f t="shared" si="15"/>
        <v>2400</v>
      </c>
      <c r="AG21" s="400">
        <f t="shared" si="16"/>
        <v>0</v>
      </c>
      <c r="AH21" s="128"/>
      <c r="AI21" s="401">
        <f t="shared" si="17"/>
        <v>0</v>
      </c>
      <c r="AJ21" s="402" t="str">
        <f t="shared" si="18"/>
        <v/>
      </c>
      <c r="AK21" s="52"/>
      <c r="AL21" s="414">
        <f>IFERROR(VLOOKUP($C21,'Proposed Rates'!$B:$J,AL$11,FALSE),0)</f>
        <v>0</v>
      </c>
      <c r="AM21" s="398">
        <f t="shared" si="19"/>
        <v>2400</v>
      </c>
      <c r="AN21" s="400">
        <f t="shared" si="24"/>
        <v>0</v>
      </c>
      <c r="AO21" s="128"/>
      <c r="AP21" s="401">
        <f t="shared" si="21"/>
        <v>0</v>
      </c>
      <c r="AQ21" s="402" t="str">
        <f t="shared" si="22"/>
        <v/>
      </c>
      <c r="AR21" s="403"/>
      <c r="AS21" s="3"/>
      <c r="AT21" s="3"/>
    </row>
    <row r="22" spans="1:46"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2400</v>
      </c>
      <c r="H22" s="400">
        <f t="shared" si="2"/>
        <v>0</v>
      </c>
      <c r="I22" s="128"/>
      <c r="J22" s="414">
        <f>IFERROR(VLOOKUP($C22,'Proposed Rates'!$B:$J,J$11,FALSE),0)</f>
        <v>-5.9999999999999995E-4</v>
      </c>
      <c r="K22" s="398">
        <f t="shared" si="3"/>
        <v>2400</v>
      </c>
      <c r="L22" s="400">
        <f t="shared" si="4"/>
        <v>-1.44</v>
      </c>
      <c r="M22" s="128"/>
      <c r="N22" s="401">
        <f t="shared" si="5"/>
        <v>-1.44</v>
      </c>
      <c r="O22" s="402" t="str">
        <f t="shared" si="6"/>
        <v/>
      </c>
      <c r="P22" s="52"/>
      <c r="Q22" s="414">
        <f>IFERROR(VLOOKUP($C22,'Proposed Rates'!$B:$J,Q$11,FALSE),0)</f>
        <v>0</v>
      </c>
      <c r="R22" s="398">
        <f t="shared" si="7"/>
        <v>2400</v>
      </c>
      <c r="S22" s="400">
        <f t="shared" si="8"/>
        <v>0</v>
      </c>
      <c r="T22" s="128"/>
      <c r="U22" s="401">
        <f t="shared" si="9"/>
        <v>1.44</v>
      </c>
      <c r="V22" s="402">
        <f t="shared" si="10"/>
        <v>-1</v>
      </c>
      <c r="W22" s="52"/>
      <c r="X22" s="414">
        <f>IFERROR(VLOOKUP($C22,'Proposed Rates'!$B:$J,X$11,FALSE),0)</f>
        <v>0</v>
      </c>
      <c r="Y22" s="398">
        <f t="shared" si="11"/>
        <v>2400</v>
      </c>
      <c r="Z22" s="400">
        <f t="shared" si="12"/>
        <v>0</v>
      </c>
      <c r="AA22" s="128"/>
      <c r="AB22" s="401">
        <f t="shared" si="13"/>
        <v>0</v>
      </c>
      <c r="AC22" s="402" t="str">
        <f t="shared" si="14"/>
        <v/>
      </c>
      <c r="AD22" s="52"/>
      <c r="AE22" s="414">
        <f>IFERROR(VLOOKUP($C22,'Proposed Rates'!$B:$J,AE$11,FALSE),0)</f>
        <v>0</v>
      </c>
      <c r="AF22" s="398">
        <f t="shared" si="15"/>
        <v>2400</v>
      </c>
      <c r="AG22" s="400">
        <f t="shared" si="16"/>
        <v>0</v>
      </c>
      <c r="AH22" s="128"/>
      <c r="AI22" s="401">
        <f t="shared" si="17"/>
        <v>0</v>
      </c>
      <c r="AJ22" s="402" t="str">
        <f t="shared" si="18"/>
        <v/>
      </c>
      <c r="AK22" s="52"/>
      <c r="AL22" s="414">
        <f>IFERROR(VLOOKUP($C22,'Proposed Rates'!$B:$J,AL$11,FALSE),0)</f>
        <v>0</v>
      </c>
      <c r="AM22" s="398">
        <f t="shared" si="19"/>
        <v>2400</v>
      </c>
      <c r="AN22" s="400">
        <f t="shared" si="24"/>
        <v>0</v>
      </c>
      <c r="AO22" s="128"/>
      <c r="AP22" s="401">
        <f t="shared" si="21"/>
        <v>0</v>
      </c>
      <c r="AQ22" s="402" t="str">
        <f t="shared" si="22"/>
        <v/>
      </c>
      <c r="AR22" s="403"/>
      <c r="AS22" s="3"/>
      <c r="AT22" s="3"/>
    </row>
    <row r="23" spans="1:46"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4"/>
        <v>0</v>
      </c>
      <c r="AO23" s="128"/>
      <c r="AP23" s="401">
        <f t="shared" si="21"/>
        <v>0</v>
      </c>
      <c r="AQ23" s="402" t="str">
        <f t="shared" si="22"/>
        <v/>
      </c>
      <c r="AR23" s="403"/>
      <c r="AS23" s="3"/>
      <c r="AT23" s="3"/>
    </row>
    <row r="24" spans="1:46"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4"/>
        <v>0</v>
      </c>
      <c r="AO24" s="128"/>
      <c r="AP24" s="401">
        <f t="shared" si="21"/>
        <v>0</v>
      </c>
      <c r="AQ24" s="402" t="str">
        <f t="shared" si="22"/>
        <v/>
      </c>
      <c r="AR24" s="403"/>
      <c r="AS24" s="3"/>
      <c r="AT24" s="3"/>
    </row>
    <row r="25" spans="1:46"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4"/>
        <v>0</v>
      </c>
      <c r="AO25" s="128"/>
      <c r="AP25" s="401">
        <f t="shared" si="21"/>
        <v>0</v>
      </c>
      <c r="AQ25" s="402" t="str">
        <f t="shared" si="22"/>
        <v/>
      </c>
      <c r="AR25" s="403"/>
      <c r="AS25" s="3"/>
      <c r="AT25" s="3"/>
    </row>
    <row r="26" spans="1:46"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4"/>
        <v>0</v>
      </c>
      <c r="AO26" s="128"/>
      <c r="AP26" s="401">
        <f t="shared" si="21"/>
        <v>0</v>
      </c>
      <c r="AQ26" s="402" t="str">
        <f t="shared" si="22"/>
        <v/>
      </c>
      <c r="AR26" s="403"/>
      <c r="AS26" s="3"/>
      <c r="AT26" s="3"/>
    </row>
    <row r="27" spans="1:46"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4"/>
        <v>0</v>
      </c>
      <c r="AO27" s="128"/>
      <c r="AP27" s="401">
        <f t="shared" si="21"/>
        <v>0</v>
      </c>
      <c r="AQ27" s="402" t="str">
        <f t="shared" si="22"/>
        <v/>
      </c>
      <c r="AR27" s="403"/>
      <c r="AS27" s="3"/>
      <c r="AT27" s="3"/>
    </row>
    <row r="28" spans="1:46"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4"/>
        <v>0</v>
      </c>
      <c r="AO28" s="128"/>
      <c r="AP28" s="401">
        <f t="shared" si="21"/>
        <v>0</v>
      </c>
      <c r="AQ28" s="402" t="str">
        <f t="shared" si="22"/>
        <v/>
      </c>
      <c r="AR28" s="403"/>
      <c r="AS28" s="3"/>
      <c r="AT28" s="3"/>
    </row>
    <row r="29" spans="1:46" ht="12" customHeight="1">
      <c r="A29" s="306"/>
      <c r="B29" s="405" t="s">
        <v>310</v>
      </c>
      <c r="C29" s="406"/>
      <c r="D29" s="406"/>
      <c r="E29" s="406"/>
      <c r="F29" s="407"/>
      <c r="G29" s="500"/>
      <c r="H29" s="409">
        <f>SUM(H15:H28)</f>
        <v>98.410000000000011</v>
      </c>
      <c r="I29" s="410"/>
      <c r="J29" s="407"/>
      <c r="K29" s="500"/>
      <c r="L29" s="502">
        <f>SUM(L15:L28)</f>
        <v>114.96</v>
      </c>
      <c r="M29" s="410"/>
      <c r="N29" s="411">
        <f t="shared" si="5"/>
        <v>16.549999999999983</v>
      </c>
      <c r="O29" s="412">
        <f t="shared" si="6"/>
        <v>0.16817396606035953</v>
      </c>
      <c r="P29" s="306"/>
      <c r="Q29" s="407"/>
      <c r="R29" s="500"/>
      <c r="S29" s="409">
        <f>SUM(S15:S28)</f>
        <v>124.04</v>
      </c>
      <c r="T29" s="410"/>
      <c r="U29" s="411">
        <f t="shared" si="9"/>
        <v>9.0800000000000125</v>
      </c>
      <c r="V29" s="412">
        <f t="shared" si="10"/>
        <v>7.8983994432846316E-2</v>
      </c>
      <c r="W29" s="306"/>
      <c r="X29" s="407"/>
      <c r="Y29" s="500"/>
      <c r="Z29" s="409">
        <f>SUM(Z15:Z28)</f>
        <v>135.13999999999999</v>
      </c>
      <c r="AA29" s="410"/>
      <c r="AB29" s="411">
        <f t="shared" si="13"/>
        <v>11.09999999999998</v>
      </c>
      <c r="AC29" s="412">
        <f t="shared" si="14"/>
        <v>8.948726217349226E-2</v>
      </c>
      <c r="AD29" s="306"/>
      <c r="AE29" s="407"/>
      <c r="AF29" s="500"/>
      <c r="AG29" s="409">
        <f>SUM(AG15:AG28)</f>
        <v>143.72</v>
      </c>
      <c r="AH29" s="410"/>
      <c r="AI29" s="411">
        <f t="shared" si="17"/>
        <v>8.5800000000000125</v>
      </c>
      <c r="AJ29" s="412">
        <f t="shared" si="18"/>
        <v>6.3489714370282765E-2</v>
      </c>
      <c r="AK29" s="306"/>
      <c r="AL29" s="407"/>
      <c r="AM29" s="500"/>
      <c r="AN29" s="409">
        <f>SUM(AN15:AN28)</f>
        <v>151.95999999999998</v>
      </c>
      <c r="AO29" s="410"/>
      <c r="AP29" s="411">
        <f t="shared" si="21"/>
        <v>8.2399999999999807</v>
      </c>
      <c r="AQ29" s="412">
        <f t="shared" si="22"/>
        <v>5.7333704425271227E-2</v>
      </c>
      <c r="AR29" s="413"/>
      <c r="AS29" s="3"/>
      <c r="AT29" s="3"/>
    </row>
    <row r="30" spans="1:46" ht="12" customHeight="1">
      <c r="A30" s="52"/>
      <c r="B30" s="404" t="s">
        <v>234</v>
      </c>
      <c r="C30" s="395" t="str">
        <f t="shared" ref="C30:C36" si="25">D$6&amp;"."&amp;B30</f>
        <v>General Service &lt; 50 kW.DVA Disposition Rate Rider Group 1 -2025</v>
      </c>
      <c r="D30" s="396" t="s">
        <v>308</v>
      </c>
      <c r="E30" s="320"/>
      <c r="F30" s="414">
        <f>IFERROR(VLOOKUP($C30,'Proposed Rates'!$B:$J,F$11,FALSE),0)</f>
        <v>0</v>
      </c>
      <c r="G30" s="398">
        <f t="shared" ref="G30:G33" si="26">IF($D30="Monthly",1,IF($D30="per KWH",$F$10,0))</f>
        <v>2400</v>
      </c>
      <c r="H30" s="400">
        <f t="shared" ref="H30:H36" si="27">G30*F30</f>
        <v>0</v>
      </c>
      <c r="I30" s="128"/>
      <c r="J30" s="414">
        <f>IFERROR(VLOOKUP($C30,'Proposed Rates'!$B:$J,J$11,FALSE),0)</f>
        <v>-5.0000000000000001E-4</v>
      </c>
      <c r="K30" s="398">
        <f t="shared" ref="K30:K33" si="28">IF($D30="Monthly",1,IF($D30="per KWH",$F$10,0))</f>
        <v>2400</v>
      </c>
      <c r="L30" s="400">
        <f t="shared" ref="L30:L36" si="29">K30*J30</f>
        <v>-1.2</v>
      </c>
      <c r="M30" s="128"/>
      <c r="N30" s="401">
        <f t="shared" si="5"/>
        <v>-1.2</v>
      </c>
      <c r="O30" s="402" t="str">
        <f t="shared" si="6"/>
        <v/>
      </c>
      <c r="P30" s="52"/>
      <c r="Q30" s="414">
        <f>IFERROR(VLOOKUP($C30,'Proposed Rates'!$B:$J,Q$11,FALSE),0)</f>
        <v>0</v>
      </c>
      <c r="R30" s="398">
        <f t="shared" ref="R30:R33" si="30">IF($D30="Monthly",1,IF($D30="per KWH",$F$10,0))</f>
        <v>2400</v>
      </c>
      <c r="S30" s="400">
        <f t="shared" ref="S30:S36" si="31">R30*Q30</f>
        <v>0</v>
      </c>
      <c r="T30" s="128"/>
      <c r="U30" s="401">
        <f t="shared" si="9"/>
        <v>1.2</v>
      </c>
      <c r="V30" s="402">
        <f t="shared" si="10"/>
        <v>-1</v>
      </c>
      <c r="W30" s="52"/>
      <c r="X30" s="414">
        <f>IFERROR(VLOOKUP($C30,'Proposed Rates'!$B:$J,X$11,FALSE),0)</f>
        <v>0</v>
      </c>
      <c r="Y30" s="398">
        <f t="shared" ref="Y30:Y33" si="32">IF($D30="Monthly",1,IF($D30="per KWH",$F$10,0))</f>
        <v>2400</v>
      </c>
      <c r="Z30" s="400">
        <f t="shared" ref="Z30:Z36" si="33">Y30*X30</f>
        <v>0</v>
      </c>
      <c r="AA30" s="128"/>
      <c r="AB30" s="401">
        <f t="shared" si="13"/>
        <v>0</v>
      </c>
      <c r="AC30" s="402" t="str">
        <f t="shared" si="14"/>
        <v/>
      </c>
      <c r="AD30" s="52"/>
      <c r="AE30" s="414">
        <f>IFERROR(VLOOKUP($C30,'Proposed Rates'!$B:$J,AE$11,FALSE),0)</f>
        <v>0</v>
      </c>
      <c r="AF30" s="398">
        <f t="shared" ref="AF30:AF33" si="34">IF($D30="Monthly",1,IF($D30="per KWH",$F$10,0))</f>
        <v>2400</v>
      </c>
      <c r="AG30" s="400">
        <f t="shared" ref="AG30:AG36" si="35">AF30*AE30</f>
        <v>0</v>
      </c>
      <c r="AH30" s="128"/>
      <c r="AI30" s="401">
        <f t="shared" si="17"/>
        <v>0</v>
      </c>
      <c r="AJ30" s="402" t="str">
        <f t="shared" si="18"/>
        <v/>
      </c>
      <c r="AK30" s="52"/>
      <c r="AL30" s="414">
        <f>IFERROR(VLOOKUP($C30,'Proposed Rates'!$B:$J,AL$11,FALSE),0)</f>
        <v>0</v>
      </c>
      <c r="AM30" s="398">
        <f t="shared" ref="AM30:AM33" si="36">IF($D30="Monthly",1,IF($D30="per KWH",$F$10,0))</f>
        <v>2400</v>
      </c>
      <c r="AN30" s="400">
        <f t="shared" ref="AN30:AN36" si="37">AM30*AL30</f>
        <v>0</v>
      </c>
      <c r="AO30" s="128"/>
      <c r="AP30" s="401">
        <f t="shared" si="21"/>
        <v>0</v>
      </c>
      <c r="AQ30" s="402" t="str">
        <f t="shared" si="22"/>
        <v/>
      </c>
      <c r="AR30" s="403"/>
      <c r="AS30" s="3"/>
      <c r="AT30" s="3"/>
    </row>
    <row r="31" spans="1:46" ht="12" customHeight="1">
      <c r="A31" s="52"/>
      <c r="B31" s="404" t="s">
        <v>236</v>
      </c>
      <c r="C31" s="395" t="str">
        <f t="shared" si="25"/>
        <v>General Service &lt; 50 kW.DVA Disposition Rate Rider Group 1 - 2024</v>
      </c>
      <c r="D31" s="396" t="s">
        <v>308</v>
      </c>
      <c r="E31" s="320"/>
      <c r="F31" s="414">
        <f>IFERROR(VLOOKUP($C31,'Proposed Rates'!$B:$J,F$11,FALSE),0)</f>
        <v>0</v>
      </c>
      <c r="G31" s="398">
        <f t="shared" si="26"/>
        <v>2400</v>
      </c>
      <c r="H31" s="400">
        <f t="shared" si="27"/>
        <v>0</v>
      </c>
      <c r="I31" s="485"/>
      <c r="J31" s="414">
        <f>IFERROR(VLOOKUP($C31,'Proposed Rates'!$B:$J,J$11,FALSE),0)</f>
        <v>0</v>
      </c>
      <c r="K31" s="398">
        <f t="shared" si="28"/>
        <v>2400</v>
      </c>
      <c r="L31" s="400">
        <f t="shared" si="29"/>
        <v>0</v>
      </c>
      <c r="M31" s="417"/>
      <c r="N31" s="401">
        <f t="shared" si="5"/>
        <v>0</v>
      </c>
      <c r="O31" s="402" t="str">
        <f t="shared" si="6"/>
        <v/>
      </c>
      <c r="P31" s="52"/>
      <c r="Q31" s="414">
        <f>IFERROR(VLOOKUP($C31,'Proposed Rates'!$B:$J,Q$11,FALSE),0)</f>
        <v>0</v>
      </c>
      <c r="R31" s="398">
        <f t="shared" si="30"/>
        <v>2400</v>
      </c>
      <c r="S31" s="400">
        <f t="shared" si="31"/>
        <v>0</v>
      </c>
      <c r="T31" s="417"/>
      <c r="U31" s="401">
        <f t="shared" si="9"/>
        <v>0</v>
      </c>
      <c r="V31" s="402" t="str">
        <f t="shared" si="10"/>
        <v/>
      </c>
      <c r="W31" s="52"/>
      <c r="X31" s="414">
        <f>IFERROR(VLOOKUP($C31,'Proposed Rates'!$B:$J,X$11,FALSE),0)</f>
        <v>0</v>
      </c>
      <c r="Y31" s="398">
        <f t="shared" si="32"/>
        <v>2400</v>
      </c>
      <c r="Z31" s="400">
        <f t="shared" si="33"/>
        <v>0</v>
      </c>
      <c r="AA31" s="417"/>
      <c r="AB31" s="401">
        <f t="shared" si="13"/>
        <v>0</v>
      </c>
      <c r="AC31" s="402" t="str">
        <f t="shared" si="14"/>
        <v/>
      </c>
      <c r="AD31" s="52"/>
      <c r="AE31" s="414">
        <f>IFERROR(VLOOKUP($C31,'Proposed Rates'!$B:$J,AE$11,FALSE),0)</f>
        <v>0</v>
      </c>
      <c r="AF31" s="398">
        <f t="shared" si="34"/>
        <v>2400</v>
      </c>
      <c r="AG31" s="400">
        <f t="shared" si="35"/>
        <v>0</v>
      </c>
      <c r="AH31" s="417"/>
      <c r="AI31" s="401">
        <f t="shared" si="17"/>
        <v>0</v>
      </c>
      <c r="AJ31" s="402" t="str">
        <f t="shared" si="18"/>
        <v/>
      </c>
      <c r="AK31" s="52"/>
      <c r="AL31" s="414">
        <f>IFERROR(VLOOKUP($C31,'Proposed Rates'!$B:$J,AL$11,FALSE),0)</f>
        <v>0</v>
      </c>
      <c r="AM31" s="398">
        <f t="shared" si="36"/>
        <v>2400</v>
      </c>
      <c r="AN31" s="400">
        <f t="shared" si="37"/>
        <v>0</v>
      </c>
      <c r="AO31" s="417"/>
      <c r="AP31" s="401">
        <f t="shared" si="21"/>
        <v>0</v>
      </c>
      <c r="AQ31" s="402" t="str">
        <f t="shared" si="22"/>
        <v/>
      </c>
      <c r="AR31" s="403"/>
      <c r="AS31" s="3"/>
      <c r="AT31" s="3"/>
    </row>
    <row r="32" spans="1:46" ht="12" customHeight="1">
      <c r="A32" s="52"/>
      <c r="B32" s="404" t="s">
        <v>244</v>
      </c>
      <c r="C32" s="395" t="str">
        <f t="shared" si="25"/>
        <v>General Service &lt; 50 kW.CBR Class B Rate Riders</v>
      </c>
      <c r="D32" s="396" t="s">
        <v>308</v>
      </c>
      <c r="E32" s="320"/>
      <c r="F32" s="414">
        <f>IFERROR(VLOOKUP($C32,'Proposed Rates'!$B:$J,F$11,FALSE),0)</f>
        <v>2.0000000000000001E-4</v>
      </c>
      <c r="G32" s="398">
        <f t="shared" si="26"/>
        <v>2400</v>
      </c>
      <c r="H32" s="400">
        <f t="shared" si="27"/>
        <v>0.48000000000000004</v>
      </c>
      <c r="I32" s="485"/>
      <c r="J32" s="414">
        <f>IFERROR(VLOOKUP($C32,'Proposed Rates'!$B:$J,J$11,FALSE),0)</f>
        <v>4.0000000000000002E-4</v>
      </c>
      <c r="K32" s="398">
        <f t="shared" si="28"/>
        <v>2400</v>
      </c>
      <c r="L32" s="400">
        <f t="shared" si="29"/>
        <v>0.96000000000000008</v>
      </c>
      <c r="M32" s="417"/>
      <c r="N32" s="401">
        <f t="shared" si="5"/>
        <v>0.48000000000000004</v>
      </c>
      <c r="O32" s="402">
        <f t="shared" si="6"/>
        <v>1</v>
      </c>
      <c r="P32" s="52"/>
      <c r="Q32" s="414">
        <f>IFERROR(VLOOKUP($C32,'Proposed Rates'!$B:$J,Q$11,FALSE),0)</f>
        <v>0</v>
      </c>
      <c r="R32" s="398">
        <f t="shared" si="30"/>
        <v>2400</v>
      </c>
      <c r="S32" s="400">
        <f t="shared" si="31"/>
        <v>0</v>
      </c>
      <c r="T32" s="417"/>
      <c r="U32" s="401">
        <f t="shared" si="9"/>
        <v>-0.96000000000000008</v>
      </c>
      <c r="V32" s="402">
        <f t="shared" si="10"/>
        <v>-1</v>
      </c>
      <c r="W32" s="52"/>
      <c r="X32" s="414">
        <f>IFERROR(VLOOKUP($C32,'Proposed Rates'!$B:$J,X$11,FALSE),0)</f>
        <v>0</v>
      </c>
      <c r="Y32" s="398">
        <f t="shared" si="32"/>
        <v>2400</v>
      </c>
      <c r="Z32" s="400">
        <f t="shared" si="33"/>
        <v>0</v>
      </c>
      <c r="AA32" s="417"/>
      <c r="AB32" s="401">
        <f t="shared" si="13"/>
        <v>0</v>
      </c>
      <c r="AC32" s="402" t="str">
        <f t="shared" si="14"/>
        <v/>
      </c>
      <c r="AD32" s="52"/>
      <c r="AE32" s="414">
        <f>IFERROR(VLOOKUP($C32,'Proposed Rates'!$B:$J,AE$11,FALSE),0)</f>
        <v>0</v>
      </c>
      <c r="AF32" s="398">
        <f t="shared" si="34"/>
        <v>2400</v>
      </c>
      <c r="AG32" s="400">
        <f t="shared" si="35"/>
        <v>0</v>
      </c>
      <c r="AH32" s="417"/>
      <c r="AI32" s="401">
        <f t="shared" si="17"/>
        <v>0</v>
      </c>
      <c r="AJ32" s="402" t="str">
        <f t="shared" si="18"/>
        <v/>
      </c>
      <c r="AK32" s="52"/>
      <c r="AL32" s="414">
        <f>IFERROR(VLOOKUP($C32,'Proposed Rates'!$B:$J,AL$11,FALSE),0)</f>
        <v>0</v>
      </c>
      <c r="AM32" s="398">
        <f t="shared" si="36"/>
        <v>2400</v>
      </c>
      <c r="AN32" s="400">
        <f t="shared" si="37"/>
        <v>0</v>
      </c>
      <c r="AO32" s="417"/>
      <c r="AP32" s="401">
        <f t="shared" si="21"/>
        <v>0</v>
      </c>
      <c r="AQ32" s="402" t="str">
        <f t="shared" si="22"/>
        <v/>
      </c>
      <c r="AR32" s="403"/>
      <c r="AS32" s="3"/>
      <c r="AT32" s="3"/>
    </row>
    <row r="33" spans="1:46" ht="12" customHeight="1">
      <c r="A33" s="52"/>
      <c r="B33" s="404" t="s">
        <v>311</v>
      </c>
      <c r="C33" s="395" t="str">
        <f t="shared" si="25"/>
        <v>General Service &lt; 50 kW.GA Disposition Rate Rider-NonRPP</v>
      </c>
      <c r="D33" s="396" t="s">
        <v>308</v>
      </c>
      <c r="E33" s="320"/>
      <c r="F33" s="414">
        <f>IFERROR(VLOOKUP($C33,'Proposed Rates'!$B:$J,F$11,FALSE),0)</f>
        <v>0</v>
      </c>
      <c r="G33" s="398">
        <f t="shared" si="26"/>
        <v>2400</v>
      </c>
      <c r="H33" s="400">
        <f t="shared" si="27"/>
        <v>0</v>
      </c>
      <c r="I33" s="485"/>
      <c r="J33" s="414">
        <f>IFERROR(VLOOKUP($C33,'Proposed Rates'!$B:$J,J$11,FALSE),0)</f>
        <v>0</v>
      </c>
      <c r="K33" s="398">
        <f t="shared" si="28"/>
        <v>2400</v>
      </c>
      <c r="L33" s="400">
        <f t="shared" si="29"/>
        <v>0</v>
      </c>
      <c r="M33" s="417"/>
      <c r="N33" s="401">
        <f t="shared" si="5"/>
        <v>0</v>
      </c>
      <c r="O33" s="402" t="str">
        <f t="shared" si="6"/>
        <v/>
      </c>
      <c r="P33" s="52"/>
      <c r="Q33" s="414">
        <f>IFERROR(VLOOKUP($C33,'Proposed Rates'!$B:$J,Q$11,FALSE),0)</f>
        <v>0</v>
      </c>
      <c r="R33" s="398">
        <f t="shared" si="30"/>
        <v>2400</v>
      </c>
      <c r="S33" s="400">
        <f t="shared" si="31"/>
        <v>0</v>
      </c>
      <c r="T33" s="417"/>
      <c r="U33" s="401">
        <f t="shared" si="9"/>
        <v>0</v>
      </c>
      <c r="V33" s="402" t="str">
        <f t="shared" si="10"/>
        <v/>
      </c>
      <c r="W33" s="52"/>
      <c r="X33" s="414">
        <f>IFERROR(VLOOKUP($C33,'Proposed Rates'!$B:$J,X$11,FALSE),0)</f>
        <v>0</v>
      </c>
      <c r="Y33" s="398">
        <f t="shared" si="32"/>
        <v>2400</v>
      </c>
      <c r="Z33" s="400">
        <f t="shared" si="33"/>
        <v>0</v>
      </c>
      <c r="AA33" s="417"/>
      <c r="AB33" s="401">
        <f t="shared" si="13"/>
        <v>0</v>
      </c>
      <c r="AC33" s="402" t="str">
        <f t="shared" si="14"/>
        <v/>
      </c>
      <c r="AD33" s="52"/>
      <c r="AE33" s="414">
        <f>IFERROR(VLOOKUP($C33,'Proposed Rates'!$B:$J,AE$11,FALSE),0)</f>
        <v>0</v>
      </c>
      <c r="AF33" s="398">
        <f t="shared" si="34"/>
        <v>2400</v>
      </c>
      <c r="AG33" s="400">
        <f t="shared" si="35"/>
        <v>0</v>
      </c>
      <c r="AH33" s="417"/>
      <c r="AI33" s="401">
        <f t="shared" si="17"/>
        <v>0</v>
      </c>
      <c r="AJ33" s="402" t="str">
        <f t="shared" si="18"/>
        <v/>
      </c>
      <c r="AK33" s="52"/>
      <c r="AL33" s="414">
        <f>IFERROR(VLOOKUP($C33,'Proposed Rates'!$B:$J,AL$11,FALSE),0)</f>
        <v>0</v>
      </c>
      <c r="AM33" s="398">
        <f t="shared" si="36"/>
        <v>2400</v>
      </c>
      <c r="AN33" s="400">
        <f t="shared" si="37"/>
        <v>0</v>
      </c>
      <c r="AO33" s="417"/>
      <c r="AP33" s="401">
        <f t="shared" si="21"/>
        <v>0</v>
      </c>
      <c r="AQ33" s="402" t="str">
        <f t="shared" si="22"/>
        <v/>
      </c>
      <c r="AR33" s="403"/>
      <c r="AS33" s="3"/>
      <c r="AT33" s="3"/>
    </row>
    <row r="34" spans="1:46" ht="12" customHeight="1">
      <c r="A34" s="52"/>
      <c r="B34" s="320" t="s">
        <v>269</v>
      </c>
      <c r="C34" s="395" t="str">
        <f t="shared" si="25"/>
        <v>General Service &lt; 50 kW.Low Voltage Service Charge</v>
      </c>
      <c r="D34" s="396" t="s">
        <v>308</v>
      </c>
      <c r="E34" s="320"/>
      <c r="F34" s="418">
        <f>IFERROR(VLOOKUP($C34,'Proposed Rates'!$B:$J,F$11,FALSE),0)</f>
        <v>5.0000000000000002E-5</v>
      </c>
      <c r="G34" s="419">
        <f>$F$10*(1+F$63)</f>
        <v>2481.1200000000003</v>
      </c>
      <c r="H34" s="400">
        <f t="shared" si="27"/>
        <v>0.12405600000000003</v>
      </c>
      <c r="I34" s="128"/>
      <c r="J34" s="418">
        <f>IFERROR(VLOOKUP($C34,'Proposed Rates'!$B:$J,J$11,FALSE),0)</f>
        <v>6.0000000000000002E-5</v>
      </c>
      <c r="K34" s="419">
        <f>$F$10*(1+J$63)</f>
        <v>2479.6799999999998</v>
      </c>
      <c r="L34" s="400">
        <f t="shared" si="29"/>
        <v>0.14878079999999999</v>
      </c>
      <c r="M34" s="128"/>
      <c r="N34" s="401">
        <f t="shared" si="5"/>
        <v>2.4724799999999963E-2</v>
      </c>
      <c r="O34" s="402">
        <f t="shared" si="6"/>
        <v>0.19930354033662184</v>
      </c>
      <c r="P34" s="52"/>
      <c r="Q34" s="418">
        <f>IFERROR(VLOOKUP($C34,'Proposed Rates'!$B:$J,Q$11,FALSE),0)</f>
        <v>6.0000000000000002E-5</v>
      </c>
      <c r="R34" s="419">
        <f>$F$10*(1+Q$63)</f>
        <v>2479.6799999999998</v>
      </c>
      <c r="S34" s="400">
        <f t="shared" si="31"/>
        <v>0.14878079999999999</v>
      </c>
      <c r="T34" s="128"/>
      <c r="U34" s="401">
        <f t="shared" si="9"/>
        <v>0</v>
      </c>
      <c r="V34" s="402">
        <f t="shared" si="10"/>
        <v>0</v>
      </c>
      <c r="W34" s="52"/>
      <c r="X34" s="418">
        <f>IFERROR(VLOOKUP($C34,'Proposed Rates'!$B:$J,X$11,FALSE),0)</f>
        <v>6.0000000000000002E-5</v>
      </c>
      <c r="Y34" s="419">
        <f>$F$10*(1+X$63)</f>
        <v>2479.6799999999998</v>
      </c>
      <c r="Z34" s="400">
        <f t="shared" si="33"/>
        <v>0.14878079999999999</v>
      </c>
      <c r="AA34" s="128"/>
      <c r="AB34" s="401">
        <f t="shared" si="13"/>
        <v>0</v>
      </c>
      <c r="AC34" s="402">
        <f t="shared" si="14"/>
        <v>0</v>
      </c>
      <c r="AD34" s="52"/>
      <c r="AE34" s="509">
        <f>IFERROR(VLOOKUP($C34,'Proposed Rates'!$B:$J,AE$11,FALSE),0)</f>
        <v>6.0000000000000002E-5</v>
      </c>
      <c r="AF34" s="419">
        <f>$F$10*(1+AE$63)</f>
        <v>2479.6799999999998</v>
      </c>
      <c r="AG34" s="510">
        <f t="shared" si="35"/>
        <v>0.14878079999999999</v>
      </c>
      <c r="AH34" s="128"/>
      <c r="AI34" s="401">
        <f t="shared" si="17"/>
        <v>0</v>
      </c>
      <c r="AJ34" s="402">
        <f t="shared" si="18"/>
        <v>0</v>
      </c>
      <c r="AK34" s="52"/>
      <c r="AL34" s="418">
        <f>IFERROR(VLOOKUP($C34,'Proposed Rates'!$B:$J,AL$11,FALSE),0)</f>
        <v>6.0000000000000002E-5</v>
      </c>
      <c r="AM34" s="419">
        <f>$F$10*(1+AL$63)</f>
        <v>2479.6799999999998</v>
      </c>
      <c r="AN34" s="400">
        <f t="shared" si="37"/>
        <v>0.14878079999999999</v>
      </c>
      <c r="AO34" s="128"/>
      <c r="AP34" s="401">
        <f t="shared" si="21"/>
        <v>0</v>
      </c>
      <c r="AQ34" s="402">
        <f t="shared" si="22"/>
        <v>0</v>
      </c>
      <c r="AR34" s="403"/>
      <c r="AS34" s="3"/>
      <c r="AT34" s="3"/>
    </row>
    <row r="35" spans="1:46" ht="12" customHeight="1">
      <c r="A35" s="52"/>
      <c r="B35" s="320" t="s">
        <v>312</v>
      </c>
      <c r="C35" s="395" t="str">
        <f t="shared" si="25"/>
        <v>General Service &lt; 50 kW.Line Losses on Cost of Power</v>
      </c>
      <c r="D35" s="396" t="s">
        <v>308</v>
      </c>
      <c r="E35" s="320"/>
      <c r="F35" s="420">
        <f>'Proposed Rates'!$K$249*F$44+'Proposed Rates'!$K$250*F$45+'Proposed Rates'!$K$251*F$46</f>
        <v>0.12752000000000002</v>
      </c>
      <c r="G35" s="507">
        <f>$F$10*(1+F$63)-$F$10</f>
        <v>81.120000000000346</v>
      </c>
      <c r="H35" s="400">
        <f t="shared" si="27"/>
        <v>10.344422400000045</v>
      </c>
      <c r="I35" s="128"/>
      <c r="J35" s="420">
        <f>'Proposed Rates'!$K$249*J$44+'Proposed Rates'!$K$250*J$45+'Proposed Rates'!$K$251*J$46</f>
        <v>0.12752000000000002</v>
      </c>
      <c r="K35" s="507">
        <f>$F$10*(1+J$63)-$F$10</f>
        <v>79.679999999999836</v>
      </c>
      <c r="L35" s="400">
        <f t="shared" si="29"/>
        <v>10.16079359999998</v>
      </c>
      <c r="M35" s="128"/>
      <c r="N35" s="401">
        <f t="shared" si="5"/>
        <v>-0.18362880000006498</v>
      </c>
      <c r="O35" s="402">
        <f t="shared" si="6"/>
        <v>-1.7751479289947032E-2</v>
      </c>
      <c r="P35" s="52"/>
      <c r="Q35" s="420">
        <f>'Proposed Rates'!$K$249*Q$44+'Proposed Rates'!$K$250*Q$45+'Proposed Rates'!$K$251*Q$46</f>
        <v>0.12752000000000002</v>
      </c>
      <c r="R35" s="507">
        <f>$F$10*(1+Q$63)-$F$10</f>
        <v>79.679999999999836</v>
      </c>
      <c r="S35" s="400">
        <f t="shared" si="31"/>
        <v>10.16079359999998</v>
      </c>
      <c r="T35" s="128"/>
      <c r="U35" s="401">
        <f t="shared" si="9"/>
        <v>0</v>
      </c>
      <c r="V35" s="402">
        <f t="shared" si="10"/>
        <v>0</v>
      </c>
      <c r="W35" s="52"/>
      <c r="X35" s="420">
        <f>'Proposed Rates'!$K$249*X$44+'Proposed Rates'!$K$250*X$45+'Proposed Rates'!$K$251*X$46</f>
        <v>0.12752000000000002</v>
      </c>
      <c r="Y35" s="507">
        <f>$F$10*(1+X$63)-$F$10</f>
        <v>79.679999999999836</v>
      </c>
      <c r="Z35" s="400">
        <f t="shared" si="33"/>
        <v>10.16079359999998</v>
      </c>
      <c r="AA35" s="128"/>
      <c r="AB35" s="401">
        <f t="shared" si="13"/>
        <v>0</v>
      </c>
      <c r="AC35" s="402">
        <f t="shared" si="14"/>
        <v>0</v>
      </c>
      <c r="AD35" s="52"/>
      <c r="AE35" s="420">
        <f>'Proposed Rates'!$K$249*AE$44+'Proposed Rates'!$K$250*AE$45+'Proposed Rates'!$K$251*AE$46</f>
        <v>0.12752000000000002</v>
      </c>
      <c r="AF35" s="507">
        <f>$F$10*(1+AE$63)-$F$10</f>
        <v>79.679999999999836</v>
      </c>
      <c r="AG35" s="510">
        <f t="shared" si="35"/>
        <v>10.16079359999998</v>
      </c>
      <c r="AH35" s="128"/>
      <c r="AI35" s="401">
        <f t="shared" si="17"/>
        <v>0</v>
      </c>
      <c r="AJ35" s="402">
        <f t="shared" si="18"/>
        <v>0</v>
      </c>
      <c r="AK35" s="52"/>
      <c r="AL35" s="420">
        <f>'Proposed Rates'!$K$249*AL$44+'Proposed Rates'!$K$250*AL$45+'Proposed Rates'!$K$251*AL$46</f>
        <v>0.12752000000000002</v>
      </c>
      <c r="AM35" s="507">
        <f>$F$10*(1+AL$63)-$F$10</f>
        <v>79.679999999999836</v>
      </c>
      <c r="AN35" s="400">
        <f t="shared" si="37"/>
        <v>10.16079359999998</v>
      </c>
      <c r="AO35" s="128"/>
      <c r="AP35" s="401">
        <f t="shared" si="21"/>
        <v>0</v>
      </c>
      <c r="AQ35" s="402">
        <f t="shared" si="22"/>
        <v>0</v>
      </c>
      <c r="AR35" s="403"/>
      <c r="AS35" s="3"/>
      <c r="AT35" s="3"/>
    </row>
    <row r="36" spans="1:46" ht="12" customHeight="1">
      <c r="A36" s="52"/>
      <c r="B36" s="320" t="s">
        <v>271</v>
      </c>
      <c r="C36" s="395" t="str">
        <f t="shared" si="25"/>
        <v>General Service &lt; 50 kW.Smart Meter Entity Charge</v>
      </c>
      <c r="D36" s="396" t="s">
        <v>306</v>
      </c>
      <c r="E36" s="320"/>
      <c r="F36" s="397">
        <f>IFERROR(VLOOKUP($C36,'Proposed Rates'!$B:$J,F$11,FALSE),0)</f>
        <v>0.42</v>
      </c>
      <c r="G36" s="398">
        <f>IF($D36="Monthly",1,IF($D36="per KWH",$F$10,0))</f>
        <v>1</v>
      </c>
      <c r="H36" s="400">
        <f t="shared" si="27"/>
        <v>0.42</v>
      </c>
      <c r="I36" s="128"/>
      <c r="J36" s="397">
        <f>IFERROR(VLOOKUP($C36,'Proposed Rates'!$B:$J,J$11,FALSE),0)</f>
        <v>0.42</v>
      </c>
      <c r="K36" s="398">
        <f>IF($D36="Monthly",1,IF($D36="per KWH",$F$10,0))</f>
        <v>1</v>
      </c>
      <c r="L36" s="400">
        <f t="shared" si="29"/>
        <v>0.42</v>
      </c>
      <c r="M36" s="128"/>
      <c r="N36" s="401">
        <f t="shared" si="5"/>
        <v>0</v>
      </c>
      <c r="O36" s="402">
        <f t="shared" si="6"/>
        <v>0</v>
      </c>
      <c r="P36" s="52"/>
      <c r="Q36" s="397">
        <f>IFERROR(VLOOKUP($C36,'Proposed Rates'!$B:$J,Q$11,FALSE),0)</f>
        <v>0.42</v>
      </c>
      <c r="R36" s="398">
        <f>IF($D36="Monthly",1,IF($D36="per KWH",$F$10,0))</f>
        <v>1</v>
      </c>
      <c r="S36" s="400">
        <f t="shared" si="31"/>
        <v>0.42</v>
      </c>
      <c r="T36" s="128"/>
      <c r="U36" s="401">
        <f t="shared" si="9"/>
        <v>0</v>
      </c>
      <c r="V36" s="402">
        <f t="shared" si="10"/>
        <v>0</v>
      </c>
      <c r="W36" s="52"/>
      <c r="X36" s="397">
        <f>IFERROR(VLOOKUP($C36,'Proposed Rates'!$B:$J,X$11,FALSE),0)</f>
        <v>0.43</v>
      </c>
      <c r="Y36" s="398">
        <f>IF($D36="Monthly",1,IF($D36="per KWH",$F$10,0))</f>
        <v>1</v>
      </c>
      <c r="Z36" s="400">
        <f t="shared" si="33"/>
        <v>0.43</v>
      </c>
      <c r="AA36" s="128"/>
      <c r="AB36" s="401">
        <f t="shared" si="13"/>
        <v>1.0000000000000009E-2</v>
      </c>
      <c r="AC36" s="402">
        <f t="shared" si="14"/>
        <v>2.3809523809523832E-2</v>
      </c>
      <c r="AD36" s="52"/>
      <c r="AE36" s="397">
        <f>IFERROR(VLOOKUP($C36,'Proposed Rates'!$B:$J,AE$11,FALSE),0)</f>
        <v>0.44</v>
      </c>
      <c r="AF36" s="398">
        <f>IF($D36="Monthly",1,IF($D36="per KWH",$F$10,0))</f>
        <v>1</v>
      </c>
      <c r="AG36" s="510">
        <f t="shared" si="35"/>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7"/>
        <v>0.45</v>
      </c>
      <c r="AO36" s="128"/>
      <c r="AP36" s="401">
        <f t="shared" si="21"/>
        <v>1.0000000000000009E-2</v>
      </c>
      <c r="AQ36" s="402">
        <f t="shared" si="22"/>
        <v>2.2727272727272749E-2</v>
      </c>
      <c r="AR36" s="403"/>
      <c r="AS36" s="3"/>
      <c r="AT36" s="3"/>
    </row>
    <row r="37" spans="1:46" ht="12" customHeight="1">
      <c r="A37" s="52"/>
      <c r="B37" s="405" t="s">
        <v>313</v>
      </c>
      <c r="C37" s="422"/>
      <c r="D37" s="422"/>
      <c r="E37" s="422"/>
      <c r="F37" s="423"/>
      <c r="G37" s="501"/>
      <c r="H37" s="409">
        <f>SUM(H30:H36)+H29</f>
        <v>109.77847840000005</v>
      </c>
      <c r="I37" s="425"/>
      <c r="J37" s="423"/>
      <c r="K37" s="501"/>
      <c r="L37" s="502">
        <f>SUM(L30:L36)+L29</f>
        <v>125.44957439999997</v>
      </c>
      <c r="M37" s="425"/>
      <c r="N37" s="411">
        <f t="shared" si="5"/>
        <v>15.67109599999992</v>
      </c>
      <c r="O37" s="412">
        <f t="shared" si="6"/>
        <v>0.14275198771565331</v>
      </c>
      <c r="P37" s="52"/>
      <c r="Q37" s="423"/>
      <c r="R37" s="501"/>
      <c r="S37" s="409">
        <f>SUM(S30:S36)+S29</f>
        <v>134.76957439999998</v>
      </c>
      <c r="T37" s="425"/>
      <c r="U37" s="411">
        <f t="shared" si="9"/>
        <v>9.3200000000000074</v>
      </c>
      <c r="V37" s="412">
        <f t="shared" si="10"/>
        <v>7.4292798876167479E-2</v>
      </c>
      <c r="W37" s="52"/>
      <c r="X37" s="423"/>
      <c r="Y37" s="501"/>
      <c r="Z37" s="409">
        <f>SUM(Z30:Z36)+Z29</f>
        <v>145.87957439999997</v>
      </c>
      <c r="AA37" s="425"/>
      <c r="AB37" s="411">
        <f t="shared" si="13"/>
        <v>11.109999999999985</v>
      </c>
      <c r="AC37" s="412">
        <f t="shared" si="14"/>
        <v>8.2437004416332019E-2</v>
      </c>
      <c r="AD37" s="52"/>
      <c r="AE37" s="423"/>
      <c r="AF37" s="501"/>
      <c r="AG37" s="409">
        <f>SUM(AG30:AG36)+AG29</f>
        <v>154.46957439999997</v>
      </c>
      <c r="AH37" s="425"/>
      <c r="AI37" s="411">
        <f t="shared" si="17"/>
        <v>8.5900000000000034</v>
      </c>
      <c r="AJ37" s="412">
        <f t="shared" si="18"/>
        <v>5.8884186050929453E-2</v>
      </c>
      <c r="AK37" s="52"/>
      <c r="AL37" s="423"/>
      <c r="AM37" s="501"/>
      <c r="AN37" s="409">
        <f>SUM(AN30:AN36)+AN29</f>
        <v>162.71957439999997</v>
      </c>
      <c r="AO37" s="425"/>
      <c r="AP37" s="411">
        <f t="shared" si="21"/>
        <v>8.25</v>
      </c>
      <c r="AQ37" s="412">
        <f t="shared" si="22"/>
        <v>5.3408575973910376E-2</v>
      </c>
      <c r="AR37" s="413"/>
      <c r="AS37" s="3"/>
      <c r="AT37" s="3"/>
    </row>
    <row r="38" spans="1:46" ht="12" customHeight="1">
      <c r="A38" s="52"/>
      <c r="B38" s="128" t="s">
        <v>255</v>
      </c>
      <c r="C38" s="395" t="str">
        <f t="shared" ref="C38:C39" si="38">D$6&amp;"."&amp;B38</f>
        <v>General Service &lt; 50 kW.RTSR - Network</v>
      </c>
      <c r="D38" s="426" t="s">
        <v>308</v>
      </c>
      <c r="E38" s="128"/>
      <c r="F38" s="414">
        <f>IFERROR(VLOOKUP($C38,'Proposed Rates'!$B:$J,F$11,FALSE),0)</f>
        <v>1.18E-2</v>
      </c>
      <c r="G38" s="508">
        <f t="shared" ref="G38:G39" si="39">$F$10*(1+F$63)</f>
        <v>2481.1200000000003</v>
      </c>
      <c r="H38" s="400">
        <f t="shared" ref="H38:H39" si="40">G38*F38</f>
        <v>29.277216000000003</v>
      </c>
      <c r="I38" s="128"/>
      <c r="J38" s="414">
        <f>IFERROR(VLOOKUP($C38,'Proposed Rates'!$B:$J,J$11,FALSE),0)</f>
        <v>1.0699999999999999E-2</v>
      </c>
      <c r="K38" s="508">
        <f t="shared" ref="K38:K39" si="41">$F$10*(1+J$63)</f>
        <v>2479.6799999999998</v>
      </c>
      <c r="L38" s="400">
        <f t="shared" ref="L38:L39" si="42">K38*J38</f>
        <v>26.532575999999995</v>
      </c>
      <c r="M38" s="128"/>
      <c r="N38" s="401">
        <f t="shared" si="5"/>
        <v>-2.7446400000000075</v>
      </c>
      <c r="O38" s="402">
        <f t="shared" si="6"/>
        <v>-9.374661853094253E-2</v>
      </c>
      <c r="P38" s="52"/>
      <c r="Q38" s="414">
        <f>IFERROR(VLOOKUP($C38,'Proposed Rates'!$B:$J,Q$11,FALSE),0)</f>
        <v>1.0699999999999999E-2</v>
      </c>
      <c r="R38" s="508">
        <f t="shared" ref="R38:R39" si="43">$F$10*(1+Q$63)</f>
        <v>2479.6799999999998</v>
      </c>
      <c r="S38" s="400">
        <f t="shared" ref="S38:S39" si="44">R38*Q38</f>
        <v>26.532575999999995</v>
      </c>
      <c r="T38" s="128"/>
      <c r="U38" s="401">
        <f t="shared" si="9"/>
        <v>0</v>
      </c>
      <c r="V38" s="402">
        <f t="shared" si="10"/>
        <v>0</v>
      </c>
      <c r="W38" s="52"/>
      <c r="X38" s="414">
        <f>IFERROR(VLOOKUP($C38,'Proposed Rates'!$B:$J,X$11,FALSE),0)</f>
        <v>1.0699999999999999E-2</v>
      </c>
      <c r="Y38" s="508">
        <f t="shared" ref="Y38:Y39" si="45">$F$10*(1+X$63)</f>
        <v>2479.6799999999998</v>
      </c>
      <c r="Z38" s="400">
        <f t="shared" ref="Z38:Z39" si="46">Y38*X38</f>
        <v>26.532575999999995</v>
      </c>
      <c r="AA38" s="128"/>
      <c r="AB38" s="401">
        <f t="shared" si="13"/>
        <v>0</v>
      </c>
      <c r="AC38" s="402">
        <f t="shared" si="14"/>
        <v>0</v>
      </c>
      <c r="AD38" s="52"/>
      <c r="AE38" s="414">
        <f>IFERROR(VLOOKUP($C38,'Proposed Rates'!$B:$J,AE$11,FALSE),0)</f>
        <v>1.0699999999999999E-2</v>
      </c>
      <c r="AF38" s="508">
        <f t="shared" ref="AF38:AF39" si="47">$F$10*(1+AE$63)</f>
        <v>2479.6799999999998</v>
      </c>
      <c r="AG38" s="400">
        <f t="shared" ref="AG38:AG39" si="48">AF38*AE38</f>
        <v>26.532575999999995</v>
      </c>
      <c r="AH38" s="128"/>
      <c r="AI38" s="401">
        <f t="shared" si="17"/>
        <v>0</v>
      </c>
      <c r="AJ38" s="402">
        <f t="shared" si="18"/>
        <v>0</v>
      </c>
      <c r="AK38" s="52"/>
      <c r="AL38" s="414">
        <f>IFERROR(VLOOKUP($C38,'Proposed Rates'!$B:$J,AL$11,FALSE),0)</f>
        <v>1.0699999999999999E-2</v>
      </c>
      <c r="AM38" s="508">
        <f t="shared" ref="AM38:AM39" si="49">$F$10*(1+AL$63)</f>
        <v>2479.6799999999998</v>
      </c>
      <c r="AN38" s="400">
        <f t="shared" ref="AN38:AN39" si="50">AM38*AL38</f>
        <v>26.532575999999995</v>
      </c>
      <c r="AO38" s="128"/>
      <c r="AP38" s="401">
        <f t="shared" si="21"/>
        <v>0</v>
      </c>
      <c r="AQ38" s="402">
        <f t="shared" si="22"/>
        <v>0</v>
      </c>
      <c r="AR38" s="403"/>
      <c r="AS38" s="3"/>
      <c r="AT38" s="3"/>
    </row>
    <row r="39" spans="1:46" ht="12" customHeight="1">
      <c r="A39" s="52"/>
      <c r="B39" s="128" t="s">
        <v>256</v>
      </c>
      <c r="C39" s="395" t="str">
        <f t="shared" si="38"/>
        <v>General Service &lt; 50 kW.RTSR - Line and Transformation Connection</v>
      </c>
      <c r="D39" s="426" t="s">
        <v>308</v>
      </c>
      <c r="E39" s="128"/>
      <c r="F39" s="414">
        <f>IFERROR(VLOOKUP($C39,'Proposed Rates'!$B:$J,F$11,FALSE),0)</f>
        <v>7.0000000000000001E-3</v>
      </c>
      <c r="G39" s="508">
        <f t="shared" si="39"/>
        <v>2481.1200000000003</v>
      </c>
      <c r="H39" s="400">
        <f t="shared" si="40"/>
        <v>17.367840000000001</v>
      </c>
      <c r="I39" s="128"/>
      <c r="J39" s="414">
        <f>IFERROR(VLOOKUP($C39,'Proposed Rates'!$B:$J,J$11,FALSE),0)</f>
        <v>6.1000000000000004E-3</v>
      </c>
      <c r="K39" s="508">
        <f t="shared" si="41"/>
        <v>2479.6799999999998</v>
      </c>
      <c r="L39" s="400">
        <f t="shared" si="42"/>
        <v>15.126048000000001</v>
      </c>
      <c r="M39" s="128"/>
      <c r="N39" s="401">
        <f t="shared" si="5"/>
        <v>-2.2417920000000002</v>
      </c>
      <c r="O39" s="402">
        <f t="shared" si="6"/>
        <v>-0.12907719094602438</v>
      </c>
      <c r="P39" s="52"/>
      <c r="Q39" s="414">
        <f>IFERROR(VLOOKUP($C39,'Proposed Rates'!$B:$J,Q$11,FALSE),0)</f>
        <v>6.1000000000000004E-3</v>
      </c>
      <c r="R39" s="508">
        <f t="shared" si="43"/>
        <v>2479.6799999999998</v>
      </c>
      <c r="S39" s="400">
        <f t="shared" si="44"/>
        <v>15.126048000000001</v>
      </c>
      <c r="T39" s="128"/>
      <c r="U39" s="401">
        <f t="shared" si="9"/>
        <v>0</v>
      </c>
      <c r="V39" s="402">
        <f t="shared" si="10"/>
        <v>0</v>
      </c>
      <c r="W39" s="52"/>
      <c r="X39" s="414">
        <f>IFERROR(VLOOKUP($C39,'Proposed Rates'!$B:$J,X$11,FALSE),0)</f>
        <v>6.1000000000000004E-3</v>
      </c>
      <c r="Y39" s="508">
        <f t="shared" si="45"/>
        <v>2479.6799999999998</v>
      </c>
      <c r="Z39" s="400">
        <f t="shared" si="46"/>
        <v>15.126048000000001</v>
      </c>
      <c r="AA39" s="128"/>
      <c r="AB39" s="401">
        <f t="shared" si="13"/>
        <v>0</v>
      </c>
      <c r="AC39" s="402">
        <f t="shared" si="14"/>
        <v>0</v>
      </c>
      <c r="AD39" s="52"/>
      <c r="AE39" s="414">
        <f>IFERROR(VLOOKUP($C39,'Proposed Rates'!$B:$J,AE$11,FALSE),0)</f>
        <v>6.1000000000000004E-3</v>
      </c>
      <c r="AF39" s="508">
        <f t="shared" si="47"/>
        <v>2479.6799999999998</v>
      </c>
      <c r="AG39" s="400">
        <f t="shared" si="48"/>
        <v>15.126048000000001</v>
      </c>
      <c r="AH39" s="128"/>
      <c r="AI39" s="401">
        <f t="shared" si="17"/>
        <v>0</v>
      </c>
      <c r="AJ39" s="402">
        <f t="shared" si="18"/>
        <v>0</v>
      </c>
      <c r="AK39" s="52"/>
      <c r="AL39" s="414">
        <f>IFERROR(VLOOKUP($C39,'Proposed Rates'!$B:$J,AL$11,FALSE),0)</f>
        <v>6.1000000000000004E-3</v>
      </c>
      <c r="AM39" s="508">
        <f t="shared" si="49"/>
        <v>2479.6799999999998</v>
      </c>
      <c r="AN39" s="400">
        <f t="shared" si="50"/>
        <v>15.126048000000001</v>
      </c>
      <c r="AO39" s="128"/>
      <c r="AP39" s="401">
        <f t="shared" si="21"/>
        <v>0</v>
      </c>
      <c r="AQ39" s="402">
        <f t="shared" si="22"/>
        <v>0</v>
      </c>
      <c r="AR39" s="403"/>
      <c r="AS39" s="3"/>
      <c r="AT39" s="3"/>
    </row>
    <row r="40" spans="1:46" ht="12" customHeight="1">
      <c r="A40" s="52"/>
      <c r="B40" s="405" t="s">
        <v>314</v>
      </c>
      <c r="C40" s="427"/>
      <c r="D40" s="427"/>
      <c r="E40" s="427"/>
      <c r="F40" s="428"/>
      <c r="G40" s="501"/>
      <c r="H40" s="409">
        <f>SUM(H37:H39)</f>
        <v>156.42353440000005</v>
      </c>
      <c r="I40" s="410"/>
      <c r="J40" s="428"/>
      <c r="K40" s="501"/>
      <c r="L40" s="502">
        <f>SUM(L37:L39)</f>
        <v>167.10819839999996</v>
      </c>
      <c r="M40" s="410"/>
      <c r="N40" s="411">
        <f t="shared" si="5"/>
        <v>10.684663999999913</v>
      </c>
      <c r="O40" s="412">
        <f t="shared" si="6"/>
        <v>6.830598759312978E-2</v>
      </c>
      <c r="P40" s="52"/>
      <c r="Q40" s="428"/>
      <c r="R40" s="501"/>
      <c r="S40" s="409">
        <f>SUM(S37:S39)</f>
        <v>176.42819839999999</v>
      </c>
      <c r="T40" s="410"/>
      <c r="U40" s="411">
        <f t="shared" si="9"/>
        <v>9.3200000000000216</v>
      </c>
      <c r="V40" s="412">
        <f t="shared" si="10"/>
        <v>5.5772248694173125E-2</v>
      </c>
      <c r="W40" s="52"/>
      <c r="X40" s="428"/>
      <c r="Y40" s="501"/>
      <c r="Z40" s="409">
        <f>SUM(Z37:Z39)</f>
        <v>187.53819839999997</v>
      </c>
      <c r="AA40" s="410"/>
      <c r="AB40" s="411">
        <f t="shared" si="13"/>
        <v>11.109999999999985</v>
      </c>
      <c r="AC40" s="412">
        <f t="shared" si="14"/>
        <v>6.297179306230441E-2</v>
      </c>
      <c r="AD40" s="52"/>
      <c r="AE40" s="428"/>
      <c r="AF40" s="501"/>
      <c r="AG40" s="409">
        <f>SUM(AG37:AG39)</f>
        <v>196.12819839999997</v>
      </c>
      <c r="AH40" s="410"/>
      <c r="AI40" s="411">
        <f t="shared" si="17"/>
        <v>8.5900000000000034</v>
      </c>
      <c r="AJ40" s="412">
        <f t="shared" si="18"/>
        <v>4.5804001922202561E-2</v>
      </c>
      <c r="AK40" s="52"/>
      <c r="AL40" s="428"/>
      <c r="AM40" s="501"/>
      <c r="AN40" s="409">
        <f>SUM(AN37:AN39)</f>
        <v>204.37819839999997</v>
      </c>
      <c r="AO40" s="410"/>
      <c r="AP40" s="411">
        <f t="shared" si="21"/>
        <v>8.25</v>
      </c>
      <c r="AQ40" s="412">
        <f t="shared" si="22"/>
        <v>4.2064323576634664E-2</v>
      </c>
      <c r="AR40" s="413"/>
      <c r="AS40" s="3"/>
      <c r="AT40" s="3"/>
    </row>
    <row r="41" spans="1:46" ht="12" customHeight="1">
      <c r="A41" s="52"/>
      <c r="B41" s="320" t="s">
        <v>257</v>
      </c>
      <c r="C41" s="395" t="str">
        <f t="shared" ref="C41:C48" si="51">D$6&amp;"."&amp;B41</f>
        <v>General Service &lt; 50 kW.Wholesale Market Service Charge (WMSC)</v>
      </c>
      <c r="D41" s="396" t="s">
        <v>308</v>
      </c>
      <c r="E41" s="320"/>
      <c r="F41" s="414">
        <f>IFERROR(VLOOKUP($C41,'Proposed Rates'!$B:$J,F$11,FALSE),0)</f>
        <v>4.4999999999999997E-3</v>
      </c>
      <c r="G41" s="508">
        <f t="shared" ref="G41:G42" si="52">$F$10*(1+F$63)</f>
        <v>2481.1200000000003</v>
      </c>
      <c r="H41" s="400">
        <f t="shared" ref="H41:H48" si="53">G41*F41</f>
        <v>11.165040000000001</v>
      </c>
      <c r="I41" s="128"/>
      <c r="J41" s="414">
        <f>IFERROR(VLOOKUP($C41,'Proposed Rates'!$B:$J,J$11,FALSE),0)</f>
        <v>4.4999999999999997E-3</v>
      </c>
      <c r="K41" s="508">
        <f t="shared" ref="K41:K42" si="54">$F$10*(1+J$63)</f>
        <v>2479.6799999999998</v>
      </c>
      <c r="L41" s="400">
        <f t="shared" ref="L41:L48" si="55">K41*J41</f>
        <v>11.158559999999998</v>
      </c>
      <c r="M41" s="128"/>
      <c r="N41" s="401">
        <f t="shared" si="5"/>
        <v>-6.480000000003372E-3</v>
      </c>
      <c r="O41" s="402">
        <f t="shared" si="6"/>
        <v>-5.8038305281515976E-4</v>
      </c>
      <c r="P41" s="52"/>
      <c r="Q41" s="414">
        <f>IFERROR(VLOOKUP($C41,'Proposed Rates'!$B:$J,Q$11,FALSE),0)</f>
        <v>4.4999999999999997E-3</v>
      </c>
      <c r="R41" s="508">
        <f t="shared" ref="R41:R42" si="56">$F$10*(1+Q$63)</f>
        <v>2479.6799999999998</v>
      </c>
      <c r="S41" s="400">
        <f t="shared" ref="S41:S48" si="57">R41*Q41</f>
        <v>11.158559999999998</v>
      </c>
      <c r="T41" s="128"/>
      <c r="U41" s="401">
        <f t="shared" si="9"/>
        <v>0</v>
      </c>
      <c r="V41" s="402">
        <f t="shared" si="10"/>
        <v>0</v>
      </c>
      <c r="W41" s="52"/>
      <c r="X41" s="414">
        <f>IFERROR(VLOOKUP($C41,'Proposed Rates'!$B:$J,X$11,FALSE),0)</f>
        <v>4.4999999999999997E-3</v>
      </c>
      <c r="Y41" s="508">
        <f t="shared" ref="Y41:Y42" si="58">$F$10*(1+X$63)</f>
        <v>2479.6799999999998</v>
      </c>
      <c r="Z41" s="400">
        <f t="shared" ref="Z41:Z48" si="59">Y41*X41</f>
        <v>11.158559999999998</v>
      </c>
      <c r="AA41" s="128"/>
      <c r="AB41" s="401">
        <f t="shared" si="13"/>
        <v>0</v>
      </c>
      <c r="AC41" s="402">
        <f t="shared" si="14"/>
        <v>0</v>
      </c>
      <c r="AD41" s="52"/>
      <c r="AE41" s="414">
        <f>IFERROR(VLOOKUP($C41,'Proposed Rates'!$B:$J,AE$11,FALSE),0)</f>
        <v>4.4999999999999997E-3</v>
      </c>
      <c r="AF41" s="508">
        <f t="shared" ref="AF41:AF42" si="60">$F$10*(1+AE$63)</f>
        <v>2479.6799999999998</v>
      </c>
      <c r="AG41" s="400">
        <f t="shared" ref="AG41:AG48" si="61">AF41*AE41</f>
        <v>11.158559999999998</v>
      </c>
      <c r="AH41" s="128"/>
      <c r="AI41" s="401">
        <f t="shared" si="17"/>
        <v>0</v>
      </c>
      <c r="AJ41" s="402">
        <f t="shared" si="18"/>
        <v>0</v>
      </c>
      <c r="AK41" s="52"/>
      <c r="AL41" s="414">
        <f>IFERROR(VLOOKUP($C41,'Proposed Rates'!$B:$J,AL$11,FALSE),0)</f>
        <v>4.4999999999999997E-3</v>
      </c>
      <c r="AM41" s="508">
        <f t="shared" ref="AM41:AM42" si="62">$F$10*(1+AL$63)</f>
        <v>2479.6799999999998</v>
      </c>
      <c r="AN41" s="400">
        <f t="shared" ref="AN41:AN48" si="63">AM41*AL41</f>
        <v>11.158559999999998</v>
      </c>
      <c r="AO41" s="128"/>
      <c r="AP41" s="401">
        <f t="shared" si="21"/>
        <v>0</v>
      </c>
      <c r="AQ41" s="402">
        <f t="shared" si="22"/>
        <v>0</v>
      </c>
      <c r="AR41" s="403"/>
      <c r="AS41" s="3"/>
      <c r="AT41" s="3"/>
    </row>
    <row r="42" spans="1:46" ht="12" customHeight="1">
      <c r="A42" s="52"/>
      <c r="B42" s="320" t="s">
        <v>258</v>
      </c>
      <c r="C42" s="395" t="str">
        <f t="shared" si="51"/>
        <v>General Service &lt; 50 kW.Rural and Remote Rate Protection (RRRP)</v>
      </c>
      <c r="D42" s="396" t="s">
        <v>308</v>
      </c>
      <c r="E42" s="320"/>
      <c r="F42" s="414">
        <f>IFERROR(VLOOKUP($C42,'Proposed Rates'!$B:$J,F$11,FALSE),0)</f>
        <v>1.5E-3</v>
      </c>
      <c r="G42" s="508">
        <f t="shared" si="52"/>
        <v>2481.1200000000003</v>
      </c>
      <c r="H42" s="400">
        <f t="shared" si="53"/>
        <v>3.7216800000000005</v>
      </c>
      <c r="I42" s="128"/>
      <c r="J42" s="414">
        <f>IFERROR(VLOOKUP($C42,'Proposed Rates'!$B:$J,J$11,FALSE),0)</f>
        <v>1.5E-3</v>
      </c>
      <c r="K42" s="508">
        <f t="shared" si="54"/>
        <v>2479.6799999999998</v>
      </c>
      <c r="L42" s="400">
        <f t="shared" si="55"/>
        <v>3.7195199999999997</v>
      </c>
      <c r="M42" s="128"/>
      <c r="N42" s="401">
        <f t="shared" si="5"/>
        <v>-2.1600000000008279E-3</v>
      </c>
      <c r="O42" s="402">
        <f t="shared" si="6"/>
        <v>-5.8038305281508018E-4</v>
      </c>
      <c r="P42" s="52"/>
      <c r="Q42" s="414">
        <f>IFERROR(VLOOKUP($C42,'Proposed Rates'!$B:$J,Q$11,FALSE),0)</f>
        <v>1.5E-3</v>
      </c>
      <c r="R42" s="508">
        <f t="shared" si="56"/>
        <v>2479.6799999999998</v>
      </c>
      <c r="S42" s="400">
        <f t="shared" si="57"/>
        <v>3.7195199999999997</v>
      </c>
      <c r="T42" s="128"/>
      <c r="U42" s="401">
        <f t="shared" si="9"/>
        <v>0</v>
      </c>
      <c r="V42" s="402">
        <f t="shared" si="10"/>
        <v>0</v>
      </c>
      <c r="W42" s="52"/>
      <c r="X42" s="414">
        <f>IFERROR(VLOOKUP($C42,'Proposed Rates'!$B:$J,X$11,FALSE),0)</f>
        <v>1.5E-3</v>
      </c>
      <c r="Y42" s="508">
        <f t="shared" si="58"/>
        <v>2479.6799999999998</v>
      </c>
      <c r="Z42" s="400">
        <f t="shared" si="59"/>
        <v>3.7195199999999997</v>
      </c>
      <c r="AA42" s="128"/>
      <c r="AB42" s="401">
        <f t="shared" si="13"/>
        <v>0</v>
      </c>
      <c r="AC42" s="402">
        <f t="shared" si="14"/>
        <v>0</v>
      </c>
      <c r="AD42" s="52"/>
      <c r="AE42" s="414">
        <f>IFERROR(VLOOKUP($C42,'Proposed Rates'!$B:$J,AE$11,FALSE),0)</f>
        <v>1.5E-3</v>
      </c>
      <c r="AF42" s="508">
        <f t="shared" si="60"/>
        <v>2479.6799999999998</v>
      </c>
      <c r="AG42" s="400">
        <f t="shared" si="61"/>
        <v>3.7195199999999997</v>
      </c>
      <c r="AH42" s="128"/>
      <c r="AI42" s="401">
        <f t="shared" si="17"/>
        <v>0</v>
      </c>
      <c r="AJ42" s="402">
        <f t="shared" si="18"/>
        <v>0</v>
      </c>
      <c r="AK42" s="52"/>
      <c r="AL42" s="414">
        <f>IFERROR(VLOOKUP($C42,'Proposed Rates'!$B:$J,AL$11,FALSE),0)</f>
        <v>1.5E-3</v>
      </c>
      <c r="AM42" s="508">
        <f t="shared" si="62"/>
        <v>2479.6799999999998</v>
      </c>
      <c r="AN42" s="400">
        <f t="shared" si="63"/>
        <v>3.7195199999999997</v>
      </c>
      <c r="AO42" s="128"/>
      <c r="AP42" s="401">
        <f t="shared" si="21"/>
        <v>0</v>
      </c>
      <c r="AQ42" s="402">
        <f t="shared" si="22"/>
        <v>0</v>
      </c>
      <c r="AR42" s="403"/>
      <c r="AS42" s="3"/>
      <c r="AT42" s="3"/>
    </row>
    <row r="43" spans="1:46" ht="12" customHeight="1">
      <c r="A43" s="52"/>
      <c r="B43" s="320" t="s">
        <v>260</v>
      </c>
      <c r="C43" s="395" t="str">
        <f t="shared" si="51"/>
        <v>General Service &lt; 50 kW.Standard Supply Service Charge</v>
      </c>
      <c r="D43" s="396" t="s">
        <v>306</v>
      </c>
      <c r="E43" s="320"/>
      <c r="F43" s="397">
        <f>IFERROR(VLOOKUP($C43,'Proposed Rates'!$B:$J,F$11,FALSE),0)</f>
        <v>0.25</v>
      </c>
      <c r="G43" s="398">
        <f>IF($D43="Monthly",1,IF($D43="per KWH",$F$10,0))</f>
        <v>1</v>
      </c>
      <c r="H43" s="400">
        <f t="shared" si="53"/>
        <v>0.25</v>
      </c>
      <c r="I43" s="128"/>
      <c r="J43" s="397">
        <f>IFERROR(VLOOKUP($C43,'Proposed Rates'!$B:$J,J$11,FALSE),0)</f>
        <v>1.51</v>
      </c>
      <c r="K43" s="398">
        <f>IF($D43="Monthly",1,IF($D43="per KWH",$F$10,0))</f>
        <v>1</v>
      </c>
      <c r="L43" s="400">
        <f t="shared" si="55"/>
        <v>1.51</v>
      </c>
      <c r="M43" s="128"/>
      <c r="N43" s="401">
        <f t="shared" si="5"/>
        <v>1.26</v>
      </c>
      <c r="O43" s="402">
        <f t="shared" si="6"/>
        <v>5.04</v>
      </c>
      <c r="P43" s="52"/>
      <c r="Q43" s="397">
        <f>IFERROR(VLOOKUP($C43,'Proposed Rates'!$B:$J,Q$11,FALSE),0)</f>
        <v>1.54</v>
      </c>
      <c r="R43" s="398">
        <f>IF($D43="Monthly",1,IF($D43="per KWH",$F$10,0))</f>
        <v>1</v>
      </c>
      <c r="S43" s="400">
        <f t="shared" si="57"/>
        <v>1.54</v>
      </c>
      <c r="T43" s="128"/>
      <c r="U43" s="401">
        <f t="shared" si="9"/>
        <v>3.0000000000000027E-2</v>
      </c>
      <c r="V43" s="402">
        <f t="shared" si="10"/>
        <v>1.986754966887419E-2</v>
      </c>
      <c r="W43" s="52"/>
      <c r="X43" s="397">
        <f>IFERROR(VLOOKUP($C43,'Proposed Rates'!$B:$J,X$11,FALSE),0)</f>
        <v>1.57</v>
      </c>
      <c r="Y43" s="398">
        <f>IF($D43="Monthly",1,IF($D43="per KWH",$F$10,0))</f>
        <v>1</v>
      </c>
      <c r="Z43" s="400">
        <f t="shared" si="59"/>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61"/>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3"/>
        <v>1.63</v>
      </c>
      <c r="AO43" s="128"/>
      <c r="AP43" s="401">
        <f t="shared" si="21"/>
        <v>2.9999999999999805E-2</v>
      </c>
      <c r="AQ43" s="402">
        <f t="shared" si="22"/>
        <v>1.8749999999999878E-2</v>
      </c>
      <c r="AR43" s="403"/>
      <c r="AS43" s="3"/>
      <c r="AT43" s="3"/>
    </row>
    <row r="44" spans="1:46" ht="12" customHeight="1">
      <c r="A44" s="52"/>
      <c r="B44" s="320" t="s">
        <v>262</v>
      </c>
      <c r="C44" s="395" t="str">
        <f t="shared" si="51"/>
        <v>General Service &lt; 50 kW.TOU - Off Peak</v>
      </c>
      <c r="D44" s="396" t="s">
        <v>308</v>
      </c>
      <c r="E44" s="320"/>
      <c r="F44" s="430">
        <f>VLOOKUP($B44,'Proposed Rates'!$D$248:$J$254,+F$11-2,FALSE)</f>
        <v>9.8000000000000004E-2</v>
      </c>
      <c r="G44" s="508">
        <f>'Proposed Rates'!$K$249*$F$10</f>
        <v>1536</v>
      </c>
      <c r="H44" s="400">
        <f t="shared" si="53"/>
        <v>150.52800000000002</v>
      </c>
      <c r="I44" s="128"/>
      <c r="J44" s="430">
        <f>VLOOKUP($B44,'Proposed Rates'!$D$248:$J$254,+J$11-2,FALSE)</f>
        <v>9.8000000000000004E-2</v>
      </c>
      <c r="K44" s="508">
        <f>'Proposed Rates'!$K$249*$F$10</f>
        <v>1536</v>
      </c>
      <c r="L44" s="400">
        <f t="shared" si="55"/>
        <v>150.52800000000002</v>
      </c>
      <c r="M44" s="128"/>
      <c r="N44" s="401">
        <f t="shared" si="5"/>
        <v>0</v>
      </c>
      <c r="O44" s="402">
        <f t="shared" si="6"/>
        <v>0</v>
      </c>
      <c r="P44" s="52"/>
      <c r="Q44" s="430">
        <f>VLOOKUP($B44,'Proposed Rates'!$D$248:$J$254,+Q$11-2,FALSE)</f>
        <v>9.8000000000000004E-2</v>
      </c>
      <c r="R44" s="508">
        <f>'Proposed Rates'!$K$249*$F$10</f>
        <v>1536</v>
      </c>
      <c r="S44" s="400">
        <f t="shared" si="57"/>
        <v>150.52800000000002</v>
      </c>
      <c r="T44" s="128"/>
      <c r="U44" s="401">
        <f t="shared" si="9"/>
        <v>0</v>
      </c>
      <c r="V44" s="402">
        <f t="shared" si="10"/>
        <v>0</v>
      </c>
      <c r="W44" s="52"/>
      <c r="X44" s="430">
        <f>VLOOKUP($B44,'Proposed Rates'!$D$248:$J$254,+X$11-2,FALSE)</f>
        <v>9.8000000000000004E-2</v>
      </c>
      <c r="Y44" s="508">
        <f>'Proposed Rates'!$K$249*$F$10</f>
        <v>1536</v>
      </c>
      <c r="Z44" s="400">
        <f t="shared" si="59"/>
        <v>150.52800000000002</v>
      </c>
      <c r="AA44" s="128"/>
      <c r="AB44" s="401">
        <f t="shared" si="13"/>
        <v>0</v>
      </c>
      <c r="AC44" s="402">
        <f t="shared" si="14"/>
        <v>0</v>
      </c>
      <c r="AD44" s="52"/>
      <c r="AE44" s="430">
        <f>VLOOKUP($B44,'Proposed Rates'!$D$248:$J$254,+AE$11-2,FALSE)</f>
        <v>9.8000000000000004E-2</v>
      </c>
      <c r="AF44" s="508">
        <f>'Proposed Rates'!$K$249*$F$10</f>
        <v>1536</v>
      </c>
      <c r="AG44" s="400">
        <f t="shared" si="61"/>
        <v>150.52800000000002</v>
      </c>
      <c r="AH44" s="128"/>
      <c r="AI44" s="401">
        <f t="shared" si="17"/>
        <v>0</v>
      </c>
      <c r="AJ44" s="402">
        <f t="shared" si="18"/>
        <v>0</v>
      </c>
      <c r="AK44" s="52"/>
      <c r="AL44" s="430">
        <f>VLOOKUP($B44,'Proposed Rates'!$D$248:$J$254,+AL$11-2,FALSE)</f>
        <v>9.8000000000000004E-2</v>
      </c>
      <c r="AM44" s="508">
        <f>'Proposed Rates'!$K$249*$F$10</f>
        <v>1536</v>
      </c>
      <c r="AN44" s="400">
        <f t="shared" si="63"/>
        <v>150.52800000000002</v>
      </c>
      <c r="AO44" s="128"/>
      <c r="AP44" s="401">
        <f t="shared" si="21"/>
        <v>0</v>
      </c>
      <c r="AQ44" s="402">
        <f t="shared" si="22"/>
        <v>0</v>
      </c>
      <c r="AR44" s="403"/>
      <c r="AS44" s="3"/>
      <c r="AT44" s="3"/>
    </row>
    <row r="45" spans="1:46" ht="12" customHeight="1">
      <c r="A45" s="52"/>
      <c r="B45" s="320" t="s">
        <v>263</v>
      </c>
      <c r="C45" s="395" t="str">
        <f t="shared" si="51"/>
        <v>General Service &lt; 50 kW.TOU - Mid Peak</v>
      </c>
      <c r="D45" s="396" t="s">
        <v>308</v>
      </c>
      <c r="E45" s="320"/>
      <c r="F45" s="430">
        <f>VLOOKUP($B45,'Proposed Rates'!$D$248:$J$254,+F$11-2,FALSE)</f>
        <v>0.157</v>
      </c>
      <c r="G45" s="508">
        <f>'Proposed Rates'!$K$250*$F$10</f>
        <v>432</v>
      </c>
      <c r="H45" s="400">
        <f t="shared" si="53"/>
        <v>67.823999999999998</v>
      </c>
      <c r="I45" s="128"/>
      <c r="J45" s="430">
        <f>VLOOKUP($B45,'Proposed Rates'!$D$248:$J$254,+J$11-2,FALSE)</f>
        <v>0.157</v>
      </c>
      <c r="K45" s="508">
        <f>'Proposed Rates'!$K$250*$F$10</f>
        <v>432</v>
      </c>
      <c r="L45" s="400">
        <f t="shared" si="55"/>
        <v>67.823999999999998</v>
      </c>
      <c r="M45" s="128"/>
      <c r="N45" s="401">
        <f t="shared" si="5"/>
        <v>0</v>
      </c>
      <c r="O45" s="402">
        <f t="shared" si="6"/>
        <v>0</v>
      </c>
      <c r="P45" s="52"/>
      <c r="Q45" s="430">
        <f>VLOOKUP($B45,'Proposed Rates'!$D$248:$J$254,+Q$11-2,FALSE)</f>
        <v>0.157</v>
      </c>
      <c r="R45" s="508">
        <f>'Proposed Rates'!$K$250*$F$10</f>
        <v>432</v>
      </c>
      <c r="S45" s="400">
        <f t="shared" si="57"/>
        <v>67.823999999999998</v>
      </c>
      <c r="T45" s="128"/>
      <c r="U45" s="401">
        <f t="shared" si="9"/>
        <v>0</v>
      </c>
      <c r="V45" s="402">
        <f t="shared" si="10"/>
        <v>0</v>
      </c>
      <c r="W45" s="52"/>
      <c r="X45" s="430">
        <f>VLOOKUP($B45,'Proposed Rates'!$D$248:$J$254,+X$11-2,FALSE)</f>
        <v>0.157</v>
      </c>
      <c r="Y45" s="508">
        <f>'Proposed Rates'!$K$250*$F$10</f>
        <v>432</v>
      </c>
      <c r="Z45" s="400">
        <f t="shared" si="59"/>
        <v>67.823999999999998</v>
      </c>
      <c r="AA45" s="128"/>
      <c r="AB45" s="401">
        <f t="shared" si="13"/>
        <v>0</v>
      </c>
      <c r="AC45" s="402">
        <f t="shared" si="14"/>
        <v>0</v>
      </c>
      <c r="AD45" s="52"/>
      <c r="AE45" s="430">
        <f>VLOOKUP($B45,'Proposed Rates'!$D$248:$J$254,+AE$11-2,FALSE)</f>
        <v>0.157</v>
      </c>
      <c r="AF45" s="508">
        <f>'Proposed Rates'!$K$250*$F$10</f>
        <v>432</v>
      </c>
      <c r="AG45" s="400">
        <f t="shared" si="61"/>
        <v>67.823999999999998</v>
      </c>
      <c r="AH45" s="128"/>
      <c r="AI45" s="401">
        <f t="shared" si="17"/>
        <v>0</v>
      </c>
      <c r="AJ45" s="402">
        <f t="shared" si="18"/>
        <v>0</v>
      </c>
      <c r="AK45" s="52"/>
      <c r="AL45" s="430">
        <f>VLOOKUP($B45,'Proposed Rates'!$D$248:$J$254,+AL$11-2,FALSE)</f>
        <v>0.157</v>
      </c>
      <c r="AM45" s="508">
        <f>'Proposed Rates'!$K$250*$F$10</f>
        <v>432</v>
      </c>
      <c r="AN45" s="400">
        <f t="shared" si="63"/>
        <v>67.823999999999998</v>
      </c>
      <c r="AO45" s="128"/>
      <c r="AP45" s="401">
        <f t="shared" si="21"/>
        <v>0</v>
      </c>
      <c r="AQ45" s="402">
        <f t="shared" si="22"/>
        <v>0</v>
      </c>
      <c r="AR45" s="403"/>
      <c r="AS45" s="3"/>
      <c r="AT45" s="3"/>
    </row>
    <row r="46" spans="1:46" ht="12" customHeight="1">
      <c r="A46" s="52"/>
      <c r="B46" s="52" t="s">
        <v>264</v>
      </c>
      <c r="C46" s="395" t="str">
        <f t="shared" si="51"/>
        <v>General Service &lt; 50 kW.TOU - On Peak</v>
      </c>
      <c r="D46" s="396" t="s">
        <v>308</v>
      </c>
      <c r="E46" s="320"/>
      <c r="F46" s="430">
        <f>VLOOKUP($B46,'Proposed Rates'!$D$248:$J$254,+F$11-2,FALSE)</f>
        <v>0.20300000000000001</v>
      </c>
      <c r="G46" s="508">
        <f>'Proposed Rates'!$K$251*$F$10</f>
        <v>432</v>
      </c>
      <c r="H46" s="400">
        <f t="shared" si="53"/>
        <v>87.696000000000012</v>
      </c>
      <c r="I46" s="128"/>
      <c r="J46" s="430">
        <f>VLOOKUP($B46,'Proposed Rates'!$D$248:$J$254,+J$11-2,FALSE)</f>
        <v>0.20300000000000001</v>
      </c>
      <c r="K46" s="508">
        <f>'Proposed Rates'!$K$251*$F$10</f>
        <v>432</v>
      </c>
      <c r="L46" s="400">
        <f t="shared" si="55"/>
        <v>87.696000000000012</v>
      </c>
      <c r="M46" s="128"/>
      <c r="N46" s="401">
        <f t="shared" si="5"/>
        <v>0</v>
      </c>
      <c r="O46" s="402">
        <f t="shared" si="6"/>
        <v>0</v>
      </c>
      <c r="P46" s="52"/>
      <c r="Q46" s="430">
        <f>VLOOKUP($B46,'Proposed Rates'!$D$248:$J$254,+Q$11-2,FALSE)</f>
        <v>0.20300000000000001</v>
      </c>
      <c r="R46" s="508">
        <f>'Proposed Rates'!$K$251*$F$10</f>
        <v>432</v>
      </c>
      <c r="S46" s="400">
        <f t="shared" si="57"/>
        <v>87.696000000000012</v>
      </c>
      <c r="T46" s="128"/>
      <c r="U46" s="401">
        <f t="shared" si="9"/>
        <v>0</v>
      </c>
      <c r="V46" s="402">
        <f t="shared" si="10"/>
        <v>0</v>
      </c>
      <c r="W46" s="52"/>
      <c r="X46" s="430">
        <f>VLOOKUP($B46,'Proposed Rates'!$D$248:$J$254,+X$11-2,FALSE)</f>
        <v>0.20300000000000001</v>
      </c>
      <c r="Y46" s="508">
        <f>'Proposed Rates'!$K$251*$F$10</f>
        <v>432</v>
      </c>
      <c r="Z46" s="400">
        <f t="shared" si="59"/>
        <v>87.696000000000012</v>
      </c>
      <c r="AA46" s="128"/>
      <c r="AB46" s="401">
        <f t="shared" si="13"/>
        <v>0</v>
      </c>
      <c r="AC46" s="402">
        <f t="shared" si="14"/>
        <v>0</v>
      </c>
      <c r="AD46" s="52"/>
      <c r="AE46" s="430">
        <f>VLOOKUP($B46,'Proposed Rates'!$D$248:$J$254,+AE$11-2,FALSE)</f>
        <v>0.20300000000000001</v>
      </c>
      <c r="AF46" s="508">
        <f>'Proposed Rates'!$K$251*$F$10</f>
        <v>432</v>
      </c>
      <c r="AG46" s="400">
        <f t="shared" si="61"/>
        <v>87.696000000000012</v>
      </c>
      <c r="AH46" s="128"/>
      <c r="AI46" s="401">
        <f t="shared" si="17"/>
        <v>0</v>
      </c>
      <c r="AJ46" s="402">
        <f t="shared" si="18"/>
        <v>0</v>
      </c>
      <c r="AK46" s="52"/>
      <c r="AL46" s="430">
        <f>VLOOKUP($B46,'Proposed Rates'!$D$248:$J$254,+AL$11-2,FALSE)</f>
        <v>0.20300000000000001</v>
      </c>
      <c r="AM46" s="508">
        <f>'Proposed Rates'!$K$251*$F$10</f>
        <v>432</v>
      </c>
      <c r="AN46" s="400">
        <f t="shared" si="63"/>
        <v>87.696000000000012</v>
      </c>
      <c r="AO46" s="128"/>
      <c r="AP46" s="401">
        <f t="shared" si="21"/>
        <v>0</v>
      </c>
      <c r="AQ46" s="402">
        <f t="shared" si="22"/>
        <v>0</v>
      </c>
      <c r="AR46" s="403"/>
      <c r="AS46" s="3"/>
      <c r="AT46" s="3"/>
    </row>
    <row r="47" spans="1:46" ht="12" customHeight="1">
      <c r="A47" s="52"/>
      <c r="B47" s="320" t="s">
        <v>265</v>
      </c>
      <c r="C47" s="395" t="str">
        <f t="shared" si="51"/>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3"/>
        <v>90</v>
      </c>
      <c r="I47" s="128"/>
      <c r="J47" s="430">
        <f>VLOOKUP($B47,'Proposed Rates'!$D$248:$J$254,+J$11-2,FALSE)</f>
        <v>0.12</v>
      </c>
      <c r="K47" s="508">
        <f>IF(AND($S$2=1, $F$10&gt;=750), 750, IF(AND($S$2=1, AND($F$10&lt;750, $F$10&gt;=0)), $F$10, IF(AND($S$2=2, $F$10&gt;=1000), 1000, IF(AND($S$2=2, AND($F$10&lt;1000, $F$10&gt;=0)), $F$10))))</f>
        <v>750</v>
      </c>
      <c r="L47" s="400">
        <f t="shared" si="55"/>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7"/>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9"/>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61"/>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3"/>
        <v>90</v>
      </c>
      <c r="AO47" s="128"/>
      <c r="AP47" s="401">
        <f t="shared" si="21"/>
        <v>0</v>
      </c>
      <c r="AQ47" s="402">
        <f t="shared" si="22"/>
        <v>0</v>
      </c>
      <c r="AR47" s="403"/>
      <c r="AS47" s="3"/>
      <c r="AT47" s="3"/>
    </row>
    <row r="48" spans="1:46" ht="12" customHeight="1">
      <c r="A48" s="52"/>
      <c r="B48" s="320" t="s">
        <v>266</v>
      </c>
      <c r="C48" s="395" t="str">
        <f t="shared" si="51"/>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1650</v>
      </c>
      <c r="H48" s="400">
        <f t="shared" si="53"/>
        <v>234.29999999999998</v>
      </c>
      <c r="I48" s="128"/>
      <c r="J48" s="430">
        <f>VLOOKUP($B48,'Proposed Rates'!$D$248:$J$254,+J$11-2,FALSE)</f>
        <v>0.14199999999999999</v>
      </c>
      <c r="K48" s="508">
        <f>IF(AND($S$2=1, $F$10&gt;=750), $F$10-750, IF(AND($S$2=1, AND($F$10&lt;750, $F$10&gt;=0)), 0, IF(AND($S$2=2, $F$10&gt;=1000), $F$10-1000, IF(AND($S$2=2, AND($F$10&lt;1000, $F$10&gt;=0)), 0))))</f>
        <v>1650</v>
      </c>
      <c r="L48" s="400">
        <f t="shared" si="55"/>
        <v>234.29999999999998</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1650</v>
      </c>
      <c r="S48" s="400">
        <f t="shared" si="57"/>
        <v>234.29999999999998</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1650</v>
      </c>
      <c r="Z48" s="400">
        <f t="shared" si="59"/>
        <v>234.29999999999998</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1650</v>
      </c>
      <c r="AG48" s="400">
        <f t="shared" si="61"/>
        <v>234.29999999999998</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1650</v>
      </c>
      <c r="AN48" s="400">
        <f t="shared" si="63"/>
        <v>234.29999999999998</v>
      </c>
      <c r="AO48" s="128"/>
      <c r="AP48" s="401">
        <f t="shared" si="21"/>
        <v>0</v>
      </c>
      <c r="AQ48" s="402">
        <f t="shared" si="22"/>
        <v>0</v>
      </c>
      <c r="AR48" s="403"/>
      <c r="AS48" s="3"/>
      <c r="AT48" s="3"/>
    </row>
    <row r="49" spans="1:46"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c r="AS49" s="3"/>
      <c r="AT49" s="3"/>
    </row>
    <row r="50" spans="1:46" ht="12" customHeight="1">
      <c r="A50" s="52"/>
      <c r="B50" s="444" t="s">
        <v>315</v>
      </c>
      <c r="C50" s="320"/>
      <c r="D50" s="320"/>
      <c r="E50" s="320"/>
      <c r="F50" s="445"/>
      <c r="G50" s="489"/>
      <c r="H50" s="447">
        <f>SUM(H41:H46,H40)</f>
        <v>477.60825440000008</v>
      </c>
      <c r="I50" s="482"/>
      <c r="J50" s="445"/>
      <c r="K50" s="446"/>
      <c r="L50" s="448">
        <f>SUM(L41:L46,L40)</f>
        <v>489.54427840000005</v>
      </c>
      <c r="M50" s="449"/>
      <c r="N50" s="448">
        <f t="shared" ref="N50:N54" si="64">L50-H50</f>
        <v>11.936023999999975</v>
      </c>
      <c r="O50" s="450">
        <f t="shared" ref="O50:O54" si="65">IF((H50)=0,"",(N50/H50))</f>
        <v>2.4991243116170007E-2</v>
      </c>
      <c r="P50" s="52"/>
      <c r="Q50" s="445"/>
      <c r="R50" s="446"/>
      <c r="S50" s="448">
        <f>SUM(S41:S46,S40)</f>
        <v>498.89427840000002</v>
      </c>
      <c r="T50" s="449"/>
      <c r="U50" s="448">
        <f t="shared" ref="U50:U54" si="66">S50-L50</f>
        <v>9.3499999999999659</v>
      </c>
      <c r="V50" s="450">
        <f t="shared" ref="V50:V54" si="67">IF((L50)=0,"",(U50/L50))</f>
        <v>1.9099395933211596E-2</v>
      </c>
      <c r="W50" s="52"/>
      <c r="X50" s="445"/>
      <c r="Y50" s="446"/>
      <c r="Z50" s="448">
        <f>SUM(Z41:Z46,Z40)</f>
        <v>510.03427840000006</v>
      </c>
      <c r="AA50" s="449"/>
      <c r="AB50" s="448">
        <f t="shared" ref="AB50:AB54" si="68">Z50-S50</f>
        <v>11.140000000000043</v>
      </c>
      <c r="AC50" s="450">
        <f t="shared" ref="AC50:AC54" si="69">IF((S50)=0,"",(AB50/S50))</f>
        <v>2.2329380155906079E-2</v>
      </c>
      <c r="AD50" s="52"/>
      <c r="AE50" s="445"/>
      <c r="AF50" s="446"/>
      <c r="AG50" s="448">
        <f>SUM(AG41:AG46,AG40)</f>
        <v>518.65427840000007</v>
      </c>
      <c r="AH50" s="449"/>
      <c r="AI50" s="448">
        <f t="shared" ref="AI50:AI54" si="70">AG50-Z50</f>
        <v>8.6200000000000045</v>
      </c>
      <c r="AJ50" s="450">
        <f t="shared" ref="AJ50:AJ54" si="71">IF((Z50)=0,"",(AI50/Z50))</f>
        <v>1.6900824836795919E-2</v>
      </c>
      <c r="AK50" s="52"/>
      <c r="AL50" s="445"/>
      <c r="AM50" s="446"/>
      <c r="AN50" s="448">
        <f>SUM(AN41:AN46,AN40)</f>
        <v>526.93427840000004</v>
      </c>
      <c r="AO50" s="449"/>
      <c r="AP50" s="448">
        <f t="shared" ref="AP50:AP54" si="72">AN50-AG50</f>
        <v>8.2799999999999727</v>
      </c>
      <c r="AQ50" s="450">
        <f t="shared" ref="AQ50:AQ54" si="73">IF((AG50)=0,"",(AP50/AG50))</f>
        <v>1.5964391589601841E-2</v>
      </c>
      <c r="AR50" s="451"/>
      <c r="AS50" s="3"/>
      <c r="AT50" s="3"/>
    </row>
    <row r="51" spans="1:46" ht="12" customHeight="1">
      <c r="A51" s="52"/>
      <c r="B51" s="452" t="s">
        <v>316</v>
      </c>
      <c r="C51" s="320"/>
      <c r="D51" s="320"/>
      <c r="E51" s="320"/>
      <c r="F51" s="445">
        <v>0.13</v>
      </c>
      <c r="G51" s="128"/>
      <c r="H51" s="490">
        <f>H50*F51</f>
        <v>62.089073072000012</v>
      </c>
      <c r="I51" s="417"/>
      <c r="J51" s="445">
        <v>0.13</v>
      </c>
      <c r="K51" s="417"/>
      <c r="L51" s="400">
        <f>L50*J51</f>
        <v>63.640756192000012</v>
      </c>
      <c r="M51" s="128"/>
      <c r="N51" s="401">
        <f t="shared" si="64"/>
        <v>1.5516831199999999</v>
      </c>
      <c r="O51" s="402">
        <f t="shared" si="65"/>
        <v>2.4991243116170056E-2</v>
      </c>
      <c r="P51" s="52"/>
      <c r="Q51" s="445">
        <v>0.13</v>
      </c>
      <c r="R51" s="417"/>
      <c r="S51" s="400">
        <f>S50*Q51</f>
        <v>64.856256192000004</v>
      </c>
      <c r="T51" s="128"/>
      <c r="U51" s="401">
        <f t="shared" si="66"/>
        <v>1.2154999999999916</v>
      </c>
      <c r="V51" s="402">
        <f t="shared" si="67"/>
        <v>1.9099395933211531E-2</v>
      </c>
      <c r="W51" s="52"/>
      <c r="X51" s="445">
        <v>0.13</v>
      </c>
      <c r="Y51" s="417"/>
      <c r="Z51" s="400">
        <f>Z50*X51</f>
        <v>66.304456192000004</v>
      </c>
      <c r="AA51" s="128"/>
      <c r="AB51" s="401">
        <f t="shared" si="68"/>
        <v>1.4481999999999999</v>
      </c>
      <c r="AC51" s="402">
        <f t="shared" si="69"/>
        <v>2.2329380155905992E-2</v>
      </c>
      <c r="AD51" s="52"/>
      <c r="AE51" s="445">
        <v>0.13</v>
      </c>
      <c r="AF51" s="417"/>
      <c r="AG51" s="400">
        <f>AG50*AE51</f>
        <v>67.425056192000014</v>
      </c>
      <c r="AH51" s="128"/>
      <c r="AI51" s="401">
        <f t="shared" si="70"/>
        <v>1.1206000000000103</v>
      </c>
      <c r="AJ51" s="402">
        <f t="shared" si="71"/>
        <v>1.6900824836796065E-2</v>
      </c>
      <c r="AK51" s="52"/>
      <c r="AL51" s="445">
        <v>0.13</v>
      </c>
      <c r="AM51" s="417"/>
      <c r="AN51" s="400">
        <f>AN50*AL51</f>
        <v>68.501456192000006</v>
      </c>
      <c r="AO51" s="128"/>
      <c r="AP51" s="401">
        <f t="shared" si="72"/>
        <v>1.0763999999999925</v>
      </c>
      <c r="AQ51" s="402">
        <f t="shared" si="73"/>
        <v>1.5964391589601782E-2</v>
      </c>
      <c r="AR51" s="403"/>
      <c r="AS51" s="3"/>
      <c r="AT51" s="3"/>
    </row>
    <row r="52" spans="1:46" ht="12" customHeight="1">
      <c r="A52" s="52"/>
      <c r="B52" s="454" t="s">
        <v>367</v>
      </c>
      <c r="C52" s="320"/>
      <c r="D52" s="320"/>
      <c r="E52" s="320"/>
      <c r="F52" s="455"/>
      <c r="G52" s="128"/>
      <c r="H52" s="490">
        <f>H50+H51</f>
        <v>539.6973274720001</v>
      </c>
      <c r="I52" s="417"/>
      <c r="J52" s="455"/>
      <c r="K52" s="417"/>
      <c r="L52" s="400">
        <f>L50+L51</f>
        <v>553.18503459200008</v>
      </c>
      <c r="M52" s="128"/>
      <c r="N52" s="401">
        <f t="shared" si="64"/>
        <v>13.487707119999982</v>
      </c>
      <c r="O52" s="402">
        <f t="shared" si="65"/>
        <v>2.4991243116170025E-2</v>
      </c>
      <c r="P52" s="52"/>
      <c r="Q52" s="455"/>
      <c r="R52" s="417"/>
      <c r="S52" s="400">
        <f>S50+S51</f>
        <v>563.75053459200001</v>
      </c>
      <c r="T52" s="128"/>
      <c r="U52" s="401">
        <f t="shared" si="66"/>
        <v>10.565499999999929</v>
      </c>
      <c r="V52" s="402">
        <f t="shared" si="67"/>
        <v>1.9099395933211537E-2</v>
      </c>
      <c r="W52" s="52"/>
      <c r="X52" s="455"/>
      <c r="Y52" s="417"/>
      <c r="Z52" s="400">
        <f>Z50+Z51</f>
        <v>576.33873459200004</v>
      </c>
      <c r="AA52" s="128"/>
      <c r="AB52" s="401">
        <f t="shared" si="68"/>
        <v>12.588200000000029</v>
      </c>
      <c r="AC52" s="402">
        <f t="shared" si="69"/>
        <v>2.2329380155906044E-2</v>
      </c>
      <c r="AD52" s="52"/>
      <c r="AE52" s="455"/>
      <c r="AF52" s="417"/>
      <c r="AG52" s="400">
        <f>AG50+AG51</f>
        <v>586.07933459200012</v>
      </c>
      <c r="AH52" s="128"/>
      <c r="AI52" s="401">
        <f t="shared" si="70"/>
        <v>9.7406000000000859</v>
      </c>
      <c r="AJ52" s="402">
        <f t="shared" si="71"/>
        <v>1.6900824836796058E-2</v>
      </c>
      <c r="AK52" s="52"/>
      <c r="AL52" s="455"/>
      <c r="AM52" s="417"/>
      <c r="AN52" s="400">
        <f>AN50+AN51</f>
        <v>595.43573459200002</v>
      </c>
      <c r="AO52" s="128"/>
      <c r="AP52" s="401">
        <f t="shared" si="72"/>
        <v>9.3563999999998941</v>
      </c>
      <c r="AQ52" s="402">
        <f t="shared" si="73"/>
        <v>1.5964391589601713E-2</v>
      </c>
      <c r="AR52" s="403"/>
      <c r="AS52" s="3"/>
      <c r="AT52" s="3"/>
    </row>
    <row r="53" spans="1:46" ht="12" customHeight="1">
      <c r="A53" s="52"/>
      <c r="B53" s="628" t="s">
        <v>273</v>
      </c>
      <c r="C53" s="615"/>
      <c r="D53" s="615"/>
      <c r="E53" s="320"/>
      <c r="F53" s="456">
        <f>'Proposed Rates'!E287</f>
        <v>0.23499999999999999</v>
      </c>
      <c r="G53" s="128"/>
      <c r="H53" s="492">
        <f>F53*H50</f>
        <v>112.23793978400001</v>
      </c>
      <c r="I53" s="417"/>
      <c r="J53" s="456">
        <f>'Proposed Rates'!I287</f>
        <v>0.23499999999999999</v>
      </c>
      <c r="K53" s="417"/>
      <c r="L53" s="457">
        <f>J53*L50</f>
        <v>115.04290542400001</v>
      </c>
      <c r="M53" s="128"/>
      <c r="N53" s="457">
        <f t="shared" si="64"/>
        <v>2.804965640000006</v>
      </c>
      <c r="O53" s="459">
        <f t="shared" si="65"/>
        <v>2.4991243116170115E-2</v>
      </c>
      <c r="P53" s="52"/>
      <c r="Q53" s="456">
        <f>'Proposed Rates'!H287</f>
        <v>0.23499999999999999</v>
      </c>
      <c r="R53" s="417"/>
      <c r="S53" s="457">
        <f>Q53*S50</f>
        <v>117.24015542399999</v>
      </c>
      <c r="T53" s="128"/>
      <c r="U53" s="457">
        <f t="shared" si="66"/>
        <v>2.1972499999999826</v>
      </c>
      <c r="V53" s="459">
        <f t="shared" si="67"/>
        <v>1.9099395933211513E-2</v>
      </c>
      <c r="W53" s="52"/>
      <c r="X53" s="456">
        <f>'Proposed Rates'!J287</f>
        <v>0.23499999999999999</v>
      </c>
      <c r="Y53" s="417"/>
      <c r="Z53" s="457">
        <f>X53*Z50</f>
        <v>119.85805542400001</v>
      </c>
      <c r="AA53" s="128"/>
      <c r="AB53" s="457">
        <f t="shared" si="68"/>
        <v>2.6179000000000201</v>
      </c>
      <c r="AC53" s="459">
        <f t="shared" si="69"/>
        <v>2.2329380155906166E-2</v>
      </c>
      <c r="AD53" s="52"/>
      <c r="AE53" s="456">
        <f>'Proposed Rates'!J287</f>
        <v>0.23499999999999999</v>
      </c>
      <c r="AF53" s="417"/>
      <c r="AG53" s="457">
        <f>AE53*AG50</f>
        <v>121.88375542400001</v>
      </c>
      <c r="AH53" s="128"/>
      <c r="AI53" s="457">
        <f t="shared" si="70"/>
        <v>2.0257000000000005</v>
      </c>
      <c r="AJ53" s="459">
        <f t="shared" si="71"/>
        <v>1.6900824836795912E-2</v>
      </c>
      <c r="AK53" s="52"/>
      <c r="AL53" s="456">
        <f>'Proposed Rates'!J287</f>
        <v>0.23499999999999999</v>
      </c>
      <c r="AM53" s="417"/>
      <c r="AN53" s="457">
        <f>AL53*AN50</f>
        <v>123.82955542400001</v>
      </c>
      <c r="AO53" s="128"/>
      <c r="AP53" s="457">
        <f t="shared" si="72"/>
        <v>1.9457999999999913</v>
      </c>
      <c r="AQ53" s="459">
        <f t="shared" si="73"/>
        <v>1.5964391589601824E-2</v>
      </c>
      <c r="AR53" s="460"/>
      <c r="AS53" s="3"/>
      <c r="AT53" s="3"/>
    </row>
    <row r="54" spans="1:46" ht="12" customHeight="1">
      <c r="A54" s="52"/>
      <c r="B54" s="627" t="s">
        <v>318</v>
      </c>
      <c r="C54" s="613"/>
      <c r="D54" s="613"/>
      <c r="E54" s="461"/>
      <c r="F54" s="462"/>
      <c r="G54" s="493"/>
      <c r="H54" s="494">
        <f>H52-H53</f>
        <v>427.45938768800011</v>
      </c>
      <c r="I54" s="463"/>
      <c r="J54" s="462"/>
      <c r="K54" s="463"/>
      <c r="L54" s="464">
        <f>L52-L53</f>
        <v>438.14212916800005</v>
      </c>
      <c r="M54" s="465"/>
      <c r="N54" s="466">
        <f t="shared" si="64"/>
        <v>10.682741479999947</v>
      </c>
      <c r="O54" s="467">
        <f t="shared" si="65"/>
        <v>2.4991243116169935E-2</v>
      </c>
      <c r="P54" s="52"/>
      <c r="Q54" s="462"/>
      <c r="R54" s="463"/>
      <c r="S54" s="464">
        <f>S52-S53</f>
        <v>446.51037916799999</v>
      </c>
      <c r="T54" s="465"/>
      <c r="U54" s="466">
        <f t="shared" si="66"/>
        <v>8.3682499999999322</v>
      </c>
      <c r="V54" s="467">
        <f t="shared" si="67"/>
        <v>1.909939593321151E-2</v>
      </c>
      <c r="W54" s="52"/>
      <c r="X54" s="462"/>
      <c r="Y54" s="463"/>
      <c r="Z54" s="464">
        <f>Z52-Z53</f>
        <v>456.48067916800005</v>
      </c>
      <c r="AA54" s="465"/>
      <c r="AB54" s="466">
        <f t="shared" si="68"/>
        <v>9.9703000000000657</v>
      </c>
      <c r="AC54" s="467">
        <f t="shared" si="69"/>
        <v>2.2329380155906142E-2</v>
      </c>
      <c r="AD54" s="52"/>
      <c r="AE54" s="462"/>
      <c r="AF54" s="463"/>
      <c r="AG54" s="464">
        <f>AG52-AG53</f>
        <v>464.19557916800011</v>
      </c>
      <c r="AH54" s="465"/>
      <c r="AI54" s="466">
        <f t="shared" si="70"/>
        <v>7.7149000000000569</v>
      </c>
      <c r="AJ54" s="467">
        <f t="shared" si="71"/>
        <v>1.6900824836796034E-2</v>
      </c>
      <c r="AK54" s="52"/>
      <c r="AL54" s="462"/>
      <c r="AM54" s="463"/>
      <c r="AN54" s="464">
        <f>AN52-AN53</f>
        <v>471.60617916800004</v>
      </c>
      <c r="AO54" s="465"/>
      <c r="AP54" s="466">
        <f t="shared" si="72"/>
        <v>7.4105999999999312</v>
      </c>
      <c r="AQ54" s="467">
        <f t="shared" si="73"/>
        <v>1.5964391589601744E-2</v>
      </c>
      <c r="AR54" s="468"/>
      <c r="AS54" s="3"/>
      <c r="AT54" s="3"/>
    </row>
    <row r="55" spans="1:46"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c r="AS55" s="3"/>
      <c r="AT55" s="3"/>
    </row>
    <row r="56" spans="1:46" ht="12" customHeight="1">
      <c r="A56" s="52"/>
      <c r="B56" s="444" t="s">
        <v>319</v>
      </c>
      <c r="C56" s="320"/>
      <c r="D56" s="320"/>
      <c r="E56" s="320"/>
      <c r="F56" s="445"/>
      <c r="G56" s="489"/>
      <c r="H56" s="447">
        <f>SUM(H47:H48,H40,H41:H43)</f>
        <v>495.86025439999997</v>
      </c>
      <c r="I56" s="482"/>
      <c r="J56" s="445"/>
      <c r="K56" s="446"/>
      <c r="L56" s="448">
        <f>SUM(L47:L48,L40,L41:L43)</f>
        <v>507.79627839999995</v>
      </c>
      <c r="M56" s="449"/>
      <c r="N56" s="448">
        <f t="shared" ref="N56:N60" si="74">L56-H56</f>
        <v>11.936023999999975</v>
      </c>
      <c r="O56" s="450">
        <f t="shared" ref="O56:O60" si="75">IF((H56)=0,"",(N56/H56))</f>
        <v>2.4071346501531532E-2</v>
      </c>
      <c r="P56" s="52"/>
      <c r="Q56" s="445"/>
      <c r="R56" s="446"/>
      <c r="S56" s="448">
        <f>SUM(S47:S48,S40,S41:S43)</f>
        <v>517.14627839999991</v>
      </c>
      <c r="T56" s="449"/>
      <c r="U56" s="448">
        <f t="shared" ref="U56:U60" si="76">S56-L56</f>
        <v>9.3499999999999659</v>
      </c>
      <c r="V56" s="450">
        <f t="shared" ref="V56:V60" si="77">IF((L56)=0,"",(U56/L56))</f>
        <v>1.8412895875213185E-2</v>
      </c>
      <c r="W56" s="52"/>
      <c r="X56" s="445"/>
      <c r="Y56" s="446"/>
      <c r="Z56" s="448">
        <f>SUM(Z47:Z48,Z40,Z41:Z43)</f>
        <v>528.2862783999999</v>
      </c>
      <c r="AA56" s="449"/>
      <c r="AB56" s="448">
        <f t="shared" ref="AB56:AB60" si="78">Z56-S56</f>
        <v>11.139999999999986</v>
      </c>
      <c r="AC56" s="450">
        <f t="shared" ref="AC56:AC60" si="79">IF((S56)=0,"",(AB56/S56))</f>
        <v>2.1541293953552289E-2</v>
      </c>
      <c r="AD56" s="52"/>
      <c r="AE56" s="445"/>
      <c r="AF56" s="446"/>
      <c r="AG56" s="448">
        <f>SUM(AG47:AG48,AG40,AG41:AG43)</f>
        <v>536.90627839999991</v>
      </c>
      <c r="AH56" s="449"/>
      <c r="AI56" s="448">
        <f t="shared" ref="AI56:AI60" si="80">AG56-Z56</f>
        <v>8.6200000000000045</v>
      </c>
      <c r="AJ56" s="450">
        <f t="shared" ref="AJ56:AJ60" si="81">IF((Z56)=0,"",(AI56/Z56))</f>
        <v>1.6316910645695858E-2</v>
      </c>
      <c r="AK56" s="52"/>
      <c r="AL56" s="445"/>
      <c r="AM56" s="446"/>
      <c r="AN56" s="448">
        <f>SUM(AN47:AN48,AN40,AN41:AN43)</f>
        <v>545.18627839999988</v>
      </c>
      <c r="AO56" s="449"/>
      <c r="AP56" s="448">
        <f t="shared" ref="AP56:AP60" si="82">AN56-AG56</f>
        <v>8.2799999999999727</v>
      </c>
      <c r="AQ56" s="450">
        <f t="shared" ref="AQ56:AQ60" si="83">IF((AG56)=0,"",(AP56/AG56))</f>
        <v>1.5421685931247948E-2</v>
      </c>
      <c r="AR56" s="451"/>
      <c r="AS56" s="3"/>
      <c r="AT56" s="3"/>
    </row>
    <row r="57" spans="1:46" ht="12" customHeight="1">
      <c r="A57" s="52"/>
      <c r="B57" s="452" t="s">
        <v>316</v>
      </c>
      <c r="C57" s="320"/>
      <c r="D57" s="320"/>
      <c r="E57" s="320"/>
      <c r="F57" s="445">
        <v>0.13</v>
      </c>
      <c r="G57" s="489"/>
      <c r="H57" s="490">
        <f>H56*F57</f>
        <v>64.461833072000005</v>
      </c>
      <c r="I57" s="417"/>
      <c r="J57" s="445">
        <v>0.13</v>
      </c>
      <c r="K57" s="453"/>
      <c r="L57" s="401">
        <f>L56*J57</f>
        <v>66.013516191999997</v>
      </c>
      <c r="M57" s="128"/>
      <c r="N57" s="401">
        <f t="shared" si="74"/>
        <v>1.5516831199999928</v>
      </c>
      <c r="O57" s="402">
        <f t="shared" si="75"/>
        <v>2.4071346501531466E-2</v>
      </c>
      <c r="P57" s="52"/>
      <c r="Q57" s="445">
        <v>0.13</v>
      </c>
      <c r="R57" s="453"/>
      <c r="S57" s="400">
        <f>S56*Q57</f>
        <v>67.229016191999989</v>
      </c>
      <c r="T57" s="128"/>
      <c r="U57" s="401">
        <f t="shared" si="76"/>
        <v>1.2154999999999916</v>
      </c>
      <c r="V57" s="402">
        <f t="shared" si="77"/>
        <v>1.8412895875213126E-2</v>
      </c>
      <c r="W57" s="52"/>
      <c r="X57" s="445">
        <v>0.13</v>
      </c>
      <c r="Y57" s="453"/>
      <c r="Z57" s="400">
        <f>Z56*X57</f>
        <v>68.677216191999989</v>
      </c>
      <c r="AA57" s="128"/>
      <c r="AB57" s="401">
        <f t="shared" si="78"/>
        <v>1.4481999999999999</v>
      </c>
      <c r="AC57" s="402">
        <f t="shared" si="79"/>
        <v>2.1541293953552313E-2</v>
      </c>
      <c r="AD57" s="52"/>
      <c r="AE57" s="445">
        <v>0.13</v>
      </c>
      <c r="AF57" s="453"/>
      <c r="AG57" s="401">
        <f>AG56*AE57</f>
        <v>69.797816191999985</v>
      </c>
      <c r="AH57" s="128"/>
      <c r="AI57" s="401">
        <f t="shared" si="80"/>
        <v>1.120599999999996</v>
      </c>
      <c r="AJ57" s="402">
        <f t="shared" si="81"/>
        <v>1.6316910645695792E-2</v>
      </c>
      <c r="AK57" s="52"/>
      <c r="AL57" s="445">
        <v>0.13</v>
      </c>
      <c r="AM57" s="453"/>
      <c r="AN57" s="400">
        <f>AN56*AL57</f>
        <v>70.874216191999992</v>
      </c>
      <c r="AO57" s="128"/>
      <c r="AP57" s="401">
        <f t="shared" si="82"/>
        <v>1.0764000000000067</v>
      </c>
      <c r="AQ57" s="402">
        <f t="shared" si="83"/>
        <v>1.5421685931248095E-2</v>
      </c>
      <c r="AR57" s="403"/>
      <c r="AS57" s="3"/>
      <c r="AT57" s="3"/>
    </row>
    <row r="58" spans="1:46" ht="12" customHeight="1">
      <c r="A58" s="52"/>
      <c r="B58" s="454" t="s">
        <v>368</v>
      </c>
      <c r="C58" s="320"/>
      <c r="D58" s="320"/>
      <c r="E58" s="320"/>
      <c r="F58" s="455"/>
      <c r="G58" s="128"/>
      <c r="H58" s="490">
        <f>H56+H57</f>
        <v>560.32208747200002</v>
      </c>
      <c r="I58" s="417"/>
      <c r="J58" s="455"/>
      <c r="K58" s="417"/>
      <c r="L58" s="400">
        <f>L56+L57</f>
        <v>573.80979459199989</v>
      </c>
      <c r="M58" s="128"/>
      <c r="N58" s="401">
        <f t="shared" si="74"/>
        <v>13.487707119999868</v>
      </c>
      <c r="O58" s="402">
        <f t="shared" si="75"/>
        <v>2.4071346501531345E-2</v>
      </c>
      <c r="P58" s="52"/>
      <c r="Q58" s="455"/>
      <c r="R58" s="417"/>
      <c r="S58" s="400">
        <f>S56+S57</f>
        <v>584.37529459199993</v>
      </c>
      <c r="T58" s="128"/>
      <c r="U58" s="401">
        <f t="shared" si="76"/>
        <v>10.565500000000043</v>
      </c>
      <c r="V58" s="402">
        <f t="shared" si="77"/>
        <v>1.8412895875213331E-2</v>
      </c>
      <c r="W58" s="52"/>
      <c r="X58" s="455"/>
      <c r="Y58" s="417"/>
      <c r="Z58" s="400">
        <f>Z56+Z57</f>
        <v>596.96349459199985</v>
      </c>
      <c r="AA58" s="128"/>
      <c r="AB58" s="401">
        <f t="shared" si="78"/>
        <v>12.588199999999915</v>
      </c>
      <c r="AC58" s="402">
        <f t="shared" si="79"/>
        <v>2.1541293953552167E-2</v>
      </c>
      <c r="AD58" s="52"/>
      <c r="AE58" s="455"/>
      <c r="AF58" s="417"/>
      <c r="AG58" s="400">
        <f>AG56+AG57</f>
        <v>606.70409459199993</v>
      </c>
      <c r="AH58" s="128"/>
      <c r="AI58" s="401">
        <f t="shared" si="80"/>
        <v>9.7406000000000859</v>
      </c>
      <c r="AJ58" s="402">
        <f t="shared" si="81"/>
        <v>1.6316910645695994E-2</v>
      </c>
      <c r="AK58" s="52"/>
      <c r="AL58" s="455"/>
      <c r="AM58" s="417"/>
      <c r="AN58" s="400">
        <f>AN56+AN57</f>
        <v>616.06049459199983</v>
      </c>
      <c r="AO58" s="128"/>
      <c r="AP58" s="401">
        <f t="shared" si="82"/>
        <v>9.3563999999998941</v>
      </c>
      <c r="AQ58" s="402">
        <f t="shared" si="83"/>
        <v>1.5421685931247823E-2</v>
      </c>
      <c r="AR58" s="403"/>
      <c r="AS58" s="3"/>
      <c r="AT58" s="3"/>
    </row>
    <row r="59" spans="1:46" ht="12" customHeight="1">
      <c r="A59" s="52"/>
      <c r="B59" s="628" t="s">
        <v>273</v>
      </c>
      <c r="C59" s="615"/>
      <c r="D59" s="615"/>
      <c r="E59" s="320"/>
      <c r="F59" s="456">
        <f>F53</f>
        <v>0.23499999999999999</v>
      </c>
      <c r="G59" s="128"/>
      <c r="H59" s="492">
        <f>F59*H56</f>
        <v>116.52715978399999</v>
      </c>
      <c r="I59" s="417"/>
      <c r="J59" s="456">
        <f>J53</f>
        <v>0.23499999999999999</v>
      </c>
      <c r="K59" s="417"/>
      <c r="L59" s="457">
        <f>J59*L56</f>
        <v>119.33212542399998</v>
      </c>
      <c r="M59" s="128"/>
      <c r="N59" s="457">
        <f t="shared" si="74"/>
        <v>2.8049656399999918</v>
      </c>
      <c r="O59" s="459">
        <f t="shared" si="75"/>
        <v>2.4071346501531515E-2</v>
      </c>
      <c r="P59" s="52"/>
      <c r="Q59" s="456">
        <f>Q53</f>
        <v>0.23499999999999999</v>
      </c>
      <c r="R59" s="417"/>
      <c r="S59" s="457">
        <f>Q59*S56</f>
        <v>121.52937542399998</v>
      </c>
      <c r="T59" s="128"/>
      <c r="U59" s="457">
        <f t="shared" si="76"/>
        <v>2.1972499999999968</v>
      </c>
      <c r="V59" s="459">
        <f t="shared" si="77"/>
        <v>1.8412895875213227E-2</v>
      </c>
      <c r="W59" s="52"/>
      <c r="X59" s="456">
        <f>X53</f>
        <v>0.23499999999999999</v>
      </c>
      <c r="Y59" s="417"/>
      <c r="Z59" s="457">
        <f>X59*Z56</f>
        <v>124.14727542399997</v>
      </c>
      <c r="AA59" s="128"/>
      <c r="AB59" s="457">
        <f t="shared" si="78"/>
        <v>2.6178999999999917</v>
      </c>
      <c r="AC59" s="459">
        <f t="shared" si="79"/>
        <v>2.1541293953552247E-2</v>
      </c>
      <c r="AD59" s="52"/>
      <c r="AE59" s="456">
        <f>AE53</f>
        <v>0.23499999999999999</v>
      </c>
      <c r="AF59" s="417"/>
      <c r="AG59" s="457">
        <f>AE59*AG56</f>
        <v>126.17297542399997</v>
      </c>
      <c r="AH59" s="128"/>
      <c r="AI59" s="457">
        <f t="shared" si="80"/>
        <v>2.0257000000000005</v>
      </c>
      <c r="AJ59" s="459">
        <f t="shared" si="81"/>
        <v>1.6316910645695855E-2</v>
      </c>
      <c r="AK59" s="52"/>
      <c r="AL59" s="456">
        <f>AL53</f>
        <v>0.23499999999999999</v>
      </c>
      <c r="AM59" s="417"/>
      <c r="AN59" s="457">
        <f>AL59*AN56</f>
        <v>128.11877542399998</v>
      </c>
      <c r="AO59" s="128"/>
      <c r="AP59" s="457">
        <f t="shared" si="82"/>
        <v>1.9458000000000055</v>
      </c>
      <c r="AQ59" s="459">
        <f t="shared" si="83"/>
        <v>1.5421685931248043E-2</v>
      </c>
      <c r="AR59" s="460"/>
      <c r="AS59" s="3"/>
      <c r="AT59" s="3"/>
    </row>
    <row r="60" spans="1:46" ht="12" customHeight="1">
      <c r="A60" s="52"/>
      <c r="B60" s="627" t="s">
        <v>321</v>
      </c>
      <c r="C60" s="613"/>
      <c r="D60" s="613"/>
      <c r="E60" s="461"/>
      <c r="F60" s="469"/>
      <c r="G60" s="495"/>
      <c r="H60" s="496">
        <f>H58-H59</f>
        <v>443.79492768800003</v>
      </c>
      <c r="I60" s="470"/>
      <c r="J60" s="469"/>
      <c r="K60" s="470"/>
      <c r="L60" s="471">
        <f>L58-L59</f>
        <v>454.47766916799992</v>
      </c>
      <c r="M60" s="472"/>
      <c r="N60" s="473">
        <f t="shared" si="74"/>
        <v>10.682741479999891</v>
      </c>
      <c r="O60" s="474">
        <f t="shared" si="75"/>
        <v>2.4071346501531334E-2</v>
      </c>
      <c r="P60" s="52"/>
      <c r="Q60" s="469"/>
      <c r="R60" s="470"/>
      <c r="S60" s="471">
        <f>S58-S59</f>
        <v>462.84591916799997</v>
      </c>
      <c r="T60" s="472"/>
      <c r="U60" s="473">
        <f t="shared" si="76"/>
        <v>8.3682500000000459</v>
      </c>
      <c r="V60" s="474">
        <f t="shared" si="77"/>
        <v>1.8412895875213355E-2</v>
      </c>
      <c r="W60" s="52"/>
      <c r="X60" s="469"/>
      <c r="Y60" s="470"/>
      <c r="Z60" s="471">
        <f>Z58-Z59</f>
        <v>472.81621916799986</v>
      </c>
      <c r="AA60" s="472"/>
      <c r="AB60" s="473">
        <f t="shared" si="78"/>
        <v>9.9702999999998951</v>
      </c>
      <c r="AC60" s="474">
        <f t="shared" si="79"/>
        <v>2.1541293953552088E-2</v>
      </c>
      <c r="AD60" s="52"/>
      <c r="AE60" s="469"/>
      <c r="AF60" s="470"/>
      <c r="AG60" s="471">
        <f>AG58-AG59</f>
        <v>480.53111916799998</v>
      </c>
      <c r="AH60" s="472"/>
      <c r="AI60" s="473">
        <f t="shared" si="80"/>
        <v>7.7149000000001138</v>
      </c>
      <c r="AJ60" s="474">
        <f t="shared" si="81"/>
        <v>1.6316910645696091E-2</v>
      </c>
      <c r="AK60" s="52"/>
      <c r="AL60" s="469"/>
      <c r="AM60" s="470"/>
      <c r="AN60" s="471">
        <f>AN58-AN59</f>
        <v>487.94171916799985</v>
      </c>
      <c r="AO60" s="472"/>
      <c r="AP60" s="473">
        <f t="shared" si="82"/>
        <v>7.4105999999998744</v>
      </c>
      <c r="AQ60" s="474">
        <f t="shared" si="83"/>
        <v>1.5421685931247736E-2</v>
      </c>
      <c r="AR60" s="468"/>
      <c r="AS60" s="3"/>
      <c r="AT60" s="3"/>
    </row>
    <row r="61" spans="1:46"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c r="AS61" s="3"/>
      <c r="AT61" s="3"/>
    </row>
    <row r="62" spans="1:46"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c r="AS62" s="3"/>
      <c r="AT62" s="3"/>
    </row>
    <row r="63" spans="1:46"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c r="AS63" s="3"/>
      <c r="AT63" s="3"/>
    </row>
    <row r="64" spans="1:46"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3"/>
      <c r="AT64" s="3"/>
    </row>
    <row r="65" spans="1:46"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3"/>
      <c r="AT65" s="3"/>
    </row>
    <row r="66" spans="1:46"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3"/>
      <c r="AT66" s="3"/>
    </row>
    <row r="67" spans="1:46"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3"/>
      <c r="AT67" s="3"/>
    </row>
    <row r="68" spans="1:46"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3"/>
      <c r="AT68" s="3"/>
    </row>
    <row r="69" spans="1:46"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3"/>
      <c r="AT69" s="3"/>
    </row>
    <row r="70" spans="1:46"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3"/>
      <c r="AT70" s="3"/>
    </row>
    <row r="71" spans="1:46"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3"/>
      <c r="AT71" s="3"/>
    </row>
    <row r="72" spans="1:46"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3"/>
      <c r="AT72" s="3"/>
    </row>
    <row r="73" spans="1:46"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3"/>
      <c r="AT73" s="3"/>
    </row>
    <row r="74" spans="1:46"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3"/>
      <c r="AT74" s="3"/>
    </row>
    <row r="75" spans="1:46"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3"/>
      <c r="AT75" s="3"/>
    </row>
    <row r="76" spans="1:46"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3"/>
      <c r="AT76" s="3"/>
    </row>
    <row r="77" spans="1:46"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3"/>
      <c r="AT77" s="3"/>
    </row>
    <row r="78" spans="1:46"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3"/>
      <c r="AT78" s="3"/>
    </row>
    <row r="79" spans="1:46"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3"/>
      <c r="AT79" s="3"/>
    </row>
    <row r="80" spans="1:46"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3"/>
      <c r="AT80" s="3"/>
    </row>
    <row r="81" spans="1:46"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3"/>
      <c r="AT81" s="3"/>
    </row>
    <row r="82" spans="1:46"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3"/>
      <c r="AT82" s="3"/>
    </row>
    <row r="83" spans="1:46"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3"/>
      <c r="AT83" s="3"/>
    </row>
    <row r="84" spans="1:46"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3"/>
      <c r="AT84" s="3"/>
    </row>
    <row r="85" spans="1:46"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3"/>
      <c r="AT85" s="3"/>
    </row>
    <row r="86" spans="1:46"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3"/>
      <c r="AT86" s="3"/>
    </row>
    <row r="87" spans="1:46"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3"/>
      <c r="AT87" s="3"/>
    </row>
    <row r="88" spans="1:46"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3"/>
      <c r="AT88" s="3"/>
    </row>
    <row r="89" spans="1:46"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3"/>
      <c r="AT89" s="3"/>
    </row>
    <row r="90" spans="1:46"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3"/>
      <c r="AT90" s="3"/>
    </row>
    <row r="91" spans="1:46"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3"/>
      <c r="AT91" s="3"/>
    </row>
    <row r="92" spans="1:46"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3"/>
      <c r="AT92" s="3"/>
    </row>
    <row r="93" spans="1:46"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3"/>
      <c r="AT93" s="3"/>
    </row>
    <row r="94" spans="1:46"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3"/>
      <c r="AT94" s="3"/>
    </row>
    <row r="95" spans="1:46"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3"/>
      <c r="AT95" s="3"/>
    </row>
    <row r="96" spans="1:46"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3"/>
      <c r="AT96" s="3"/>
    </row>
    <row r="97" spans="1:46"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3"/>
      <c r="AT97" s="3"/>
    </row>
    <row r="98" spans="1:46"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3"/>
      <c r="AT98" s="3"/>
    </row>
    <row r="99" spans="1:46"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3"/>
      <c r="AT99" s="3"/>
    </row>
    <row r="100" spans="1:46"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3"/>
      <c r="AT100" s="3"/>
    </row>
    <row r="101" spans="1:46"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3"/>
      <c r="AT101" s="3"/>
    </row>
    <row r="102" spans="1:46"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3"/>
      <c r="AT102" s="3"/>
    </row>
    <row r="103" spans="1:46"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3"/>
      <c r="AT103" s="3"/>
    </row>
    <row r="104" spans="1:46"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3"/>
      <c r="AT104" s="3"/>
    </row>
    <row r="105" spans="1:46"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3"/>
      <c r="AT105" s="3"/>
    </row>
    <row r="106" spans="1:46"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3"/>
      <c r="AT106" s="3"/>
    </row>
    <row r="107" spans="1:46"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3"/>
      <c r="AT107" s="3"/>
    </row>
    <row r="108" spans="1:46"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3"/>
      <c r="AT108" s="3"/>
    </row>
    <row r="109" spans="1:46"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3"/>
      <c r="AT109" s="3"/>
    </row>
    <row r="110" spans="1:46"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3"/>
      <c r="AT110" s="3"/>
    </row>
    <row r="111" spans="1:46"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3"/>
      <c r="AT111" s="3"/>
    </row>
    <row r="112" spans="1:46"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3"/>
      <c r="AT112" s="3"/>
    </row>
    <row r="113" spans="1:46"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3"/>
      <c r="AT113" s="3"/>
    </row>
    <row r="114" spans="1:46"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3"/>
      <c r="AT114" s="3"/>
    </row>
    <row r="115" spans="1:46"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3"/>
      <c r="AT115" s="3"/>
    </row>
    <row r="116" spans="1:46"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3"/>
      <c r="AT116" s="3"/>
    </row>
    <row r="117" spans="1:46"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3"/>
      <c r="AT117" s="3"/>
    </row>
    <row r="118" spans="1:46"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3"/>
      <c r="AT118" s="3"/>
    </row>
    <row r="119" spans="1:46"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3"/>
      <c r="AT119" s="3"/>
    </row>
    <row r="120" spans="1:46"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3"/>
      <c r="AT120" s="3"/>
    </row>
    <row r="121" spans="1:46"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3"/>
      <c r="AT121" s="3"/>
    </row>
    <row r="122" spans="1:46"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3"/>
      <c r="AT122" s="3"/>
    </row>
    <row r="123" spans="1:46"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3"/>
      <c r="AT123" s="3"/>
    </row>
    <row r="124" spans="1:46"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3"/>
      <c r="AT124" s="3"/>
    </row>
    <row r="125" spans="1:46"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3"/>
      <c r="AT125" s="3"/>
    </row>
    <row r="126" spans="1:46"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3"/>
      <c r="AT126" s="3"/>
    </row>
    <row r="127" spans="1:46"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3"/>
      <c r="AT127" s="3"/>
    </row>
    <row r="128" spans="1:46"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3"/>
      <c r="AT128" s="3"/>
    </row>
    <row r="129" spans="1:46"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3"/>
      <c r="AT129" s="3"/>
    </row>
    <row r="130" spans="1:46"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3"/>
      <c r="AT130" s="3"/>
    </row>
    <row r="131" spans="1:46"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3"/>
      <c r="AT131" s="3"/>
    </row>
    <row r="132" spans="1:46"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3"/>
      <c r="AT132" s="3"/>
    </row>
    <row r="133" spans="1:46"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3"/>
      <c r="AT133" s="3"/>
    </row>
    <row r="134" spans="1:46"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3"/>
      <c r="AT134" s="3"/>
    </row>
    <row r="135" spans="1:46"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3"/>
      <c r="AT135" s="3"/>
    </row>
    <row r="136" spans="1:46"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3"/>
      <c r="AT136" s="3"/>
    </row>
    <row r="137" spans="1:46"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3"/>
      <c r="AT137" s="3"/>
    </row>
    <row r="138" spans="1:46"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3"/>
      <c r="AT138" s="3"/>
    </row>
    <row r="139" spans="1:46"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3"/>
      <c r="AT139" s="3"/>
    </row>
    <row r="140" spans="1:46"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3"/>
      <c r="AT140" s="3"/>
    </row>
    <row r="141" spans="1:46"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3"/>
      <c r="AT141" s="3"/>
    </row>
    <row r="142" spans="1:46"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3"/>
      <c r="AT142" s="3"/>
    </row>
    <row r="143" spans="1:46"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3"/>
      <c r="AT143" s="3"/>
    </row>
    <row r="144" spans="1:46"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3"/>
      <c r="AT144" s="3"/>
    </row>
    <row r="145" spans="1:46"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3"/>
      <c r="AT145" s="3"/>
    </row>
    <row r="146" spans="1:46"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3"/>
      <c r="AT146" s="3"/>
    </row>
    <row r="147" spans="1:46"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3"/>
      <c r="AT147" s="3"/>
    </row>
    <row r="148" spans="1:46"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3"/>
      <c r="AT148" s="3"/>
    </row>
    <row r="149" spans="1:46"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3"/>
      <c r="AT149" s="3"/>
    </row>
    <row r="150" spans="1:46"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3"/>
      <c r="AT150" s="3"/>
    </row>
    <row r="151" spans="1:46"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3"/>
      <c r="AT151" s="3"/>
    </row>
    <row r="152" spans="1:46"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3"/>
      <c r="AT152" s="3"/>
    </row>
    <row r="153" spans="1:46"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3"/>
      <c r="AT153" s="3"/>
    </row>
    <row r="154" spans="1:46"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3"/>
      <c r="AT154" s="3"/>
    </row>
    <row r="155" spans="1:46"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3"/>
      <c r="AT155" s="3"/>
    </row>
    <row r="156" spans="1:46"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3"/>
      <c r="AT156" s="3"/>
    </row>
    <row r="157" spans="1:46"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3"/>
      <c r="AT157" s="3"/>
    </row>
    <row r="158" spans="1:46"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3"/>
      <c r="AT158" s="3"/>
    </row>
    <row r="159" spans="1:46"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3"/>
      <c r="AT159" s="3"/>
    </row>
    <row r="160" spans="1:46"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3"/>
      <c r="AT160" s="3"/>
    </row>
    <row r="161" spans="1:46"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3"/>
      <c r="AT161" s="3"/>
    </row>
    <row r="162" spans="1:46"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3"/>
      <c r="AT162" s="3"/>
    </row>
    <row r="163" spans="1:46"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3"/>
      <c r="AT163" s="3"/>
    </row>
    <row r="164" spans="1:46"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3"/>
      <c r="AT164" s="3"/>
    </row>
    <row r="165" spans="1:46"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3"/>
      <c r="AT165" s="3"/>
    </row>
    <row r="166" spans="1:46"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3"/>
      <c r="AT166" s="3"/>
    </row>
    <row r="167" spans="1:46"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3"/>
      <c r="AT167" s="3"/>
    </row>
    <row r="168" spans="1:46"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3"/>
      <c r="AT168" s="3"/>
    </row>
    <row r="169" spans="1:46"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3"/>
      <c r="AT169" s="3"/>
    </row>
    <row r="170" spans="1:46"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3"/>
      <c r="AT170" s="3"/>
    </row>
    <row r="171" spans="1:46"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3"/>
      <c r="AT171" s="3"/>
    </row>
    <row r="172" spans="1:46"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3"/>
      <c r="AT172" s="3"/>
    </row>
    <row r="173" spans="1:46"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3"/>
      <c r="AT173" s="3"/>
    </row>
    <row r="174" spans="1:46"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3"/>
      <c r="AT174" s="3"/>
    </row>
    <row r="175" spans="1:46"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3"/>
      <c r="AT175" s="3"/>
    </row>
    <row r="176" spans="1:46"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3"/>
      <c r="AT176" s="3"/>
    </row>
    <row r="177" spans="1:46"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3"/>
      <c r="AT177" s="3"/>
    </row>
    <row r="178" spans="1:46"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3"/>
      <c r="AT178" s="3"/>
    </row>
    <row r="179" spans="1:46"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3"/>
      <c r="AT179" s="3"/>
    </row>
    <row r="180" spans="1:46"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3"/>
      <c r="AT180" s="3"/>
    </row>
    <row r="181" spans="1:46"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3"/>
      <c r="AT181" s="3"/>
    </row>
    <row r="182" spans="1:46"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3"/>
      <c r="AT182" s="3"/>
    </row>
    <row r="183" spans="1:46"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3"/>
      <c r="AT183" s="3"/>
    </row>
    <row r="184" spans="1:46"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3"/>
      <c r="AT184" s="3"/>
    </row>
    <row r="185" spans="1:46"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3"/>
      <c r="AT185" s="3"/>
    </row>
    <row r="186" spans="1:46"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3"/>
      <c r="AT186" s="3"/>
    </row>
    <row r="187" spans="1:46"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3"/>
      <c r="AT187" s="3"/>
    </row>
    <row r="188" spans="1:46"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3"/>
      <c r="AT188" s="3"/>
    </row>
    <row r="189" spans="1:46"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3"/>
      <c r="AT189" s="3"/>
    </row>
    <row r="190" spans="1:46"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3"/>
      <c r="AT190" s="3"/>
    </row>
    <row r="191" spans="1:46"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3"/>
      <c r="AS191" s="3"/>
      <c r="AT191" s="3"/>
    </row>
    <row r="192" spans="1:46"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c r="AS192" s="3"/>
      <c r="AT192" s="3"/>
    </row>
    <row r="193" spans="1:46"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c r="AS193" s="3"/>
      <c r="AT193" s="3"/>
    </row>
    <row r="194" spans="1:46"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c r="AS194" s="3"/>
      <c r="AT194" s="3"/>
    </row>
    <row r="195" spans="1:46"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c r="AS195" s="3"/>
      <c r="AT195" s="3"/>
    </row>
    <row r="196" spans="1:46"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c r="AS196" s="3"/>
      <c r="AT196" s="3"/>
    </row>
    <row r="197" spans="1:46"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c r="AS197" s="3"/>
      <c r="AT197" s="3"/>
    </row>
    <row r="198" spans="1:46"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c r="AS198" s="3"/>
      <c r="AT198" s="3"/>
    </row>
    <row r="199" spans="1:46"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c r="AS199" s="3"/>
      <c r="AT199" s="3"/>
    </row>
    <row r="200" spans="1:46"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c r="AS200" s="3"/>
      <c r="AT200" s="3"/>
    </row>
    <row r="201" spans="1:46"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c r="AS201" s="3"/>
      <c r="AT201" s="3"/>
    </row>
    <row r="202" spans="1:46"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c r="AS202" s="3"/>
      <c r="AT202" s="3"/>
    </row>
    <row r="203" spans="1:46"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c r="AS203" s="3"/>
      <c r="AT203" s="3"/>
    </row>
    <row r="204" spans="1:46"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c r="AS204" s="3"/>
      <c r="AT204" s="3"/>
    </row>
    <row r="205" spans="1:46"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c r="AS205" s="3"/>
      <c r="AT205" s="3"/>
    </row>
    <row r="206" spans="1:46"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c r="AS206" s="3"/>
      <c r="AT206" s="3"/>
    </row>
    <row r="207" spans="1:46"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c r="AS207" s="3"/>
      <c r="AT207" s="3"/>
    </row>
    <row r="208" spans="1:46"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c r="AS208" s="3"/>
      <c r="AT208" s="3"/>
    </row>
    <row r="209" spans="1:46"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c r="AS209" s="3"/>
      <c r="AT209" s="3"/>
    </row>
    <row r="210" spans="1:46"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c r="AS210" s="3"/>
      <c r="AT210" s="3"/>
    </row>
    <row r="211" spans="1:46"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c r="AS211" s="3"/>
      <c r="AT211" s="3"/>
    </row>
    <row r="212" spans="1:46"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c r="AS212" s="3"/>
      <c r="AT212" s="3"/>
    </row>
    <row r="213" spans="1:46"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c r="AS213" s="3"/>
      <c r="AT213" s="3"/>
    </row>
    <row r="214" spans="1:46"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c r="AS214" s="3"/>
      <c r="AT214" s="3"/>
    </row>
    <row r="215" spans="1:46"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c r="AS215" s="3"/>
      <c r="AT215" s="3"/>
    </row>
    <row r="216" spans="1:46"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c r="AS216" s="3"/>
      <c r="AT216" s="3"/>
    </row>
    <row r="217" spans="1:46"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c r="AS217" s="3"/>
      <c r="AT217" s="3"/>
    </row>
    <row r="218" spans="1:46"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c r="AS218" s="3"/>
      <c r="AT218" s="3"/>
    </row>
    <row r="219" spans="1:46"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c r="AS219" s="3"/>
      <c r="AT219" s="3"/>
    </row>
    <row r="220" spans="1:46"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c r="AS220" s="3"/>
      <c r="AT220" s="3"/>
    </row>
    <row r="221" spans="1:46"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c r="AS221" s="3"/>
      <c r="AT221" s="3"/>
    </row>
    <row r="222" spans="1:46"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c r="AS222" s="3"/>
      <c r="AT222" s="3"/>
    </row>
    <row r="223" spans="1:46"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c r="AS223" s="3"/>
      <c r="AT223" s="3"/>
    </row>
    <row r="224" spans="1:46"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c r="AS224" s="3"/>
      <c r="AT224" s="3"/>
    </row>
    <row r="225" spans="1:46"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c r="AS225" s="3"/>
      <c r="AT225" s="3"/>
    </row>
    <row r="226" spans="1:46"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c r="AS226" s="3"/>
      <c r="AT226" s="3"/>
    </row>
    <row r="227" spans="1:46"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c r="AS227" s="3"/>
      <c r="AT227" s="3"/>
    </row>
    <row r="228" spans="1:46"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c r="AS228" s="3"/>
      <c r="AT228" s="3"/>
    </row>
    <row r="229" spans="1:46"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c r="AS229" s="3"/>
      <c r="AT229" s="3"/>
    </row>
    <row r="230" spans="1:46"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c r="AS230" s="3"/>
      <c r="AT230" s="3"/>
    </row>
    <row r="231" spans="1:46"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c r="AS231" s="3"/>
      <c r="AT231" s="3"/>
    </row>
    <row r="232" spans="1:46"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c r="AS232" s="3"/>
      <c r="AT232" s="3"/>
    </row>
    <row r="233" spans="1:46"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c r="AS233" s="3"/>
      <c r="AT233" s="3"/>
    </row>
    <row r="234" spans="1:46"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c r="AS234" s="3"/>
      <c r="AT234" s="3"/>
    </row>
    <row r="235" spans="1:46"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c r="AS235" s="3"/>
      <c r="AT235" s="3"/>
    </row>
    <row r="236" spans="1:46"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c r="AS236" s="3"/>
      <c r="AT236" s="3"/>
    </row>
    <row r="237" spans="1:46"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c r="AS237" s="3"/>
      <c r="AT237" s="3"/>
    </row>
    <row r="238" spans="1:46"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c r="AS238" s="3"/>
      <c r="AT238" s="3"/>
    </row>
    <row r="239" spans="1:46"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c r="AS239" s="3"/>
      <c r="AT239" s="3"/>
    </row>
    <row r="240" spans="1:46"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c r="AS240" s="3"/>
      <c r="AT240" s="3"/>
    </row>
    <row r="241" spans="1:46"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c r="AS241" s="3"/>
      <c r="AT241" s="3"/>
    </row>
    <row r="242" spans="1:46"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c r="AS242" s="3"/>
      <c r="AT242" s="3"/>
    </row>
    <row r="243" spans="1:46"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c r="AS243" s="3"/>
      <c r="AT243" s="3"/>
    </row>
    <row r="244" spans="1:46"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c r="AS244" s="3"/>
      <c r="AT244" s="3"/>
    </row>
    <row r="245" spans="1:46"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c r="AS245" s="3"/>
      <c r="AT245" s="3"/>
    </row>
    <row r="246" spans="1:46"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c r="AS246" s="3"/>
      <c r="AT246" s="3"/>
    </row>
    <row r="247" spans="1:46"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c r="AS247" s="3"/>
      <c r="AT247" s="3"/>
    </row>
    <row r="248" spans="1:46"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c r="AS248" s="3"/>
      <c r="AT248" s="3"/>
    </row>
    <row r="249" spans="1:46"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c r="AS249" s="3"/>
      <c r="AT249" s="3"/>
    </row>
    <row r="250" spans="1:46"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c r="AS250" s="3"/>
      <c r="AT250" s="3"/>
    </row>
    <row r="251" spans="1:46"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c r="AS251" s="3"/>
      <c r="AT251" s="3"/>
    </row>
    <row r="252" spans="1:46"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c r="AS252" s="3"/>
      <c r="AT252" s="3"/>
    </row>
    <row r="253" spans="1:46"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c r="AS253" s="3"/>
      <c r="AT253" s="3"/>
    </row>
    <row r="254" spans="1:46"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c r="AS254" s="3"/>
      <c r="AT254" s="3"/>
    </row>
    <row r="255" spans="1:46"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c r="AS255" s="3"/>
      <c r="AT255" s="3"/>
    </row>
    <row r="256" spans="1:46"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c r="AS256" s="3"/>
      <c r="AT256" s="3"/>
    </row>
    <row r="257" spans="1:46"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c r="AS257" s="3"/>
      <c r="AT257" s="3"/>
    </row>
    <row r="258" spans="1:46"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c r="AS258" s="3"/>
      <c r="AT258" s="3"/>
    </row>
    <row r="259" spans="1:46"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c r="AS259" s="3"/>
      <c r="AT259" s="3"/>
    </row>
    <row r="260" spans="1:46"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c r="AS260" s="3"/>
      <c r="AT260" s="3"/>
    </row>
    <row r="261" spans="1:46"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c r="AS261" s="3"/>
      <c r="AT261" s="3"/>
    </row>
    <row r="262" spans="1:46"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c r="AS262" s="3"/>
      <c r="AT262" s="3"/>
    </row>
    <row r="263" spans="1:46"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c r="AS263" s="3"/>
      <c r="AT263" s="3"/>
    </row>
    <row r="264" spans="1:46"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c r="AS264" s="3"/>
      <c r="AT264" s="3"/>
    </row>
    <row r="265" spans="1:46"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c r="AS265" s="3"/>
      <c r="AT265" s="3"/>
    </row>
    <row r="266" spans="1:46"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c r="AS266" s="3"/>
      <c r="AT266" s="3"/>
    </row>
    <row r="267" spans="1:46"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c r="AS267" s="3"/>
      <c r="AT267" s="3"/>
    </row>
    <row r="268" spans="1:46"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c r="AS268" s="3"/>
      <c r="AT268" s="3"/>
    </row>
    <row r="269" spans="1:46"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c r="AS269" s="3"/>
      <c r="AT269" s="3"/>
    </row>
    <row r="270" spans="1:46"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c r="AS270" s="3"/>
      <c r="AT270" s="3"/>
    </row>
    <row r="271" spans="1:46"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c r="AS271" s="3"/>
      <c r="AT271" s="3"/>
    </row>
    <row r="272" spans="1:46"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c r="AS272" s="3"/>
      <c r="AT272" s="3"/>
    </row>
    <row r="273" spans="1:46"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c r="AS273" s="3"/>
      <c r="AT273" s="3"/>
    </row>
    <row r="274" spans="1:46"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c r="AS274" s="3"/>
      <c r="AT274" s="3"/>
    </row>
    <row r="275" spans="1:46"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c r="AS275" s="3"/>
      <c r="AT275" s="3"/>
    </row>
    <row r="276" spans="1:4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400-000000000000}">
      <formula1>"TOU,non-TOU"</formula1>
    </dataValidation>
    <dataValidation type="list" allowBlank="1" showErrorMessage="1" sqref="E15:E28 E30:E36 E38:E39 E41:E49 E55 E61" xr:uid="{00000000-0002-0000-1400-000001000000}">
      <formula1>#REF!</formula1>
    </dataValidation>
    <dataValidation type="list" allowBlank="1" showInputMessage="1" showErrorMessage="1" prompt="Select Charge Unit - monthly, per kWh, per kW" sqref="D15:D28 D30:D36 D38:D39 D41:D49 D55 D61" xr:uid="{00000000-0002-0000-1400-000002000000}">
      <formula1>"Monthly,per kWh,per kW"</formula1>
    </dataValidation>
  </dataValidations>
  <pageMargins left="0.74803149606299213" right="0.74803149606299213" top="0.98425196850393704" bottom="0.98425196850393704"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1000"/>
  <sheetViews>
    <sheetView showGridLines="0" workbookViewId="0">
      <pane ySplit="14" topLeftCell="A48"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10.5703125" customWidth="1"/>
    <col min="7" max="7" width="8" customWidth="1"/>
    <col min="8" max="8" width="9.28515625" customWidth="1"/>
    <col min="9" max="9" width="0.42578125" customWidth="1"/>
    <col min="10" max="10" width="10.42578125" customWidth="1"/>
    <col min="11" max="11" width="8" customWidth="1"/>
    <col min="12" max="12" width="10.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11" customWidth="1"/>
    <col min="20" max="20" width="0.42578125" customWidth="1"/>
    <col min="21" max="21" width="9.42578125" customWidth="1"/>
    <col min="22" max="22" width="10" customWidth="1"/>
    <col min="23" max="23" width="1" customWidth="1"/>
    <col min="24" max="24" width="10.42578125" customWidth="1"/>
    <col min="25" max="25" width="8"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11" customWidth="1"/>
    <col min="41" max="41" width="0.42578125" customWidth="1"/>
    <col min="42" max="42" width="9.42578125" customWidth="1"/>
    <col min="43" max="43" width="10" customWidth="1"/>
    <col min="44" max="44" width="0.7109375" customWidth="1"/>
    <col min="45" max="47" width="12.42578125" customWidth="1"/>
  </cols>
  <sheetData>
    <row r="1" spans="1:47"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7"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7"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7"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7"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7" ht="12" customHeight="1">
      <c r="A6" s="52"/>
      <c r="B6" s="319" t="s">
        <v>294</v>
      </c>
      <c r="C6" s="52"/>
      <c r="D6" s="505" t="s">
        <v>220</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row>
    <row r="7" spans="1:47"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7"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7"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7" ht="12" customHeight="1">
      <c r="A10" s="52"/>
      <c r="B10" s="52"/>
      <c r="C10" s="52"/>
      <c r="D10" s="306" t="s">
        <v>297</v>
      </c>
      <c r="E10" s="306"/>
      <c r="F10" s="386">
        <v>5000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7"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7"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7"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7"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7"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16" si="20">AM15*AL15</f>
        <v>37</v>
      </c>
      <c r="AO15" s="128"/>
      <c r="AP15" s="401">
        <f t="shared" ref="AP15:AP48" si="21">AN15-AG15</f>
        <v>2</v>
      </c>
      <c r="AQ15" s="402">
        <f t="shared" ref="AQ15:AQ48" si="22">IF((AG15)=0,"",(AP15/AG15))</f>
        <v>5.7142857142857141E-2</v>
      </c>
      <c r="AR15" s="403"/>
    </row>
    <row r="16" spans="1:47"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5000</v>
      </c>
      <c r="H17" s="400">
        <f t="shared" si="2"/>
        <v>0</v>
      </c>
      <c r="I17" s="128"/>
      <c r="J17" s="414">
        <f>IFERROR(VLOOKUP($C17,'Proposed Rates'!$B:$J,J$11,FALSE),0)</f>
        <v>0</v>
      </c>
      <c r="K17" s="398">
        <f t="shared" si="3"/>
        <v>5000</v>
      </c>
      <c r="L17" s="400">
        <f t="shared" si="4"/>
        <v>0</v>
      </c>
      <c r="M17" s="128"/>
      <c r="N17" s="401">
        <f t="shared" si="5"/>
        <v>0</v>
      </c>
      <c r="O17" s="402" t="str">
        <f t="shared" si="6"/>
        <v/>
      </c>
      <c r="P17" s="52"/>
      <c r="Q17" s="414">
        <f>IFERROR(VLOOKUP($C17,'Proposed Rates'!$B:$J,Q$11,FALSE),0)</f>
        <v>0</v>
      </c>
      <c r="R17" s="398">
        <f t="shared" si="7"/>
        <v>5000</v>
      </c>
      <c r="S17" s="400">
        <f t="shared" si="8"/>
        <v>0</v>
      </c>
      <c r="T17" s="128"/>
      <c r="U17" s="401">
        <f t="shared" si="9"/>
        <v>0</v>
      </c>
      <c r="V17" s="402" t="str">
        <f t="shared" si="10"/>
        <v/>
      </c>
      <c r="W17" s="52"/>
      <c r="X17" s="414">
        <f>IFERROR(VLOOKUP($C17,'Proposed Rates'!$B:$J,X$11,FALSE),0)</f>
        <v>0</v>
      </c>
      <c r="Y17" s="398">
        <f t="shared" si="11"/>
        <v>5000</v>
      </c>
      <c r="Z17" s="400">
        <f t="shared" si="12"/>
        <v>0</v>
      </c>
      <c r="AA17" s="128"/>
      <c r="AB17" s="401">
        <f t="shared" si="13"/>
        <v>0</v>
      </c>
      <c r="AC17" s="402" t="str">
        <f t="shared" si="14"/>
        <v/>
      </c>
      <c r="AD17" s="52"/>
      <c r="AE17" s="414">
        <f>IFERROR(VLOOKUP($C17,'Proposed Rates'!$B:$J,AE$11,FALSE),0)</f>
        <v>0</v>
      </c>
      <c r="AF17" s="398">
        <f t="shared" si="15"/>
        <v>5000</v>
      </c>
      <c r="AG17" s="400">
        <f t="shared" si="16"/>
        <v>0</v>
      </c>
      <c r="AH17" s="128"/>
      <c r="AI17" s="401">
        <f t="shared" si="17"/>
        <v>0</v>
      </c>
      <c r="AJ17" s="402" t="str">
        <f t="shared" si="18"/>
        <v/>
      </c>
      <c r="AK17" s="52"/>
      <c r="AL17" s="414">
        <f>IFERROR(VLOOKUP($C17,'Proposed Rates'!$B:$J,AL$11,FALSE),0)</f>
        <v>0</v>
      </c>
      <c r="AM17" s="398">
        <f t="shared" si="19"/>
        <v>5000</v>
      </c>
      <c r="AN17" s="400">
        <f t="shared" ref="AN17:AN18" si="23">AL17*AM17</f>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3"/>
        <v>0</v>
      </c>
      <c r="AO18" s="128"/>
      <c r="AP18" s="401">
        <f t="shared" si="21"/>
        <v>0</v>
      </c>
      <c r="AQ18" s="402" t="str">
        <f t="shared" si="22"/>
        <v/>
      </c>
      <c r="AR18" s="403"/>
    </row>
    <row r="19" spans="1:44"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5000</v>
      </c>
      <c r="H19" s="400">
        <f t="shared" si="2"/>
        <v>152.5</v>
      </c>
      <c r="I19" s="128"/>
      <c r="J19" s="414">
        <f>IFERROR(VLOOKUP($C19,'Proposed Rates'!$B:$J,J$11,FALSE),0)</f>
        <v>3.6400000000000002E-2</v>
      </c>
      <c r="K19" s="398">
        <f t="shared" si="3"/>
        <v>5000</v>
      </c>
      <c r="L19" s="400">
        <f t="shared" si="4"/>
        <v>182</v>
      </c>
      <c r="M19" s="128"/>
      <c r="N19" s="401">
        <f t="shared" si="5"/>
        <v>29.5</v>
      </c>
      <c r="O19" s="402">
        <f t="shared" si="6"/>
        <v>0.19344262295081968</v>
      </c>
      <c r="P19" s="52"/>
      <c r="Q19" s="414">
        <f>IFERROR(VLOOKUP($C19,'Proposed Rates'!$B:$J,Q$11,FALSE),0)</f>
        <v>3.9100000000000003E-2</v>
      </c>
      <c r="R19" s="398">
        <f t="shared" si="7"/>
        <v>5000</v>
      </c>
      <c r="S19" s="400">
        <f t="shared" si="8"/>
        <v>195.5</v>
      </c>
      <c r="T19" s="128"/>
      <c r="U19" s="401">
        <f t="shared" si="9"/>
        <v>13.5</v>
      </c>
      <c r="V19" s="402">
        <f t="shared" si="10"/>
        <v>7.4175824175824176E-2</v>
      </c>
      <c r="W19" s="52"/>
      <c r="X19" s="414">
        <f>IFERROR(VLOOKUP($C19,'Proposed Rates'!$B:$J,X$11,FALSE),0)</f>
        <v>4.2599999999999999E-2</v>
      </c>
      <c r="Y19" s="398">
        <f t="shared" si="11"/>
        <v>5000</v>
      </c>
      <c r="Z19" s="400">
        <f t="shared" si="12"/>
        <v>213</v>
      </c>
      <c r="AA19" s="128"/>
      <c r="AB19" s="401">
        <f t="shared" si="13"/>
        <v>17.5</v>
      </c>
      <c r="AC19" s="402">
        <f t="shared" si="14"/>
        <v>8.9514066496163683E-2</v>
      </c>
      <c r="AD19" s="52"/>
      <c r="AE19" s="414">
        <f>IFERROR(VLOOKUP($C19,'Proposed Rates'!$B:$J,AE$11,FALSE),0)</f>
        <v>4.53E-2</v>
      </c>
      <c r="AF19" s="398">
        <f t="shared" si="15"/>
        <v>5000</v>
      </c>
      <c r="AG19" s="400">
        <f t="shared" si="16"/>
        <v>226.5</v>
      </c>
      <c r="AH19" s="128"/>
      <c r="AI19" s="401">
        <f t="shared" si="17"/>
        <v>13.5</v>
      </c>
      <c r="AJ19" s="402">
        <f t="shared" si="18"/>
        <v>6.3380281690140844E-2</v>
      </c>
      <c r="AK19" s="52"/>
      <c r="AL19" s="414">
        <f>IFERROR(VLOOKUP($C19,'Proposed Rates'!$B:$J,AL$11,FALSE),0)</f>
        <v>4.7899999999999998E-2</v>
      </c>
      <c r="AM19" s="398">
        <f t="shared" si="19"/>
        <v>5000</v>
      </c>
      <c r="AN19" s="400">
        <f t="shared" ref="AN19:AN28" si="24">AM19*AL19</f>
        <v>239.5</v>
      </c>
      <c r="AO19" s="128"/>
      <c r="AP19" s="401">
        <f t="shared" si="21"/>
        <v>13</v>
      </c>
      <c r="AQ19" s="402">
        <f t="shared" si="22"/>
        <v>5.7395143487858721E-2</v>
      </c>
      <c r="AR19" s="403"/>
    </row>
    <row r="20" spans="1:44" ht="12" customHeight="1">
      <c r="A20" s="52"/>
      <c r="B20" s="320" t="s">
        <v>309</v>
      </c>
      <c r="C20" s="395" t="str">
        <f t="shared" si="0"/>
        <v>General Service &lt; 50 kW.Smart Meter Disposition Rider</v>
      </c>
      <c r="D20" s="396" t="s">
        <v>308</v>
      </c>
      <c r="E20" s="320"/>
      <c r="F20" s="414">
        <f>IFERROR(VLOOKUP($C20,'Proposed Rates'!$B:$J,F$11,FALSE),0)</f>
        <v>0</v>
      </c>
      <c r="G20" s="398">
        <f t="shared" si="1"/>
        <v>5000</v>
      </c>
      <c r="H20" s="400">
        <f t="shared" si="2"/>
        <v>0</v>
      </c>
      <c r="I20" s="128"/>
      <c r="J20" s="414">
        <f>IFERROR(VLOOKUP($C20,'Proposed Rates'!$B:$J,J$11,FALSE),0)</f>
        <v>0</v>
      </c>
      <c r="K20" s="398">
        <f t="shared" si="3"/>
        <v>5000</v>
      </c>
      <c r="L20" s="400">
        <f t="shared" si="4"/>
        <v>0</v>
      </c>
      <c r="M20" s="128"/>
      <c r="N20" s="401">
        <f t="shared" si="5"/>
        <v>0</v>
      </c>
      <c r="O20" s="402" t="str">
        <f t="shared" si="6"/>
        <v/>
      </c>
      <c r="P20" s="52"/>
      <c r="Q20" s="414">
        <f>IFERROR(VLOOKUP($C20,'Proposed Rates'!$B:$J,Q$11,FALSE),0)</f>
        <v>0</v>
      </c>
      <c r="R20" s="398">
        <f t="shared" si="7"/>
        <v>5000</v>
      </c>
      <c r="S20" s="400">
        <f t="shared" si="8"/>
        <v>0</v>
      </c>
      <c r="T20" s="128"/>
      <c r="U20" s="401">
        <f t="shared" si="9"/>
        <v>0</v>
      </c>
      <c r="V20" s="402" t="str">
        <f t="shared" si="10"/>
        <v/>
      </c>
      <c r="W20" s="52"/>
      <c r="X20" s="414">
        <f>IFERROR(VLOOKUP($C20,'Proposed Rates'!$B:$J,X$11,FALSE),0)</f>
        <v>0</v>
      </c>
      <c r="Y20" s="398">
        <f t="shared" si="11"/>
        <v>5000</v>
      </c>
      <c r="Z20" s="400">
        <f t="shared" si="12"/>
        <v>0</v>
      </c>
      <c r="AA20" s="128"/>
      <c r="AB20" s="401">
        <f t="shared" si="13"/>
        <v>0</v>
      </c>
      <c r="AC20" s="402" t="str">
        <f t="shared" si="14"/>
        <v/>
      </c>
      <c r="AD20" s="52"/>
      <c r="AE20" s="414">
        <f>IFERROR(VLOOKUP($C20,'Proposed Rates'!$B:$J,AE$11,FALSE),0)</f>
        <v>0</v>
      </c>
      <c r="AF20" s="398">
        <f t="shared" si="15"/>
        <v>5000</v>
      </c>
      <c r="AG20" s="400">
        <f t="shared" si="16"/>
        <v>0</v>
      </c>
      <c r="AH20" s="128"/>
      <c r="AI20" s="401">
        <f t="shared" si="17"/>
        <v>0</v>
      </c>
      <c r="AJ20" s="402" t="str">
        <f t="shared" si="18"/>
        <v/>
      </c>
      <c r="AK20" s="52"/>
      <c r="AL20" s="414">
        <f>IFERROR(VLOOKUP($C20,'Proposed Rates'!$B:$J,AL$11,FALSE),0)</f>
        <v>0</v>
      </c>
      <c r="AM20" s="398">
        <f t="shared" si="19"/>
        <v>5000</v>
      </c>
      <c r="AN20" s="400">
        <f t="shared" si="24"/>
        <v>0</v>
      </c>
      <c r="AO20" s="128"/>
      <c r="AP20" s="401">
        <f t="shared" si="21"/>
        <v>0</v>
      </c>
      <c r="AQ20" s="402" t="str">
        <f t="shared" si="22"/>
        <v/>
      </c>
      <c r="AR20" s="403"/>
    </row>
    <row r="21" spans="1:44" ht="12" customHeight="1">
      <c r="A21" s="52"/>
      <c r="B21" s="320" t="s">
        <v>241</v>
      </c>
      <c r="C21" s="395" t="str">
        <f t="shared" si="0"/>
        <v>General Service &lt; 50 kW.LRAM Rate Rider</v>
      </c>
      <c r="D21" s="396" t="s">
        <v>308</v>
      </c>
      <c r="E21" s="320"/>
      <c r="F21" s="414">
        <f>'Proposed Rates'!E78+'Proposed Rates'!E91</f>
        <v>6.9999999999999999E-4</v>
      </c>
      <c r="G21" s="398">
        <f t="shared" si="1"/>
        <v>5000</v>
      </c>
      <c r="H21" s="400">
        <f t="shared" si="2"/>
        <v>3.5</v>
      </c>
      <c r="I21" s="128"/>
      <c r="J21" s="414">
        <f>'Proposed Rates'!F78+'Proposed Rates'!F91</f>
        <v>4.0000000000000002E-4</v>
      </c>
      <c r="K21" s="398">
        <f t="shared" si="3"/>
        <v>5000</v>
      </c>
      <c r="L21" s="400">
        <f t="shared" si="4"/>
        <v>2</v>
      </c>
      <c r="M21" s="128"/>
      <c r="N21" s="401">
        <f t="shared" si="5"/>
        <v>-1.5</v>
      </c>
      <c r="O21" s="402">
        <f t="shared" si="6"/>
        <v>-0.42857142857142855</v>
      </c>
      <c r="P21" s="52"/>
      <c r="Q21" s="414">
        <f>'Proposed Rates'!G78+'Proposed Rates'!G91</f>
        <v>0</v>
      </c>
      <c r="R21" s="398">
        <f t="shared" si="7"/>
        <v>5000</v>
      </c>
      <c r="S21" s="400">
        <f t="shared" si="8"/>
        <v>0</v>
      </c>
      <c r="T21" s="128"/>
      <c r="U21" s="401">
        <f t="shared" si="9"/>
        <v>-2</v>
      </c>
      <c r="V21" s="402">
        <f t="shared" si="10"/>
        <v>-1</v>
      </c>
      <c r="W21" s="52"/>
      <c r="X21" s="414">
        <f>IFERROR(VLOOKUP($C21,'Proposed Rates'!$B:$J,X$11,FALSE),0)</f>
        <v>0</v>
      </c>
      <c r="Y21" s="398">
        <f t="shared" si="11"/>
        <v>5000</v>
      </c>
      <c r="Z21" s="400">
        <f t="shared" si="12"/>
        <v>0</v>
      </c>
      <c r="AA21" s="128"/>
      <c r="AB21" s="401">
        <f t="shared" si="13"/>
        <v>0</v>
      </c>
      <c r="AC21" s="402" t="str">
        <f t="shared" si="14"/>
        <v/>
      </c>
      <c r="AD21" s="52"/>
      <c r="AE21" s="414">
        <f>IFERROR(VLOOKUP($C21,'Proposed Rates'!$B:$J,AE$11,FALSE),0)</f>
        <v>0</v>
      </c>
      <c r="AF21" s="398">
        <f t="shared" si="15"/>
        <v>5000</v>
      </c>
      <c r="AG21" s="400">
        <f t="shared" si="16"/>
        <v>0</v>
      </c>
      <c r="AH21" s="128"/>
      <c r="AI21" s="401">
        <f t="shared" si="17"/>
        <v>0</v>
      </c>
      <c r="AJ21" s="402" t="str">
        <f t="shared" si="18"/>
        <v/>
      </c>
      <c r="AK21" s="52"/>
      <c r="AL21" s="414">
        <f>IFERROR(VLOOKUP($C21,'Proposed Rates'!$B:$J,AL$11,FALSE),0)</f>
        <v>0</v>
      </c>
      <c r="AM21" s="398">
        <f t="shared" si="19"/>
        <v>5000</v>
      </c>
      <c r="AN21" s="400">
        <f t="shared" si="24"/>
        <v>0</v>
      </c>
      <c r="AO21" s="128"/>
      <c r="AP21" s="401">
        <f t="shared" si="21"/>
        <v>0</v>
      </c>
      <c r="AQ21" s="402" t="str">
        <f t="shared" si="22"/>
        <v/>
      </c>
      <c r="AR21" s="403"/>
    </row>
    <row r="22" spans="1:44"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5000</v>
      </c>
      <c r="H22" s="400">
        <f t="shared" si="2"/>
        <v>0</v>
      </c>
      <c r="I22" s="128"/>
      <c r="J22" s="414">
        <f>IFERROR(VLOOKUP($C22,'Proposed Rates'!$B:$J,J$11,FALSE),0)</f>
        <v>-5.9999999999999995E-4</v>
      </c>
      <c r="K22" s="398">
        <f t="shared" si="3"/>
        <v>5000</v>
      </c>
      <c r="L22" s="400">
        <f t="shared" si="4"/>
        <v>-2.9999999999999996</v>
      </c>
      <c r="M22" s="128"/>
      <c r="N22" s="401">
        <f t="shared" si="5"/>
        <v>-2.9999999999999996</v>
      </c>
      <c r="O22" s="402" t="str">
        <f t="shared" si="6"/>
        <v/>
      </c>
      <c r="P22" s="52"/>
      <c r="Q22" s="414">
        <f>IFERROR(VLOOKUP($C22,'Proposed Rates'!$B:$J,Q$11,FALSE),0)</f>
        <v>0</v>
      </c>
      <c r="R22" s="398">
        <f t="shared" si="7"/>
        <v>5000</v>
      </c>
      <c r="S22" s="400">
        <f t="shared" si="8"/>
        <v>0</v>
      </c>
      <c r="T22" s="128"/>
      <c r="U22" s="401">
        <f t="shared" si="9"/>
        <v>2.9999999999999996</v>
      </c>
      <c r="V22" s="402">
        <f t="shared" si="10"/>
        <v>-1</v>
      </c>
      <c r="W22" s="52"/>
      <c r="X22" s="414">
        <f>IFERROR(VLOOKUP($C22,'Proposed Rates'!$B:$J,X$11,FALSE),0)</f>
        <v>0</v>
      </c>
      <c r="Y22" s="398">
        <f t="shared" si="11"/>
        <v>5000</v>
      </c>
      <c r="Z22" s="400">
        <f t="shared" si="12"/>
        <v>0</v>
      </c>
      <c r="AA22" s="128"/>
      <c r="AB22" s="401">
        <f t="shared" si="13"/>
        <v>0</v>
      </c>
      <c r="AC22" s="402" t="str">
        <f t="shared" si="14"/>
        <v/>
      </c>
      <c r="AD22" s="52"/>
      <c r="AE22" s="414">
        <f>IFERROR(VLOOKUP($C22,'Proposed Rates'!$B:$J,AE$11,FALSE),0)</f>
        <v>0</v>
      </c>
      <c r="AF22" s="398">
        <f t="shared" si="15"/>
        <v>5000</v>
      </c>
      <c r="AG22" s="400">
        <f t="shared" si="16"/>
        <v>0</v>
      </c>
      <c r="AH22" s="128"/>
      <c r="AI22" s="401">
        <f t="shared" si="17"/>
        <v>0</v>
      </c>
      <c r="AJ22" s="402" t="str">
        <f t="shared" si="18"/>
        <v/>
      </c>
      <c r="AK22" s="52"/>
      <c r="AL22" s="414">
        <f>IFERROR(VLOOKUP($C22,'Proposed Rates'!$B:$J,AL$11,FALSE),0)</f>
        <v>0</v>
      </c>
      <c r="AM22" s="398">
        <f t="shared" si="19"/>
        <v>5000</v>
      </c>
      <c r="AN22" s="400">
        <f t="shared" si="24"/>
        <v>0</v>
      </c>
      <c r="AO22" s="128"/>
      <c r="AP22" s="401">
        <f t="shared" si="21"/>
        <v>0</v>
      </c>
      <c r="AQ22" s="402" t="str">
        <f t="shared" si="22"/>
        <v/>
      </c>
      <c r="AR22" s="403"/>
    </row>
    <row r="23" spans="1:44"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4"/>
        <v>0</v>
      </c>
      <c r="AO23" s="128"/>
      <c r="AP23" s="401">
        <f t="shared" si="21"/>
        <v>0</v>
      </c>
      <c r="AQ23" s="402" t="str">
        <f t="shared" si="22"/>
        <v/>
      </c>
      <c r="AR23" s="403"/>
    </row>
    <row r="24" spans="1:44"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4"/>
        <v>0</v>
      </c>
      <c r="AO24" s="128"/>
      <c r="AP24" s="401">
        <f t="shared" si="21"/>
        <v>0</v>
      </c>
      <c r="AQ24" s="402" t="str">
        <f t="shared" si="22"/>
        <v/>
      </c>
      <c r="AR24" s="403"/>
    </row>
    <row r="25" spans="1:44"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4"/>
        <v>0</v>
      </c>
      <c r="AO25" s="128"/>
      <c r="AP25" s="401">
        <f t="shared" si="21"/>
        <v>0</v>
      </c>
      <c r="AQ25" s="402" t="str">
        <f t="shared" si="22"/>
        <v/>
      </c>
      <c r="AR25" s="403"/>
    </row>
    <row r="26" spans="1:44"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4"/>
        <v>0</v>
      </c>
      <c r="AO26" s="128"/>
      <c r="AP26" s="401">
        <f t="shared" si="21"/>
        <v>0</v>
      </c>
      <c r="AQ26" s="402" t="str">
        <f t="shared" si="22"/>
        <v/>
      </c>
      <c r="AR26" s="403"/>
    </row>
    <row r="27" spans="1:44"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4"/>
        <v>0</v>
      </c>
      <c r="AO27" s="128"/>
      <c r="AP27" s="401">
        <f t="shared" si="21"/>
        <v>0</v>
      </c>
      <c r="AQ27" s="402" t="str">
        <f t="shared" si="22"/>
        <v/>
      </c>
      <c r="AR27" s="403"/>
    </row>
    <row r="28" spans="1:44"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4"/>
        <v>0</v>
      </c>
      <c r="AO28" s="128"/>
      <c r="AP28" s="401">
        <f t="shared" si="21"/>
        <v>0</v>
      </c>
      <c r="AQ28" s="402" t="str">
        <f t="shared" si="22"/>
        <v/>
      </c>
      <c r="AR28" s="403"/>
    </row>
    <row r="29" spans="1:44" ht="12" customHeight="1">
      <c r="A29" s="306"/>
      <c r="B29" s="405" t="s">
        <v>310</v>
      </c>
      <c r="C29" s="406"/>
      <c r="D29" s="406"/>
      <c r="E29" s="406"/>
      <c r="F29" s="407"/>
      <c r="G29" s="500"/>
      <c r="H29" s="409">
        <f>SUM(H15:H28)</f>
        <v>179.53</v>
      </c>
      <c r="I29" s="410"/>
      <c r="J29" s="407"/>
      <c r="K29" s="500"/>
      <c r="L29" s="409">
        <f>SUM(L15:L28)</f>
        <v>209.07999999999998</v>
      </c>
      <c r="M29" s="410"/>
      <c r="N29" s="411">
        <f t="shared" si="5"/>
        <v>29.549999999999983</v>
      </c>
      <c r="O29" s="412">
        <f t="shared" si="6"/>
        <v>0.16459644627638825</v>
      </c>
      <c r="P29" s="306"/>
      <c r="Q29" s="407"/>
      <c r="R29" s="500"/>
      <c r="S29" s="409">
        <f>SUM(S15:S28)</f>
        <v>225.7</v>
      </c>
      <c r="T29" s="410"/>
      <c r="U29" s="411">
        <f t="shared" si="9"/>
        <v>16.620000000000005</v>
      </c>
      <c r="V29" s="412">
        <f t="shared" si="10"/>
        <v>7.9491103883680914E-2</v>
      </c>
      <c r="W29" s="306"/>
      <c r="X29" s="407"/>
      <c r="Y29" s="500"/>
      <c r="Z29" s="409">
        <f>SUM(Z15:Z28)</f>
        <v>245.9</v>
      </c>
      <c r="AA29" s="410"/>
      <c r="AB29" s="411">
        <f t="shared" si="13"/>
        <v>20.200000000000017</v>
      </c>
      <c r="AC29" s="412">
        <f t="shared" si="14"/>
        <v>8.9499335400974822E-2</v>
      </c>
      <c r="AD29" s="306"/>
      <c r="AE29" s="407"/>
      <c r="AF29" s="500"/>
      <c r="AG29" s="409">
        <f>SUM(AG15:AG28)</f>
        <v>261.5</v>
      </c>
      <c r="AH29" s="410"/>
      <c r="AI29" s="411">
        <f t="shared" si="17"/>
        <v>15.599999999999994</v>
      </c>
      <c r="AJ29" s="412">
        <f t="shared" si="18"/>
        <v>6.3440422936152888E-2</v>
      </c>
      <c r="AK29" s="306"/>
      <c r="AL29" s="407"/>
      <c r="AM29" s="500"/>
      <c r="AN29" s="409">
        <f>SUM(AN15:AN28)</f>
        <v>276.5</v>
      </c>
      <c r="AO29" s="410"/>
      <c r="AP29" s="411">
        <f t="shared" si="21"/>
        <v>15</v>
      </c>
      <c r="AQ29" s="412">
        <f t="shared" si="22"/>
        <v>5.736137667304015E-2</v>
      </c>
      <c r="AR29" s="413"/>
    </row>
    <row r="30" spans="1:44" ht="12" customHeight="1">
      <c r="A30" s="52"/>
      <c r="B30" s="404" t="s">
        <v>234</v>
      </c>
      <c r="C30" s="395" t="str">
        <f t="shared" ref="C30:C36" si="25">D$6&amp;"."&amp;B30</f>
        <v>General Service &lt; 50 kW.DVA Disposition Rate Rider Group 1 -2025</v>
      </c>
      <c r="D30" s="396" t="s">
        <v>308</v>
      </c>
      <c r="E30" s="320"/>
      <c r="F30" s="414">
        <f>IFERROR(VLOOKUP($C30,'Proposed Rates'!$B:$J,F$11,FALSE),0)</f>
        <v>0</v>
      </c>
      <c r="G30" s="398">
        <f t="shared" ref="G30:G33" si="26">IF($D30="Monthly",1,IF($D30="per KWH",$F$10,0))</f>
        <v>5000</v>
      </c>
      <c r="H30" s="400">
        <f t="shared" ref="H30:H36" si="27">G30*F30</f>
        <v>0</v>
      </c>
      <c r="I30" s="128"/>
      <c r="J30" s="414">
        <f>IFERROR(VLOOKUP($C30,'Proposed Rates'!$B:$J,J$11,FALSE),0)</f>
        <v>-5.0000000000000001E-4</v>
      </c>
      <c r="K30" s="398">
        <f t="shared" ref="K30:K33" si="28">IF($D30="Monthly",1,IF($D30="per KWH",$F$10,0))</f>
        <v>5000</v>
      </c>
      <c r="L30" s="400">
        <f t="shared" ref="L30:L36" si="29">K30*J30</f>
        <v>-2.5</v>
      </c>
      <c r="M30" s="128"/>
      <c r="N30" s="401">
        <f t="shared" si="5"/>
        <v>-2.5</v>
      </c>
      <c r="O30" s="402" t="str">
        <f t="shared" si="6"/>
        <v/>
      </c>
      <c r="P30" s="52"/>
      <c r="Q30" s="414">
        <f>IFERROR(VLOOKUP($C30,'Proposed Rates'!$B:$J,Q$11,FALSE),0)</f>
        <v>0</v>
      </c>
      <c r="R30" s="398">
        <f t="shared" ref="R30:R33" si="30">IF($D30="Monthly",1,IF($D30="per KWH",$F$10,0))</f>
        <v>5000</v>
      </c>
      <c r="S30" s="400">
        <f t="shared" ref="S30:S36" si="31">R30*Q30</f>
        <v>0</v>
      </c>
      <c r="T30" s="128"/>
      <c r="U30" s="401">
        <f t="shared" si="9"/>
        <v>2.5</v>
      </c>
      <c r="V30" s="402">
        <f t="shared" si="10"/>
        <v>-1</v>
      </c>
      <c r="W30" s="52"/>
      <c r="X30" s="414">
        <f>IFERROR(VLOOKUP($C30,'Proposed Rates'!$B:$J,X$11,FALSE),0)</f>
        <v>0</v>
      </c>
      <c r="Y30" s="398">
        <f t="shared" ref="Y30:Y33" si="32">IF($D30="Monthly",1,IF($D30="per KWH",$F$10,0))</f>
        <v>5000</v>
      </c>
      <c r="Z30" s="400">
        <f t="shared" ref="Z30:Z36" si="33">Y30*X30</f>
        <v>0</v>
      </c>
      <c r="AA30" s="128"/>
      <c r="AB30" s="401">
        <f t="shared" si="13"/>
        <v>0</v>
      </c>
      <c r="AC30" s="402" t="str">
        <f t="shared" si="14"/>
        <v/>
      </c>
      <c r="AD30" s="52"/>
      <c r="AE30" s="414">
        <f>IFERROR(VLOOKUP($C30,'Proposed Rates'!$B:$J,AE$11,FALSE),0)</f>
        <v>0</v>
      </c>
      <c r="AF30" s="398">
        <f t="shared" ref="AF30:AF33" si="34">IF($D30="Monthly",1,IF($D30="per KWH",$F$10,0))</f>
        <v>5000</v>
      </c>
      <c r="AG30" s="400">
        <f t="shared" ref="AG30:AG36" si="35">AF30*AE30</f>
        <v>0</v>
      </c>
      <c r="AH30" s="128"/>
      <c r="AI30" s="401">
        <f t="shared" si="17"/>
        <v>0</v>
      </c>
      <c r="AJ30" s="402" t="str">
        <f t="shared" si="18"/>
        <v/>
      </c>
      <c r="AK30" s="52"/>
      <c r="AL30" s="414">
        <f>IFERROR(VLOOKUP($C30,'Proposed Rates'!$B:$J,AL$11,FALSE),0)</f>
        <v>0</v>
      </c>
      <c r="AM30" s="398">
        <f t="shared" ref="AM30:AM33" si="36">IF($D30="Monthly",1,IF($D30="per KWH",$F$10,0))</f>
        <v>5000</v>
      </c>
      <c r="AN30" s="400">
        <f t="shared" ref="AN30:AN36" si="37">AM30*AL30</f>
        <v>0</v>
      </c>
      <c r="AO30" s="128"/>
      <c r="AP30" s="401">
        <f t="shared" si="21"/>
        <v>0</v>
      </c>
      <c r="AQ30" s="402" t="str">
        <f t="shared" si="22"/>
        <v/>
      </c>
      <c r="AR30" s="403"/>
    </row>
    <row r="31" spans="1:44" ht="12" customHeight="1">
      <c r="A31" s="52"/>
      <c r="B31" s="404" t="s">
        <v>236</v>
      </c>
      <c r="C31" s="395" t="str">
        <f t="shared" si="25"/>
        <v>General Service &lt; 50 kW.DVA Disposition Rate Rider Group 1 - 2024</v>
      </c>
      <c r="D31" s="396" t="s">
        <v>308</v>
      </c>
      <c r="E31" s="320"/>
      <c r="F31" s="414">
        <f>IFERROR(VLOOKUP($C31,'Proposed Rates'!$B:$J,F$11,FALSE),0)</f>
        <v>0</v>
      </c>
      <c r="G31" s="398">
        <f t="shared" si="26"/>
        <v>5000</v>
      </c>
      <c r="H31" s="400">
        <f t="shared" si="27"/>
        <v>0</v>
      </c>
      <c r="I31" s="485"/>
      <c r="J31" s="414">
        <f>IFERROR(VLOOKUP($C31,'Proposed Rates'!$B:$J,J$11,FALSE),0)</f>
        <v>0</v>
      </c>
      <c r="K31" s="398">
        <f t="shared" si="28"/>
        <v>5000</v>
      </c>
      <c r="L31" s="400">
        <f t="shared" si="29"/>
        <v>0</v>
      </c>
      <c r="M31" s="417"/>
      <c r="N31" s="401">
        <f t="shared" si="5"/>
        <v>0</v>
      </c>
      <c r="O31" s="402" t="str">
        <f t="shared" si="6"/>
        <v/>
      </c>
      <c r="P31" s="52"/>
      <c r="Q31" s="414">
        <f>IFERROR(VLOOKUP($C31,'Proposed Rates'!$B:$J,Q$11,FALSE),0)</f>
        <v>0</v>
      </c>
      <c r="R31" s="398">
        <f t="shared" si="30"/>
        <v>5000</v>
      </c>
      <c r="S31" s="400">
        <f t="shared" si="31"/>
        <v>0</v>
      </c>
      <c r="T31" s="417"/>
      <c r="U31" s="401">
        <f t="shared" si="9"/>
        <v>0</v>
      </c>
      <c r="V31" s="402" t="str">
        <f t="shared" si="10"/>
        <v/>
      </c>
      <c r="W31" s="52"/>
      <c r="X31" s="414">
        <f>IFERROR(VLOOKUP($C31,'Proposed Rates'!$B:$J,X$11,FALSE),0)</f>
        <v>0</v>
      </c>
      <c r="Y31" s="398">
        <f t="shared" si="32"/>
        <v>5000</v>
      </c>
      <c r="Z31" s="400">
        <f t="shared" si="33"/>
        <v>0</v>
      </c>
      <c r="AA31" s="417"/>
      <c r="AB31" s="401">
        <f t="shared" si="13"/>
        <v>0</v>
      </c>
      <c r="AC31" s="402" t="str">
        <f t="shared" si="14"/>
        <v/>
      </c>
      <c r="AD31" s="52"/>
      <c r="AE31" s="414">
        <f>IFERROR(VLOOKUP($C31,'Proposed Rates'!$B:$J,AE$11,FALSE),0)</f>
        <v>0</v>
      </c>
      <c r="AF31" s="398">
        <f t="shared" si="34"/>
        <v>5000</v>
      </c>
      <c r="AG31" s="400">
        <f t="shared" si="35"/>
        <v>0</v>
      </c>
      <c r="AH31" s="417"/>
      <c r="AI31" s="401">
        <f t="shared" si="17"/>
        <v>0</v>
      </c>
      <c r="AJ31" s="402" t="str">
        <f t="shared" si="18"/>
        <v/>
      </c>
      <c r="AK31" s="52"/>
      <c r="AL31" s="414">
        <f>IFERROR(VLOOKUP($C31,'Proposed Rates'!$B:$J,AL$11,FALSE),0)</f>
        <v>0</v>
      </c>
      <c r="AM31" s="398">
        <f t="shared" si="36"/>
        <v>5000</v>
      </c>
      <c r="AN31" s="400">
        <f t="shared" si="37"/>
        <v>0</v>
      </c>
      <c r="AO31" s="417"/>
      <c r="AP31" s="401">
        <f t="shared" si="21"/>
        <v>0</v>
      </c>
      <c r="AQ31" s="402" t="str">
        <f t="shared" si="22"/>
        <v/>
      </c>
      <c r="AR31" s="403"/>
    </row>
    <row r="32" spans="1:44" ht="12" customHeight="1">
      <c r="A32" s="52"/>
      <c r="B32" s="404" t="s">
        <v>244</v>
      </c>
      <c r="C32" s="395" t="str">
        <f t="shared" si="25"/>
        <v>General Service &lt; 50 kW.CBR Class B Rate Riders</v>
      </c>
      <c r="D32" s="396" t="s">
        <v>308</v>
      </c>
      <c r="E32" s="320"/>
      <c r="F32" s="414">
        <f>IFERROR(VLOOKUP($C32,'Proposed Rates'!$B:$J,F$11,FALSE),0)</f>
        <v>2.0000000000000001E-4</v>
      </c>
      <c r="G32" s="398">
        <f t="shared" si="26"/>
        <v>5000</v>
      </c>
      <c r="H32" s="400">
        <f t="shared" si="27"/>
        <v>1</v>
      </c>
      <c r="I32" s="485"/>
      <c r="J32" s="414">
        <f>IFERROR(VLOOKUP($C32,'Proposed Rates'!$B:$J,J$11,FALSE),0)</f>
        <v>4.0000000000000002E-4</v>
      </c>
      <c r="K32" s="398">
        <f t="shared" si="28"/>
        <v>5000</v>
      </c>
      <c r="L32" s="400">
        <f t="shared" si="29"/>
        <v>2</v>
      </c>
      <c r="M32" s="417"/>
      <c r="N32" s="401">
        <f t="shared" si="5"/>
        <v>1</v>
      </c>
      <c r="O32" s="402">
        <f t="shared" si="6"/>
        <v>1</v>
      </c>
      <c r="P32" s="52"/>
      <c r="Q32" s="414">
        <f>IFERROR(VLOOKUP($C32,'Proposed Rates'!$B:$J,Q$11,FALSE),0)</f>
        <v>0</v>
      </c>
      <c r="R32" s="398">
        <f t="shared" si="30"/>
        <v>5000</v>
      </c>
      <c r="S32" s="400">
        <f t="shared" si="31"/>
        <v>0</v>
      </c>
      <c r="T32" s="417"/>
      <c r="U32" s="401">
        <f t="shared" si="9"/>
        <v>-2</v>
      </c>
      <c r="V32" s="402">
        <f t="shared" si="10"/>
        <v>-1</v>
      </c>
      <c r="W32" s="52"/>
      <c r="X32" s="414">
        <f>IFERROR(VLOOKUP($C32,'Proposed Rates'!$B:$J,X$11,FALSE),0)</f>
        <v>0</v>
      </c>
      <c r="Y32" s="398">
        <f t="shared" si="32"/>
        <v>5000</v>
      </c>
      <c r="Z32" s="400">
        <f t="shared" si="33"/>
        <v>0</v>
      </c>
      <c r="AA32" s="417"/>
      <c r="AB32" s="401">
        <f t="shared" si="13"/>
        <v>0</v>
      </c>
      <c r="AC32" s="402" t="str">
        <f t="shared" si="14"/>
        <v/>
      </c>
      <c r="AD32" s="52"/>
      <c r="AE32" s="414">
        <f>IFERROR(VLOOKUP($C32,'Proposed Rates'!$B:$J,AE$11,FALSE),0)</f>
        <v>0</v>
      </c>
      <c r="AF32" s="398">
        <f t="shared" si="34"/>
        <v>5000</v>
      </c>
      <c r="AG32" s="400">
        <f t="shared" si="35"/>
        <v>0</v>
      </c>
      <c r="AH32" s="417"/>
      <c r="AI32" s="401">
        <f t="shared" si="17"/>
        <v>0</v>
      </c>
      <c r="AJ32" s="402" t="str">
        <f t="shared" si="18"/>
        <v/>
      </c>
      <c r="AK32" s="52"/>
      <c r="AL32" s="414">
        <f>IFERROR(VLOOKUP($C32,'Proposed Rates'!$B:$J,AL$11,FALSE),0)</f>
        <v>0</v>
      </c>
      <c r="AM32" s="398">
        <f t="shared" si="36"/>
        <v>5000</v>
      </c>
      <c r="AN32" s="400">
        <f t="shared" si="37"/>
        <v>0</v>
      </c>
      <c r="AO32" s="417"/>
      <c r="AP32" s="401">
        <f t="shared" si="21"/>
        <v>0</v>
      </c>
      <c r="AQ32" s="402" t="str">
        <f t="shared" si="22"/>
        <v/>
      </c>
      <c r="AR32" s="403"/>
    </row>
    <row r="33" spans="1:44" ht="12" customHeight="1">
      <c r="A33" s="52"/>
      <c r="B33" s="404" t="s">
        <v>311</v>
      </c>
      <c r="C33" s="395" t="str">
        <f t="shared" si="25"/>
        <v>General Service &lt; 50 kW.GA Disposition Rate Rider-NonRPP</v>
      </c>
      <c r="D33" s="396" t="s">
        <v>308</v>
      </c>
      <c r="E33" s="320"/>
      <c r="F33" s="414">
        <f>IFERROR(VLOOKUP($C33,'Proposed Rates'!$B:$J,F$11,FALSE),0)</f>
        <v>0</v>
      </c>
      <c r="G33" s="398">
        <f t="shared" si="26"/>
        <v>5000</v>
      </c>
      <c r="H33" s="400">
        <f t="shared" si="27"/>
        <v>0</v>
      </c>
      <c r="I33" s="485"/>
      <c r="J33" s="414">
        <f>IFERROR(VLOOKUP($C33,'Proposed Rates'!$B:$J,J$11,FALSE),0)</f>
        <v>0</v>
      </c>
      <c r="K33" s="398">
        <f t="shared" si="28"/>
        <v>5000</v>
      </c>
      <c r="L33" s="400">
        <f t="shared" si="29"/>
        <v>0</v>
      </c>
      <c r="M33" s="417"/>
      <c r="N33" s="401">
        <f t="shared" si="5"/>
        <v>0</v>
      </c>
      <c r="O33" s="402" t="str">
        <f t="shared" si="6"/>
        <v/>
      </c>
      <c r="P33" s="52"/>
      <c r="Q33" s="414">
        <f>IFERROR(VLOOKUP($C33,'Proposed Rates'!$B:$J,Q$11,FALSE),0)</f>
        <v>0</v>
      </c>
      <c r="R33" s="398">
        <f t="shared" si="30"/>
        <v>5000</v>
      </c>
      <c r="S33" s="400">
        <f t="shared" si="31"/>
        <v>0</v>
      </c>
      <c r="T33" s="417"/>
      <c r="U33" s="401">
        <f t="shared" si="9"/>
        <v>0</v>
      </c>
      <c r="V33" s="402" t="str">
        <f t="shared" si="10"/>
        <v/>
      </c>
      <c r="W33" s="52"/>
      <c r="X33" s="414">
        <f>IFERROR(VLOOKUP($C33,'Proposed Rates'!$B:$J,X$11,FALSE),0)</f>
        <v>0</v>
      </c>
      <c r="Y33" s="398">
        <f t="shared" si="32"/>
        <v>5000</v>
      </c>
      <c r="Z33" s="400">
        <f t="shared" si="33"/>
        <v>0</v>
      </c>
      <c r="AA33" s="417"/>
      <c r="AB33" s="401">
        <f t="shared" si="13"/>
        <v>0</v>
      </c>
      <c r="AC33" s="402" t="str">
        <f t="shared" si="14"/>
        <v/>
      </c>
      <c r="AD33" s="52"/>
      <c r="AE33" s="414">
        <f>IFERROR(VLOOKUP($C33,'Proposed Rates'!$B:$J,AE$11,FALSE),0)</f>
        <v>0</v>
      </c>
      <c r="AF33" s="398">
        <f t="shared" si="34"/>
        <v>5000</v>
      </c>
      <c r="AG33" s="400">
        <f t="shared" si="35"/>
        <v>0</v>
      </c>
      <c r="AH33" s="417"/>
      <c r="AI33" s="401">
        <f t="shared" si="17"/>
        <v>0</v>
      </c>
      <c r="AJ33" s="402" t="str">
        <f t="shared" si="18"/>
        <v/>
      </c>
      <c r="AK33" s="52"/>
      <c r="AL33" s="414">
        <f>IFERROR(VLOOKUP($C33,'Proposed Rates'!$B:$J,AL$11,FALSE),0)</f>
        <v>0</v>
      </c>
      <c r="AM33" s="398">
        <f t="shared" si="36"/>
        <v>5000</v>
      </c>
      <c r="AN33" s="400">
        <f t="shared" si="37"/>
        <v>0</v>
      </c>
      <c r="AO33" s="417"/>
      <c r="AP33" s="401">
        <f t="shared" si="21"/>
        <v>0</v>
      </c>
      <c r="AQ33" s="402" t="str">
        <f t="shared" si="22"/>
        <v/>
      </c>
      <c r="AR33" s="403"/>
    </row>
    <row r="34" spans="1:44" ht="12" customHeight="1">
      <c r="A34" s="52"/>
      <c r="B34" s="320" t="s">
        <v>269</v>
      </c>
      <c r="C34" s="395" t="str">
        <f t="shared" si="25"/>
        <v>General Service &lt; 50 kW.Low Voltage Service Charge</v>
      </c>
      <c r="D34" s="396" t="s">
        <v>308</v>
      </c>
      <c r="E34" s="320"/>
      <c r="F34" s="418">
        <f>IFERROR(VLOOKUP($C34,'Proposed Rates'!$B:$J,F$11,FALSE),0)</f>
        <v>5.0000000000000002E-5</v>
      </c>
      <c r="G34" s="419">
        <f>$F$10*(1+F$63)</f>
        <v>5169</v>
      </c>
      <c r="H34" s="400">
        <f t="shared" si="27"/>
        <v>0.25845000000000001</v>
      </c>
      <c r="I34" s="128"/>
      <c r="J34" s="418">
        <f>IFERROR(VLOOKUP($C34,'Proposed Rates'!$B:$J,J$11,FALSE),0)</f>
        <v>6.0000000000000002E-5</v>
      </c>
      <c r="K34" s="419">
        <f>$F$10*(1+J$63)</f>
        <v>5165.9999999999991</v>
      </c>
      <c r="L34" s="400">
        <f t="shared" si="29"/>
        <v>0.30995999999999996</v>
      </c>
      <c r="M34" s="128"/>
      <c r="N34" s="401">
        <f t="shared" si="5"/>
        <v>5.1509999999999945E-2</v>
      </c>
      <c r="O34" s="402">
        <f t="shared" si="6"/>
        <v>0.19930354033662195</v>
      </c>
      <c r="P34" s="52"/>
      <c r="Q34" s="418">
        <f>IFERROR(VLOOKUP($C34,'Proposed Rates'!$B:$J,Q$11,FALSE),0)</f>
        <v>6.0000000000000002E-5</v>
      </c>
      <c r="R34" s="419">
        <f>$F$10*(1+Q$63)</f>
        <v>5165.9999999999991</v>
      </c>
      <c r="S34" s="400">
        <f t="shared" si="31"/>
        <v>0.30995999999999996</v>
      </c>
      <c r="T34" s="128"/>
      <c r="U34" s="401">
        <f t="shared" si="9"/>
        <v>0</v>
      </c>
      <c r="V34" s="402">
        <f t="shared" si="10"/>
        <v>0</v>
      </c>
      <c r="W34" s="52"/>
      <c r="X34" s="418">
        <f>IFERROR(VLOOKUP($C34,'Proposed Rates'!$B:$J,X$11,FALSE),0)</f>
        <v>6.0000000000000002E-5</v>
      </c>
      <c r="Y34" s="419">
        <f>$F$10*(1+X$63)</f>
        <v>5165.9999999999991</v>
      </c>
      <c r="Z34" s="400">
        <f t="shared" si="33"/>
        <v>0.30995999999999996</v>
      </c>
      <c r="AA34" s="128"/>
      <c r="AB34" s="401">
        <f t="shared" si="13"/>
        <v>0</v>
      </c>
      <c r="AC34" s="402">
        <f t="shared" si="14"/>
        <v>0</v>
      </c>
      <c r="AD34" s="52"/>
      <c r="AE34" s="418">
        <f>IFERROR(VLOOKUP($C34,'Proposed Rates'!$B:$J,AE$11,FALSE),0)</f>
        <v>6.0000000000000002E-5</v>
      </c>
      <c r="AF34" s="419">
        <f>$F$10*(1+AE$63)</f>
        <v>5165.9999999999991</v>
      </c>
      <c r="AG34" s="400">
        <f t="shared" si="35"/>
        <v>0.30995999999999996</v>
      </c>
      <c r="AH34" s="128"/>
      <c r="AI34" s="401">
        <f t="shared" si="17"/>
        <v>0</v>
      </c>
      <c r="AJ34" s="402">
        <f t="shared" si="18"/>
        <v>0</v>
      </c>
      <c r="AK34" s="52"/>
      <c r="AL34" s="418">
        <f>IFERROR(VLOOKUP($C34,'Proposed Rates'!$B:$J,AL$11,FALSE),0)</f>
        <v>6.0000000000000002E-5</v>
      </c>
      <c r="AM34" s="419">
        <f>$F$10*(1+AL$63)</f>
        <v>5165.9999999999991</v>
      </c>
      <c r="AN34" s="400">
        <f t="shared" si="37"/>
        <v>0.30995999999999996</v>
      </c>
      <c r="AO34" s="128"/>
      <c r="AP34" s="401">
        <f t="shared" si="21"/>
        <v>0</v>
      </c>
      <c r="AQ34" s="402">
        <f t="shared" si="22"/>
        <v>0</v>
      </c>
      <c r="AR34" s="403"/>
    </row>
    <row r="35" spans="1:44" ht="12" customHeight="1">
      <c r="A35" s="52"/>
      <c r="B35" s="320" t="s">
        <v>312</v>
      </c>
      <c r="C35" s="395" t="str">
        <f t="shared" si="25"/>
        <v>General Service &lt; 50 kW.Line Losses on Cost of Power</v>
      </c>
      <c r="D35" s="396" t="s">
        <v>308</v>
      </c>
      <c r="E35" s="320"/>
      <c r="F35" s="420">
        <f>'Proposed Rates'!$K$249*F$44+'Proposed Rates'!$K$250*F$45+'Proposed Rates'!$K$251*F$46</f>
        <v>0.12752000000000002</v>
      </c>
      <c r="G35" s="507">
        <f>$F$10*(1+F$63)-$F$10</f>
        <v>169</v>
      </c>
      <c r="H35" s="400">
        <f t="shared" si="27"/>
        <v>21.550880000000003</v>
      </c>
      <c r="I35" s="128"/>
      <c r="J35" s="420">
        <f>'Proposed Rates'!$K$249*J$44+'Proposed Rates'!$K$250*J$45+'Proposed Rates'!$K$251*J$46</f>
        <v>0.12752000000000002</v>
      </c>
      <c r="K35" s="507">
        <f>$F$10*(1+J$63)-$F$10</f>
        <v>165.99999999999909</v>
      </c>
      <c r="L35" s="400">
        <f t="shared" si="29"/>
        <v>21.168319999999888</v>
      </c>
      <c r="M35" s="128"/>
      <c r="N35" s="401">
        <f t="shared" si="5"/>
        <v>-0.38256000000011525</v>
      </c>
      <c r="O35" s="402">
        <f t="shared" si="6"/>
        <v>-1.7751479289946175E-2</v>
      </c>
      <c r="P35" s="52"/>
      <c r="Q35" s="420">
        <f>'Proposed Rates'!$K$249*Q$44+'Proposed Rates'!$K$250*Q$45+'Proposed Rates'!$K$251*Q$46</f>
        <v>0.12752000000000002</v>
      </c>
      <c r="R35" s="507">
        <f>$F$10*(1+Q$63)-$F$10</f>
        <v>165.99999999999909</v>
      </c>
      <c r="S35" s="400">
        <f t="shared" si="31"/>
        <v>21.168319999999888</v>
      </c>
      <c r="T35" s="128"/>
      <c r="U35" s="401">
        <f t="shared" si="9"/>
        <v>0</v>
      </c>
      <c r="V35" s="402">
        <f t="shared" si="10"/>
        <v>0</v>
      </c>
      <c r="W35" s="52"/>
      <c r="X35" s="420">
        <f>'Proposed Rates'!$K$249*X$44+'Proposed Rates'!$K$250*X$45+'Proposed Rates'!$K$251*X$46</f>
        <v>0.12752000000000002</v>
      </c>
      <c r="Y35" s="507">
        <f>$F$10*(1+X$63)-$F$10</f>
        <v>165.99999999999909</v>
      </c>
      <c r="Z35" s="400">
        <f t="shared" si="33"/>
        <v>21.168319999999888</v>
      </c>
      <c r="AA35" s="128"/>
      <c r="AB35" s="401">
        <f t="shared" si="13"/>
        <v>0</v>
      </c>
      <c r="AC35" s="402">
        <f t="shared" si="14"/>
        <v>0</v>
      </c>
      <c r="AD35" s="52"/>
      <c r="AE35" s="420">
        <f>'Proposed Rates'!$K$249*AE$44+'Proposed Rates'!$K$250*AE$45+'Proposed Rates'!$K$251*AE$46</f>
        <v>0.12752000000000002</v>
      </c>
      <c r="AF35" s="507">
        <f>$F$10*(1+AE$63)-$F$10</f>
        <v>165.99999999999909</v>
      </c>
      <c r="AG35" s="400">
        <f t="shared" si="35"/>
        <v>21.168319999999888</v>
      </c>
      <c r="AH35" s="128"/>
      <c r="AI35" s="401">
        <f t="shared" si="17"/>
        <v>0</v>
      </c>
      <c r="AJ35" s="402">
        <f t="shared" si="18"/>
        <v>0</v>
      </c>
      <c r="AK35" s="52"/>
      <c r="AL35" s="420">
        <f>'Proposed Rates'!$K$249*AL$44+'Proposed Rates'!$K$250*AL$45+'Proposed Rates'!$K$251*AL$46</f>
        <v>0.12752000000000002</v>
      </c>
      <c r="AM35" s="507">
        <f>$F$10*(1+AL$63)-$F$10</f>
        <v>165.99999999999909</v>
      </c>
      <c r="AN35" s="400">
        <f t="shared" si="37"/>
        <v>21.168319999999888</v>
      </c>
      <c r="AO35" s="128"/>
      <c r="AP35" s="401">
        <f t="shared" si="21"/>
        <v>0</v>
      </c>
      <c r="AQ35" s="402">
        <f t="shared" si="22"/>
        <v>0</v>
      </c>
      <c r="AR35" s="403"/>
    </row>
    <row r="36" spans="1:44" ht="12" customHeight="1">
      <c r="A36" s="52"/>
      <c r="B36" s="320" t="s">
        <v>271</v>
      </c>
      <c r="C36" s="395" t="str">
        <f t="shared" si="25"/>
        <v>General Service &lt; 50 kW.Smart Meter Entity Charge</v>
      </c>
      <c r="D36" s="396" t="s">
        <v>306</v>
      </c>
      <c r="E36" s="320"/>
      <c r="F36" s="397">
        <f>IFERROR(VLOOKUP($C36,'Proposed Rates'!$B:$J,F$11,FALSE),0)</f>
        <v>0.42</v>
      </c>
      <c r="G36" s="398">
        <f>IF($D36="Monthly",1,IF($D36="per KWH",$F$10,0))</f>
        <v>1</v>
      </c>
      <c r="H36" s="400">
        <f t="shared" si="27"/>
        <v>0.42</v>
      </c>
      <c r="I36" s="128"/>
      <c r="J36" s="397">
        <f>IFERROR(VLOOKUP($C36,'Proposed Rates'!$B:$J,J$11,FALSE),0)</f>
        <v>0.42</v>
      </c>
      <c r="K36" s="398">
        <f>IF($D36="Monthly",1,IF($D36="per KWH",$F$10,0))</f>
        <v>1</v>
      </c>
      <c r="L36" s="400">
        <f t="shared" si="29"/>
        <v>0.42</v>
      </c>
      <c r="M36" s="128"/>
      <c r="N36" s="401">
        <f t="shared" si="5"/>
        <v>0</v>
      </c>
      <c r="O36" s="402">
        <f t="shared" si="6"/>
        <v>0</v>
      </c>
      <c r="P36" s="52"/>
      <c r="Q36" s="397">
        <f>IFERROR(VLOOKUP($C36,'Proposed Rates'!$B:$J,Q$11,FALSE),0)</f>
        <v>0.42</v>
      </c>
      <c r="R36" s="398">
        <f>IF($D36="Monthly",1,IF($D36="per KWH",$F$10,0))</f>
        <v>1</v>
      </c>
      <c r="S36" s="400">
        <f t="shared" si="31"/>
        <v>0.42</v>
      </c>
      <c r="T36" s="128"/>
      <c r="U36" s="401">
        <f t="shared" si="9"/>
        <v>0</v>
      </c>
      <c r="V36" s="402">
        <f t="shared" si="10"/>
        <v>0</v>
      </c>
      <c r="W36" s="52"/>
      <c r="X36" s="397">
        <f>IFERROR(VLOOKUP($C36,'Proposed Rates'!$B:$J,X$11,FALSE),0)</f>
        <v>0.43</v>
      </c>
      <c r="Y36" s="398">
        <f>IF($D36="Monthly",1,IF($D36="per KWH",$F$10,0))</f>
        <v>1</v>
      </c>
      <c r="Z36" s="400">
        <f t="shared" si="33"/>
        <v>0.43</v>
      </c>
      <c r="AA36" s="128"/>
      <c r="AB36" s="401">
        <f t="shared" si="13"/>
        <v>1.0000000000000009E-2</v>
      </c>
      <c r="AC36" s="402">
        <f t="shared" si="14"/>
        <v>2.3809523809523832E-2</v>
      </c>
      <c r="AD36" s="52"/>
      <c r="AE36" s="397">
        <f>IFERROR(VLOOKUP($C36,'Proposed Rates'!$B:$J,AE$11,FALSE),0)</f>
        <v>0.44</v>
      </c>
      <c r="AF36" s="398">
        <f>IF($D36="Monthly",1,IF($D36="per KWH",$F$10,0))</f>
        <v>1</v>
      </c>
      <c r="AG36" s="400">
        <f t="shared" si="35"/>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7"/>
        <v>0.45</v>
      </c>
      <c r="AO36" s="128"/>
      <c r="AP36" s="401">
        <f t="shared" si="21"/>
        <v>1.0000000000000009E-2</v>
      </c>
      <c r="AQ36" s="402">
        <f t="shared" si="22"/>
        <v>2.2727272727272749E-2</v>
      </c>
      <c r="AR36" s="403"/>
    </row>
    <row r="37" spans="1:44" ht="12" customHeight="1">
      <c r="A37" s="52"/>
      <c r="B37" s="405" t="s">
        <v>313</v>
      </c>
      <c r="C37" s="422"/>
      <c r="D37" s="422"/>
      <c r="E37" s="422"/>
      <c r="F37" s="423"/>
      <c r="G37" s="501"/>
      <c r="H37" s="409">
        <f>SUM(H30:H36)+H29</f>
        <v>202.75933000000001</v>
      </c>
      <c r="I37" s="425"/>
      <c r="J37" s="423"/>
      <c r="K37" s="501"/>
      <c r="L37" s="409">
        <f>SUM(L30:L36)+L29</f>
        <v>230.47827999999987</v>
      </c>
      <c r="M37" s="425"/>
      <c r="N37" s="411">
        <f t="shared" si="5"/>
        <v>27.718949999999865</v>
      </c>
      <c r="O37" s="412">
        <f t="shared" si="6"/>
        <v>0.13670862889515301</v>
      </c>
      <c r="P37" s="52"/>
      <c r="Q37" s="423"/>
      <c r="R37" s="501"/>
      <c r="S37" s="409">
        <f>SUM(S30:S36)+S29</f>
        <v>247.59827999999987</v>
      </c>
      <c r="T37" s="425"/>
      <c r="U37" s="411">
        <f t="shared" si="9"/>
        <v>17.120000000000005</v>
      </c>
      <c r="V37" s="412">
        <f t="shared" si="10"/>
        <v>7.4280318301577108E-2</v>
      </c>
      <c r="W37" s="52"/>
      <c r="X37" s="423"/>
      <c r="Y37" s="501"/>
      <c r="Z37" s="409">
        <f>SUM(Z30:Z36)+Z29</f>
        <v>267.80827999999991</v>
      </c>
      <c r="AA37" s="425"/>
      <c r="AB37" s="411">
        <f t="shared" si="13"/>
        <v>20.210000000000036</v>
      </c>
      <c r="AC37" s="412">
        <f t="shared" si="14"/>
        <v>8.1624153447269698E-2</v>
      </c>
      <c r="AD37" s="52"/>
      <c r="AE37" s="423"/>
      <c r="AF37" s="501"/>
      <c r="AG37" s="409">
        <f>SUM(AG30:AG36)+AG29</f>
        <v>283.41827999999987</v>
      </c>
      <c r="AH37" s="425"/>
      <c r="AI37" s="411">
        <f t="shared" si="17"/>
        <v>15.609999999999957</v>
      </c>
      <c r="AJ37" s="412">
        <f t="shared" si="18"/>
        <v>5.8287966301863267E-2</v>
      </c>
      <c r="AK37" s="52"/>
      <c r="AL37" s="423"/>
      <c r="AM37" s="501"/>
      <c r="AN37" s="409">
        <f>SUM(AN30:AN36)+AN29</f>
        <v>298.42827999999986</v>
      </c>
      <c r="AO37" s="425"/>
      <c r="AP37" s="411">
        <f t="shared" si="21"/>
        <v>15.009999999999991</v>
      </c>
      <c r="AQ37" s="412">
        <f t="shared" si="22"/>
        <v>5.2960592379574095E-2</v>
      </c>
      <c r="AR37" s="413"/>
    </row>
    <row r="38" spans="1:44" ht="12" customHeight="1">
      <c r="A38" s="52"/>
      <c r="B38" s="128" t="s">
        <v>255</v>
      </c>
      <c r="C38" s="395" t="str">
        <f t="shared" ref="C38:C39" si="38">D$6&amp;"."&amp;B38</f>
        <v>General Service &lt; 50 kW.RTSR - Network</v>
      </c>
      <c r="D38" s="426" t="s">
        <v>308</v>
      </c>
      <c r="E38" s="128"/>
      <c r="F38" s="414">
        <f>IFERROR(VLOOKUP($C38,'Proposed Rates'!$B:$J,F$11,FALSE),0)</f>
        <v>1.18E-2</v>
      </c>
      <c r="G38" s="508">
        <f t="shared" ref="G38:G39" si="39">$F$10*(1+F$63)</f>
        <v>5169</v>
      </c>
      <c r="H38" s="400">
        <f t="shared" ref="H38:H39" si="40">G38*F38</f>
        <v>60.994199999999999</v>
      </c>
      <c r="I38" s="128"/>
      <c r="J38" s="414">
        <f>IFERROR(VLOOKUP($C38,'Proposed Rates'!$B:$J,J$11,FALSE),0)</f>
        <v>1.0699999999999999E-2</v>
      </c>
      <c r="K38" s="508">
        <f t="shared" ref="K38:K39" si="41">$F$10*(1+J$63)</f>
        <v>5165.9999999999991</v>
      </c>
      <c r="L38" s="400">
        <f t="shared" ref="L38:L39" si="42">K38*J38</f>
        <v>55.276199999999989</v>
      </c>
      <c r="M38" s="128"/>
      <c r="N38" s="401">
        <f t="shared" si="5"/>
        <v>-5.7180000000000106</v>
      </c>
      <c r="O38" s="402">
        <f t="shared" si="6"/>
        <v>-9.374661853094246E-2</v>
      </c>
      <c r="P38" s="52"/>
      <c r="Q38" s="414">
        <f>IFERROR(VLOOKUP($C38,'Proposed Rates'!$B:$J,Q$11,FALSE),0)</f>
        <v>1.0699999999999999E-2</v>
      </c>
      <c r="R38" s="508">
        <f t="shared" ref="R38:R39" si="43">$F$10*(1+Q$63)</f>
        <v>5165.9999999999991</v>
      </c>
      <c r="S38" s="400">
        <f t="shared" ref="S38:S39" si="44">R38*Q38</f>
        <v>55.276199999999989</v>
      </c>
      <c r="T38" s="128"/>
      <c r="U38" s="401">
        <f t="shared" si="9"/>
        <v>0</v>
      </c>
      <c r="V38" s="402">
        <f t="shared" si="10"/>
        <v>0</v>
      </c>
      <c r="W38" s="52"/>
      <c r="X38" s="414">
        <f>IFERROR(VLOOKUP($C38,'Proposed Rates'!$B:$J,X$11,FALSE),0)</f>
        <v>1.0699999999999999E-2</v>
      </c>
      <c r="Y38" s="508">
        <f t="shared" ref="Y38:Y39" si="45">$F$10*(1+X$63)</f>
        <v>5165.9999999999991</v>
      </c>
      <c r="Z38" s="400">
        <f t="shared" ref="Z38:Z39" si="46">Y38*X38</f>
        <v>55.276199999999989</v>
      </c>
      <c r="AA38" s="128"/>
      <c r="AB38" s="401">
        <f t="shared" si="13"/>
        <v>0</v>
      </c>
      <c r="AC38" s="402">
        <f t="shared" si="14"/>
        <v>0</v>
      </c>
      <c r="AD38" s="52"/>
      <c r="AE38" s="414">
        <f>IFERROR(VLOOKUP($C38,'Proposed Rates'!$B:$J,AE$11,FALSE),0)</f>
        <v>1.0699999999999999E-2</v>
      </c>
      <c r="AF38" s="508">
        <f t="shared" ref="AF38:AF39" si="47">$F$10*(1+AE$63)</f>
        <v>5165.9999999999991</v>
      </c>
      <c r="AG38" s="400">
        <f t="shared" ref="AG38:AG39" si="48">AF38*AE38</f>
        <v>55.276199999999989</v>
      </c>
      <c r="AH38" s="128"/>
      <c r="AI38" s="401">
        <f t="shared" si="17"/>
        <v>0</v>
      </c>
      <c r="AJ38" s="402">
        <f t="shared" si="18"/>
        <v>0</v>
      </c>
      <c r="AK38" s="52"/>
      <c r="AL38" s="414">
        <f>IFERROR(VLOOKUP($C38,'Proposed Rates'!$B:$J,AL$11,FALSE),0)</f>
        <v>1.0699999999999999E-2</v>
      </c>
      <c r="AM38" s="508">
        <f t="shared" ref="AM38:AM39" si="49">$F$10*(1+AL$63)</f>
        <v>5165.9999999999991</v>
      </c>
      <c r="AN38" s="400">
        <f t="shared" ref="AN38:AN39" si="50">AM38*AL38</f>
        <v>55.276199999999989</v>
      </c>
      <c r="AO38" s="128"/>
      <c r="AP38" s="401">
        <f t="shared" si="21"/>
        <v>0</v>
      </c>
      <c r="AQ38" s="402">
        <f t="shared" si="22"/>
        <v>0</v>
      </c>
      <c r="AR38" s="403"/>
    </row>
    <row r="39" spans="1:44" ht="12" customHeight="1">
      <c r="A39" s="52"/>
      <c r="B39" s="128" t="s">
        <v>256</v>
      </c>
      <c r="C39" s="395" t="str">
        <f t="shared" si="38"/>
        <v>General Service &lt; 50 kW.RTSR - Line and Transformation Connection</v>
      </c>
      <c r="D39" s="426" t="s">
        <v>308</v>
      </c>
      <c r="E39" s="128"/>
      <c r="F39" s="414">
        <f>IFERROR(VLOOKUP($C39,'Proposed Rates'!$B:$J,F$11,FALSE),0)</f>
        <v>7.0000000000000001E-3</v>
      </c>
      <c r="G39" s="508">
        <f t="shared" si="39"/>
        <v>5169</v>
      </c>
      <c r="H39" s="400">
        <f t="shared" si="40"/>
        <v>36.183</v>
      </c>
      <c r="I39" s="128"/>
      <c r="J39" s="414">
        <f>IFERROR(VLOOKUP($C39,'Proposed Rates'!$B:$J,J$11,FALSE),0)</f>
        <v>6.1000000000000004E-3</v>
      </c>
      <c r="K39" s="508">
        <f t="shared" si="41"/>
        <v>5165.9999999999991</v>
      </c>
      <c r="L39" s="400">
        <f t="shared" si="42"/>
        <v>31.512599999999996</v>
      </c>
      <c r="M39" s="128"/>
      <c r="N39" s="401">
        <f t="shared" si="5"/>
        <v>-4.6704000000000043</v>
      </c>
      <c r="O39" s="402">
        <f t="shared" si="6"/>
        <v>-0.12907719094602449</v>
      </c>
      <c r="P39" s="52"/>
      <c r="Q39" s="414">
        <f>IFERROR(VLOOKUP($C39,'Proposed Rates'!$B:$J,Q$11,FALSE),0)</f>
        <v>6.1000000000000004E-3</v>
      </c>
      <c r="R39" s="508">
        <f t="shared" si="43"/>
        <v>5165.9999999999991</v>
      </c>
      <c r="S39" s="400">
        <f t="shared" si="44"/>
        <v>31.512599999999996</v>
      </c>
      <c r="T39" s="128"/>
      <c r="U39" s="401">
        <f t="shared" si="9"/>
        <v>0</v>
      </c>
      <c r="V39" s="402">
        <f t="shared" si="10"/>
        <v>0</v>
      </c>
      <c r="W39" s="52"/>
      <c r="X39" s="414">
        <f>IFERROR(VLOOKUP($C39,'Proposed Rates'!$B:$J,X$11,FALSE),0)</f>
        <v>6.1000000000000004E-3</v>
      </c>
      <c r="Y39" s="508">
        <f t="shared" si="45"/>
        <v>5165.9999999999991</v>
      </c>
      <c r="Z39" s="400">
        <f t="shared" si="46"/>
        <v>31.512599999999996</v>
      </c>
      <c r="AA39" s="128"/>
      <c r="AB39" s="401">
        <f t="shared" si="13"/>
        <v>0</v>
      </c>
      <c r="AC39" s="402">
        <f t="shared" si="14"/>
        <v>0</v>
      </c>
      <c r="AD39" s="52"/>
      <c r="AE39" s="414">
        <f>IFERROR(VLOOKUP($C39,'Proposed Rates'!$B:$J,AE$11,FALSE),0)</f>
        <v>6.1000000000000004E-3</v>
      </c>
      <c r="AF39" s="508">
        <f t="shared" si="47"/>
        <v>5165.9999999999991</v>
      </c>
      <c r="AG39" s="400">
        <f t="shared" si="48"/>
        <v>31.512599999999996</v>
      </c>
      <c r="AH39" s="128"/>
      <c r="AI39" s="401">
        <f t="shared" si="17"/>
        <v>0</v>
      </c>
      <c r="AJ39" s="402">
        <f t="shared" si="18"/>
        <v>0</v>
      </c>
      <c r="AK39" s="52"/>
      <c r="AL39" s="414">
        <f>IFERROR(VLOOKUP($C39,'Proposed Rates'!$B:$J,AL$11,FALSE),0)</f>
        <v>6.1000000000000004E-3</v>
      </c>
      <c r="AM39" s="508">
        <f t="shared" si="49"/>
        <v>5165.9999999999991</v>
      </c>
      <c r="AN39" s="400">
        <f t="shared" si="50"/>
        <v>31.512599999999996</v>
      </c>
      <c r="AO39" s="128"/>
      <c r="AP39" s="401">
        <f t="shared" si="21"/>
        <v>0</v>
      </c>
      <c r="AQ39" s="402">
        <f t="shared" si="22"/>
        <v>0</v>
      </c>
      <c r="AR39" s="403"/>
    </row>
    <row r="40" spans="1:44" ht="12" customHeight="1">
      <c r="A40" s="52"/>
      <c r="B40" s="405" t="s">
        <v>314</v>
      </c>
      <c r="C40" s="427"/>
      <c r="D40" s="427"/>
      <c r="E40" s="427"/>
      <c r="F40" s="428"/>
      <c r="G40" s="501"/>
      <c r="H40" s="409">
        <f>SUM(H37:H39)</f>
        <v>299.93653</v>
      </c>
      <c r="I40" s="410"/>
      <c r="J40" s="428"/>
      <c r="K40" s="501"/>
      <c r="L40" s="409">
        <f>SUM(L37:L39)</f>
        <v>317.26707999999985</v>
      </c>
      <c r="M40" s="410"/>
      <c r="N40" s="411">
        <f t="shared" si="5"/>
        <v>17.330549999999846</v>
      </c>
      <c r="O40" s="412">
        <f t="shared" si="6"/>
        <v>5.7780724475274305E-2</v>
      </c>
      <c r="P40" s="52"/>
      <c r="Q40" s="428"/>
      <c r="R40" s="501"/>
      <c r="S40" s="409">
        <f>SUM(S37:S39)</f>
        <v>334.38707999999986</v>
      </c>
      <c r="T40" s="410"/>
      <c r="U40" s="411">
        <f t="shared" si="9"/>
        <v>17.120000000000005</v>
      </c>
      <c r="V40" s="412">
        <f t="shared" si="10"/>
        <v>5.3960845858952694E-2</v>
      </c>
      <c r="W40" s="52"/>
      <c r="X40" s="428"/>
      <c r="Y40" s="501"/>
      <c r="Z40" s="409">
        <f>SUM(Z37:Z39)</f>
        <v>354.59707999999989</v>
      </c>
      <c r="AA40" s="410"/>
      <c r="AB40" s="411">
        <f t="shared" si="13"/>
        <v>20.210000000000036</v>
      </c>
      <c r="AC40" s="412">
        <f t="shared" si="14"/>
        <v>6.0438938011600343E-2</v>
      </c>
      <c r="AD40" s="52"/>
      <c r="AE40" s="428"/>
      <c r="AF40" s="501"/>
      <c r="AG40" s="409">
        <f>SUM(AG37:AG39)</f>
        <v>370.20707999999991</v>
      </c>
      <c r="AH40" s="410"/>
      <c r="AI40" s="411">
        <f t="shared" si="17"/>
        <v>15.610000000000014</v>
      </c>
      <c r="AJ40" s="412">
        <f t="shared" si="18"/>
        <v>4.4021795103332546E-2</v>
      </c>
      <c r="AK40" s="52"/>
      <c r="AL40" s="428"/>
      <c r="AM40" s="501"/>
      <c r="AN40" s="409">
        <f>SUM(AN37:AN39)</f>
        <v>385.2170799999999</v>
      </c>
      <c r="AO40" s="410"/>
      <c r="AP40" s="411">
        <f t="shared" si="21"/>
        <v>15.009999999999991</v>
      </c>
      <c r="AQ40" s="412">
        <f t="shared" si="22"/>
        <v>4.054487558692825E-2</v>
      </c>
      <c r="AR40" s="413"/>
    </row>
    <row r="41" spans="1:44" ht="12" customHeight="1">
      <c r="A41" s="52"/>
      <c r="B41" s="320" t="s">
        <v>257</v>
      </c>
      <c r="C41" s="395" t="str">
        <f t="shared" ref="C41:C48" si="51">D$6&amp;"."&amp;B41</f>
        <v>General Service &lt; 50 kW.Wholesale Market Service Charge (WMSC)</v>
      </c>
      <c r="D41" s="396" t="s">
        <v>308</v>
      </c>
      <c r="E41" s="320"/>
      <c r="F41" s="414">
        <f>IFERROR(VLOOKUP($C41,'Proposed Rates'!$B:$J,F$11,FALSE),0)</f>
        <v>4.4999999999999997E-3</v>
      </c>
      <c r="G41" s="508">
        <f t="shared" ref="G41:G42" si="52">$F$10*(1+F$63)</f>
        <v>5169</v>
      </c>
      <c r="H41" s="400">
        <f t="shared" ref="H41:H48" si="53">G41*F41</f>
        <v>23.260499999999997</v>
      </c>
      <c r="I41" s="128"/>
      <c r="J41" s="414">
        <f>IFERROR(VLOOKUP($C41,'Proposed Rates'!$B:$J,J$11,FALSE),0)</f>
        <v>4.4999999999999997E-3</v>
      </c>
      <c r="K41" s="508">
        <f t="shared" ref="K41:K42" si="54">$F$10*(1+J$63)</f>
        <v>5165.9999999999991</v>
      </c>
      <c r="L41" s="400">
        <f t="shared" ref="L41:L48" si="55">K41*J41</f>
        <v>23.246999999999993</v>
      </c>
      <c r="M41" s="128"/>
      <c r="N41" s="401">
        <f t="shared" si="5"/>
        <v>-1.3500000000004064E-2</v>
      </c>
      <c r="O41" s="402">
        <f t="shared" si="6"/>
        <v>-5.8038305281503258E-4</v>
      </c>
      <c r="P41" s="52"/>
      <c r="Q41" s="414">
        <f>IFERROR(VLOOKUP($C41,'Proposed Rates'!$B:$J,Q$11,FALSE),0)</f>
        <v>4.4999999999999997E-3</v>
      </c>
      <c r="R41" s="508">
        <f t="shared" ref="R41:R42" si="56">$F$10*(1+Q$63)</f>
        <v>5165.9999999999991</v>
      </c>
      <c r="S41" s="400">
        <f t="shared" ref="S41:S48" si="57">R41*Q41</f>
        <v>23.246999999999993</v>
      </c>
      <c r="T41" s="128"/>
      <c r="U41" s="401">
        <f t="shared" si="9"/>
        <v>0</v>
      </c>
      <c r="V41" s="402">
        <f t="shared" si="10"/>
        <v>0</v>
      </c>
      <c r="W41" s="52"/>
      <c r="X41" s="414">
        <f>IFERROR(VLOOKUP($C41,'Proposed Rates'!$B:$J,X$11,FALSE),0)</f>
        <v>4.4999999999999997E-3</v>
      </c>
      <c r="Y41" s="508">
        <f t="shared" ref="Y41:Y42" si="58">$F$10*(1+X$63)</f>
        <v>5165.9999999999991</v>
      </c>
      <c r="Z41" s="400">
        <f t="shared" ref="Z41:Z48" si="59">Y41*X41</f>
        <v>23.246999999999993</v>
      </c>
      <c r="AA41" s="128"/>
      <c r="AB41" s="401">
        <f t="shared" si="13"/>
        <v>0</v>
      </c>
      <c r="AC41" s="402">
        <f t="shared" si="14"/>
        <v>0</v>
      </c>
      <c r="AD41" s="52"/>
      <c r="AE41" s="414">
        <f>IFERROR(VLOOKUP($C41,'Proposed Rates'!$B:$J,AE$11,FALSE),0)</f>
        <v>4.4999999999999997E-3</v>
      </c>
      <c r="AF41" s="508">
        <f t="shared" ref="AF41:AF42" si="60">$F$10*(1+AE$63)</f>
        <v>5165.9999999999991</v>
      </c>
      <c r="AG41" s="400">
        <f t="shared" ref="AG41:AG48" si="61">AF41*AE41</f>
        <v>23.246999999999993</v>
      </c>
      <c r="AH41" s="128"/>
      <c r="AI41" s="401">
        <f t="shared" si="17"/>
        <v>0</v>
      </c>
      <c r="AJ41" s="402">
        <f t="shared" si="18"/>
        <v>0</v>
      </c>
      <c r="AK41" s="52"/>
      <c r="AL41" s="414">
        <f>IFERROR(VLOOKUP($C41,'Proposed Rates'!$B:$J,AL$11,FALSE),0)</f>
        <v>4.4999999999999997E-3</v>
      </c>
      <c r="AM41" s="508">
        <f t="shared" ref="AM41:AM42" si="62">$F$10*(1+AL$63)</f>
        <v>5165.9999999999991</v>
      </c>
      <c r="AN41" s="400">
        <f t="shared" ref="AN41:AN48" si="63">AM41*AL41</f>
        <v>23.246999999999993</v>
      </c>
      <c r="AO41" s="128"/>
      <c r="AP41" s="401">
        <f t="shared" si="21"/>
        <v>0</v>
      </c>
      <c r="AQ41" s="402">
        <f t="shared" si="22"/>
        <v>0</v>
      </c>
      <c r="AR41" s="403"/>
    </row>
    <row r="42" spans="1:44" ht="12" customHeight="1">
      <c r="A42" s="52"/>
      <c r="B42" s="320" t="s">
        <v>258</v>
      </c>
      <c r="C42" s="395" t="str">
        <f t="shared" si="51"/>
        <v>General Service &lt; 50 kW.Rural and Remote Rate Protection (RRRP)</v>
      </c>
      <c r="D42" s="396" t="s">
        <v>308</v>
      </c>
      <c r="E42" s="320"/>
      <c r="F42" s="414">
        <f>IFERROR(VLOOKUP($C42,'Proposed Rates'!$B:$J,F$11,FALSE),0)</f>
        <v>1.5E-3</v>
      </c>
      <c r="G42" s="508">
        <f t="shared" si="52"/>
        <v>5169</v>
      </c>
      <c r="H42" s="400">
        <f t="shared" si="53"/>
        <v>7.7534999999999998</v>
      </c>
      <c r="I42" s="128"/>
      <c r="J42" s="414">
        <f>IFERROR(VLOOKUP($C42,'Proposed Rates'!$B:$J,J$11,FALSE),0)</f>
        <v>1.5E-3</v>
      </c>
      <c r="K42" s="508">
        <f t="shared" si="54"/>
        <v>5165.9999999999991</v>
      </c>
      <c r="L42" s="400">
        <f t="shared" si="55"/>
        <v>7.7489999999999988</v>
      </c>
      <c r="M42" s="128"/>
      <c r="N42" s="401">
        <f t="shared" si="5"/>
        <v>-4.5000000000010587E-3</v>
      </c>
      <c r="O42" s="402">
        <f t="shared" si="6"/>
        <v>-5.8038305281499431E-4</v>
      </c>
      <c r="P42" s="52"/>
      <c r="Q42" s="414">
        <f>IFERROR(VLOOKUP($C42,'Proposed Rates'!$B:$J,Q$11,FALSE),0)</f>
        <v>1.5E-3</v>
      </c>
      <c r="R42" s="508">
        <f t="shared" si="56"/>
        <v>5165.9999999999991</v>
      </c>
      <c r="S42" s="400">
        <f t="shared" si="57"/>
        <v>7.7489999999999988</v>
      </c>
      <c r="T42" s="128"/>
      <c r="U42" s="401">
        <f t="shared" si="9"/>
        <v>0</v>
      </c>
      <c r="V42" s="402">
        <f t="shared" si="10"/>
        <v>0</v>
      </c>
      <c r="W42" s="52"/>
      <c r="X42" s="414">
        <f>IFERROR(VLOOKUP($C42,'Proposed Rates'!$B:$J,X$11,FALSE),0)</f>
        <v>1.5E-3</v>
      </c>
      <c r="Y42" s="508">
        <f t="shared" si="58"/>
        <v>5165.9999999999991</v>
      </c>
      <c r="Z42" s="400">
        <f t="shared" si="59"/>
        <v>7.7489999999999988</v>
      </c>
      <c r="AA42" s="128"/>
      <c r="AB42" s="401">
        <f t="shared" si="13"/>
        <v>0</v>
      </c>
      <c r="AC42" s="402">
        <f t="shared" si="14"/>
        <v>0</v>
      </c>
      <c r="AD42" s="52"/>
      <c r="AE42" s="414">
        <f>IFERROR(VLOOKUP($C42,'Proposed Rates'!$B:$J,AE$11,FALSE),0)</f>
        <v>1.5E-3</v>
      </c>
      <c r="AF42" s="508">
        <f t="shared" si="60"/>
        <v>5165.9999999999991</v>
      </c>
      <c r="AG42" s="400">
        <f t="shared" si="61"/>
        <v>7.7489999999999988</v>
      </c>
      <c r="AH42" s="128"/>
      <c r="AI42" s="401">
        <f t="shared" si="17"/>
        <v>0</v>
      </c>
      <c r="AJ42" s="402">
        <f t="shared" si="18"/>
        <v>0</v>
      </c>
      <c r="AK42" s="52"/>
      <c r="AL42" s="414">
        <f>IFERROR(VLOOKUP($C42,'Proposed Rates'!$B:$J,AL$11,FALSE),0)</f>
        <v>1.5E-3</v>
      </c>
      <c r="AM42" s="508">
        <f t="shared" si="62"/>
        <v>5165.9999999999991</v>
      </c>
      <c r="AN42" s="400">
        <f t="shared" si="63"/>
        <v>7.7489999999999988</v>
      </c>
      <c r="AO42" s="128"/>
      <c r="AP42" s="401">
        <f t="shared" si="21"/>
        <v>0</v>
      </c>
      <c r="AQ42" s="402">
        <f t="shared" si="22"/>
        <v>0</v>
      </c>
      <c r="AR42" s="403"/>
    </row>
    <row r="43" spans="1:44" ht="12" customHeight="1">
      <c r="A43" s="52"/>
      <c r="B43" s="320" t="s">
        <v>260</v>
      </c>
      <c r="C43" s="395" t="str">
        <f t="shared" si="51"/>
        <v>General Service &lt; 50 kW.Standard Supply Service Charge</v>
      </c>
      <c r="D43" s="396" t="s">
        <v>306</v>
      </c>
      <c r="E43" s="320"/>
      <c r="F43" s="397">
        <f>IFERROR(VLOOKUP($C43,'Proposed Rates'!$B:$J,F$11,FALSE),0)</f>
        <v>0.25</v>
      </c>
      <c r="G43" s="398">
        <f>IF($D43="Monthly",1,IF($D43="per KWH",$F$10,0))</f>
        <v>1</v>
      </c>
      <c r="H43" s="400">
        <f t="shared" si="53"/>
        <v>0.25</v>
      </c>
      <c r="I43" s="128"/>
      <c r="J43" s="397">
        <f>IFERROR(VLOOKUP($C43,'Proposed Rates'!$B:$J,J$11,FALSE),0)</f>
        <v>1.51</v>
      </c>
      <c r="K43" s="398">
        <f>IF($D43="Monthly",1,IF($D43="per KWH",$F$10,0))</f>
        <v>1</v>
      </c>
      <c r="L43" s="400">
        <f t="shared" si="55"/>
        <v>1.51</v>
      </c>
      <c r="M43" s="128"/>
      <c r="N43" s="401">
        <f t="shared" si="5"/>
        <v>1.26</v>
      </c>
      <c r="O43" s="402">
        <f t="shared" si="6"/>
        <v>5.04</v>
      </c>
      <c r="P43" s="52"/>
      <c r="Q43" s="397">
        <f>IFERROR(VLOOKUP($C43,'Proposed Rates'!$B:$J,Q$11,FALSE),0)</f>
        <v>1.54</v>
      </c>
      <c r="R43" s="398">
        <f>IF($D43="Monthly",1,IF($D43="per KWH",$F$10,0))</f>
        <v>1</v>
      </c>
      <c r="S43" s="400">
        <f t="shared" si="57"/>
        <v>1.54</v>
      </c>
      <c r="T43" s="128"/>
      <c r="U43" s="401">
        <f t="shared" si="9"/>
        <v>3.0000000000000027E-2</v>
      </c>
      <c r="V43" s="402">
        <f t="shared" si="10"/>
        <v>1.986754966887419E-2</v>
      </c>
      <c r="W43" s="52"/>
      <c r="X43" s="397">
        <f>IFERROR(VLOOKUP($C43,'Proposed Rates'!$B:$J,X$11,FALSE),0)</f>
        <v>1.57</v>
      </c>
      <c r="Y43" s="398">
        <f>IF($D43="Monthly",1,IF($D43="per KWH",$F$10,0))</f>
        <v>1</v>
      </c>
      <c r="Z43" s="400">
        <f t="shared" si="59"/>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61"/>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3"/>
        <v>1.63</v>
      </c>
      <c r="AO43" s="128"/>
      <c r="AP43" s="401">
        <f t="shared" si="21"/>
        <v>2.9999999999999805E-2</v>
      </c>
      <c r="AQ43" s="402">
        <f t="shared" si="22"/>
        <v>1.8749999999999878E-2</v>
      </c>
      <c r="AR43" s="403"/>
    </row>
    <row r="44" spans="1:44" ht="12" customHeight="1">
      <c r="A44" s="52"/>
      <c r="B44" s="320" t="s">
        <v>262</v>
      </c>
      <c r="C44" s="395" t="str">
        <f t="shared" si="51"/>
        <v>General Service &lt; 50 kW.TOU - Off Peak</v>
      </c>
      <c r="D44" s="396" t="s">
        <v>308</v>
      </c>
      <c r="E44" s="320"/>
      <c r="F44" s="430">
        <f>VLOOKUP($B44,'Proposed Rates'!$D$248:$J$254,+F$11-2,FALSE)</f>
        <v>9.8000000000000004E-2</v>
      </c>
      <c r="G44" s="508">
        <f>'Proposed Rates'!$K$249*$F$10</f>
        <v>3200</v>
      </c>
      <c r="H44" s="400">
        <f t="shared" si="53"/>
        <v>313.60000000000002</v>
      </c>
      <c r="I44" s="128"/>
      <c r="J44" s="430">
        <f>VLOOKUP($B44,'Proposed Rates'!$D$248:$J$254,+J$11-2,FALSE)</f>
        <v>9.8000000000000004E-2</v>
      </c>
      <c r="K44" s="508">
        <f>'Proposed Rates'!$K$249*$F$10</f>
        <v>3200</v>
      </c>
      <c r="L44" s="400">
        <f t="shared" si="55"/>
        <v>313.60000000000002</v>
      </c>
      <c r="M44" s="128"/>
      <c r="N44" s="401">
        <f t="shared" si="5"/>
        <v>0</v>
      </c>
      <c r="O44" s="402">
        <f t="shared" si="6"/>
        <v>0</v>
      </c>
      <c r="P44" s="52"/>
      <c r="Q44" s="430">
        <f>VLOOKUP($B44,'Proposed Rates'!$D$248:$J$254,+Q$11-2,FALSE)</f>
        <v>9.8000000000000004E-2</v>
      </c>
      <c r="R44" s="508">
        <f>'Proposed Rates'!$K$249*$F$10</f>
        <v>3200</v>
      </c>
      <c r="S44" s="400">
        <f t="shared" si="57"/>
        <v>313.60000000000002</v>
      </c>
      <c r="T44" s="128"/>
      <c r="U44" s="401">
        <f t="shared" si="9"/>
        <v>0</v>
      </c>
      <c r="V44" s="402">
        <f t="shared" si="10"/>
        <v>0</v>
      </c>
      <c r="W44" s="52"/>
      <c r="X44" s="430">
        <f>VLOOKUP($B44,'Proposed Rates'!$D$248:$J$254,+X$11-2,FALSE)</f>
        <v>9.8000000000000004E-2</v>
      </c>
      <c r="Y44" s="508">
        <f>'Proposed Rates'!$K$249*$F$10</f>
        <v>3200</v>
      </c>
      <c r="Z44" s="400">
        <f t="shared" si="59"/>
        <v>313.60000000000002</v>
      </c>
      <c r="AA44" s="128"/>
      <c r="AB44" s="401">
        <f t="shared" si="13"/>
        <v>0</v>
      </c>
      <c r="AC44" s="402">
        <f t="shared" si="14"/>
        <v>0</v>
      </c>
      <c r="AD44" s="52"/>
      <c r="AE44" s="430">
        <f>VLOOKUP($B44,'Proposed Rates'!$D$248:$J$254,+AE$11-2,FALSE)</f>
        <v>9.8000000000000004E-2</v>
      </c>
      <c r="AF44" s="508">
        <f>'Proposed Rates'!$K$249*$F$10</f>
        <v>3200</v>
      </c>
      <c r="AG44" s="400">
        <f t="shared" si="61"/>
        <v>313.60000000000002</v>
      </c>
      <c r="AH44" s="128"/>
      <c r="AI44" s="401">
        <f t="shared" si="17"/>
        <v>0</v>
      </c>
      <c r="AJ44" s="402">
        <f t="shared" si="18"/>
        <v>0</v>
      </c>
      <c r="AK44" s="52"/>
      <c r="AL44" s="430">
        <f>VLOOKUP($B44,'Proposed Rates'!$D$248:$J$254,+AL$11-2,FALSE)</f>
        <v>9.8000000000000004E-2</v>
      </c>
      <c r="AM44" s="508">
        <f>'Proposed Rates'!$K$249*$F$10</f>
        <v>3200</v>
      </c>
      <c r="AN44" s="400">
        <f t="shared" si="63"/>
        <v>313.60000000000002</v>
      </c>
      <c r="AO44" s="128"/>
      <c r="AP44" s="401">
        <f t="shared" si="21"/>
        <v>0</v>
      </c>
      <c r="AQ44" s="402">
        <f t="shared" si="22"/>
        <v>0</v>
      </c>
      <c r="AR44" s="403"/>
    </row>
    <row r="45" spans="1:44" ht="12" customHeight="1">
      <c r="A45" s="52"/>
      <c r="B45" s="320" t="s">
        <v>263</v>
      </c>
      <c r="C45" s="395" t="str">
        <f t="shared" si="51"/>
        <v>General Service &lt; 50 kW.TOU - Mid Peak</v>
      </c>
      <c r="D45" s="396" t="s">
        <v>308</v>
      </c>
      <c r="E45" s="320"/>
      <c r="F45" s="430">
        <f>VLOOKUP($B45,'Proposed Rates'!$D$248:$J$254,+F$11-2,FALSE)</f>
        <v>0.157</v>
      </c>
      <c r="G45" s="508">
        <f>'Proposed Rates'!$K$250*$F$10</f>
        <v>900</v>
      </c>
      <c r="H45" s="400">
        <f t="shared" si="53"/>
        <v>141.30000000000001</v>
      </c>
      <c r="I45" s="128"/>
      <c r="J45" s="430">
        <f>VLOOKUP($B45,'Proposed Rates'!$D$248:$J$254,+J$11-2,FALSE)</f>
        <v>0.157</v>
      </c>
      <c r="K45" s="508">
        <f>'Proposed Rates'!$K$250*$F$10</f>
        <v>900</v>
      </c>
      <c r="L45" s="400">
        <f t="shared" si="55"/>
        <v>141.30000000000001</v>
      </c>
      <c r="M45" s="128"/>
      <c r="N45" s="401">
        <f t="shared" si="5"/>
        <v>0</v>
      </c>
      <c r="O45" s="402">
        <f t="shared" si="6"/>
        <v>0</v>
      </c>
      <c r="P45" s="52"/>
      <c r="Q45" s="430">
        <f>VLOOKUP($B45,'Proposed Rates'!$D$248:$J$254,+Q$11-2,FALSE)</f>
        <v>0.157</v>
      </c>
      <c r="R45" s="508">
        <f>'Proposed Rates'!$K$250*$F$10</f>
        <v>900</v>
      </c>
      <c r="S45" s="400">
        <f t="shared" si="57"/>
        <v>141.30000000000001</v>
      </c>
      <c r="T45" s="128"/>
      <c r="U45" s="401">
        <f t="shared" si="9"/>
        <v>0</v>
      </c>
      <c r="V45" s="402">
        <f t="shared" si="10"/>
        <v>0</v>
      </c>
      <c r="W45" s="52"/>
      <c r="X45" s="430">
        <f>VLOOKUP($B45,'Proposed Rates'!$D$248:$J$254,+X$11-2,FALSE)</f>
        <v>0.157</v>
      </c>
      <c r="Y45" s="508">
        <f>'Proposed Rates'!$K$250*$F$10</f>
        <v>900</v>
      </c>
      <c r="Z45" s="400">
        <f t="shared" si="59"/>
        <v>141.30000000000001</v>
      </c>
      <c r="AA45" s="128"/>
      <c r="AB45" s="401">
        <f t="shared" si="13"/>
        <v>0</v>
      </c>
      <c r="AC45" s="402">
        <f t="shared" si="14"/>
        <v>0</v>
      </c>
      <c r="AD45" s="52"/>
      <c r="AE45" s="430">
        <f>VLOOKUP($B45,'Proposed Rates'!$D$248:$J$254,+AE$11-2,FALSE)</f>
        <v>0.157</v>
      </c>
      <c r="AF45" s="508">
        <f>'Proposed Rates'!$K$250*$F$10</f>
        <v>900</v>
      </c>
      <c r="AG45" s="400">
        <f t="shared" si="61"/>
        <v>141.30000000000001</v>
      </c>
      <c r="AH45" s="128"/>
      <c r="AI45" s="401">
        <f t="shared" si="17"/>
        <v>0</v>
      </c>
      <c r="AJ45" s="402">
        <f t="shared" si="18"/>
        <v>0</v>
      </c>
      <c r="AK45" s="52"/>
      <c r="AL45" s="430">
        <f>VLOOKUP($B45,'Proposed Rates'!$D$248:$J$254,+AL$11-2,FALSE)</f>
        <v>0.157</v>
      </c>
      <c r="AM45" s="508">
        <f>'Proposed Rates'!$K$250*$F$10</f>
        <v>900</v>
      </c>
      <c r="AN45" s="400">
        <f t="shared" si="63"/>
        <v>141.30000000000001</v>
      </c>
      <c r="AO45" s="128"/>
      <c r="AP45" s="401">
        <f t="shared" si="21"/>
        <v>0</v>
      </c>
      <c r="AQ45" s="402">
        <f t="shared" si="22"/>
        <v>0</v>
      </c>
      <c r="AR45" s="403"/>
    </row>
    <row r="46" spans="1:44" ht="12" customHeight="1">
      <c r="A46" s="52"/>
      <c r="B46" s="52" t="s">
        <v>264</v>
      </c>
      <c r="C46" s="395" t="str">
        <f t="shared" si="51"/>
        <v>General Service &lt; 50 kW.TOU - On Peak</v>
      </c>
      <c r="D46" s="396" t="s">
        <v>308</v>
      </c>
      <c r="E46" s="320"/>
      <c r="F46" s="430">
        <f>VLOOKUP($B46,'Proposed Rates'!$D$248:$J$254,+F$11-2,FALSE)</f>
        <v>0.20300000000000001</v>
      </c>
      <c r="G46" s="508">
        <f>'Proposed Rates'!$K$251*$F$10</f>
        <v>900</v>
      </c>
      <c r="H46" s="400">
        <f t="shared" si="53"/>
        <v>182.70000000000002</v>
      </c>
      <c r="I46" s="128"/>
      <c r="J46" s="430">
        <f>VLOOKUP($B46,'Proposed Rates'!$D$248:$J$254,+J$11-2,FALSE)</f>
        <v>0.20300000000000001</v>
      </c>
      <c r="K46" s="508">
        <f>'Proposed Rates'!$K$251*$F$10</f>
        <v>900</v>
      </c>
      <c r="L46" s="400">
        <f t="shared" si="55"/>
        <v>182.70000000000002</v>
      </c>
      <c r="M46" s="128"/>
      <c r="N46" s="401">
        <f t="shared" si="5"/>
        <v>0</v>
      </c>
      <c r="O46" s="402">
        <f t="shared" si="6"/>
        <v>0</v>
      </c>
      <c r="P46" s="52"/>
      <c r="Q46" s="430">
        <f>VLOOKUP($B46,'Proposed Rates'!$D$248:$J$254,+Q$11-2,FALSE)</f>
        <v>0.20300000000000001</v>
      </c>
      <c r="R46" s="508">
        <f>'Proposed Rates'!$K$251*$F$10</f>
        <v>900</v>
      </c>
      <c r="S46" s="400">
        <f t="shared" si="57"/>
        <v>182.70000000000002</v>
      </c>
      <c r="T46" s="128"/>
      <c r="U46" s="401">
        <f t="shared" si="9"/>
        <v>0</v>
      </c>
      <c r="V46" s="402">
        <f t="shared" si="10"/>
        <v>0</v>
      </c>
      <c r="W46" s="52"/>
      <c r="X46" s="430">
        <f>VLOOKUP($B46,'Proposed Rates'!$D$248:$J$254,+X$11-2,FALSE)</f>
        <v>0.20300000000000001</v>
      </c>
      <c r="Y46" s="508">
        <f>'Proposed Rates'!$K$251*$F$10</f>
        <v>900</v>
      </c>
      <c r="Z46" s="400">
        <f t="shared" si="59"/>
        <v>182.70000000000002</v>
      </c>
      <c r="AA46" s="128"/>
      <c r="AB46" s="401">
        <f t="shared" si="13"/>
        <v>0</v>
      </c>
      <c r="AC46" s="402">
        <f t="shared" si="14"/>
        <v>0</v>
      </c>
      <c r="AD46" s="52"/>
      <c r="AE46" s="430">
        <f>VLOOKUP($B46,'Proposed Rates'!$D$248:$J$254,+AE$11-2,FALSE)</f>
        <v>0.20300000000000001</v>
      </c>
      <c r="AF46" s="508">
        <f>'Proposed Rates'!$K$251*$F$10</f>
        <v>900</v>
      </c>
      <c r="AG46" s="400">
        <f t="shared" si="61"/>
        <v>182.70000000000002</v>
      </c>
      <c r="AH46" s="128"/>
      <c r="AI46" s="401">
        <f t="shared" si="17"/>
        <v>0</v>
      </c>
      <c r="AJ46" s="402">
        <f t="shared" si="18"/>
        <v>0</v>
      </c>
      <c r="AK46" s="52"/>
      <c r="AL46" s="430">
        <f>VLOOKUP($B46,'Proposed Rates'!$D$248:$J$254,+AL$11-2,FALSE)</f>
        <v>0.20300000000000001</v>
      </c>
      <c r="AM46" s="508">
        <f>'Proposed Rates'!$K$251*$F$10</f>
        <v>900</v>
      </c>
      <c r="AN46" s="400">
        <f t="shared" si="63"/>
        <v>182.70000000000002</v>
      </c>
      <c r="AO46" s="128"/>
      <c r="AP46" s="401">
        <f t="shared" si="21"/>
        <v>0</v>
      </c>
      <c r="AQ46" s="402">
        <f t="shared" si="22"/>
        <v>0</v>
      </c>
      <c r="AR46" s="403"/>
    </row>
    <row r="47" spans="1:44" ht="12" customHeight="1">
      <c r="A47" s="52"/>
      <c r="B47" s="320" t="s">
        <v>265</v>
      </c>
      <c r="C47" s="395" t="str">
        <f t="shared" si="51"/>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3"/>
        <v>90</v>
      </c>
      <c r="I47" s="128"/>
      <c r="J47" s="430">
        <f>VLOOKUP($B47,'Proposed Rates'!$D$248:$J$254,+J$11-2,FALSE)</f>
        <v>0.12</v>
      </c>
      <c r="K47" s="508">
        <f>IF(AND($S$2=1, $F$10&gt;=750), 750, IF(AND($S$2=1, AND($F$10&lt;750, $F$10&gt;=0)), $F$10, IF(AND($S$2=2, $F$10&gt;=1000), 1000, IF(AND($S$2=2, AND($F$10&lt;1000, $F$10&gt;=0)), $F$10))))</f>
        <v>750</v>
      </c>
      <c r="L47" s="400">
        <f t="shared" si="55"/>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7"/>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9"/>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61"/>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3"/>
        <v>90</v>
      </c>
      <c r="AO47" s="128"/>
      <c r="AP47" s="401">
        <f t="shared" si="21"/>
        <v>0</v>
      </c>
      <c r="AQ47" s="402">
        <f t="shared" si="22"/>
        <v>0</v>
      </c>
      <c r="AR47" s="403"/>
    </row>
    <row r="48" spans="1:44" ht="12" customHeight="1">
      <c r="A48" s="52"/>
      <c r="B48" s="320" t="s">
        <v>266</v>
      </c>
      <c r="C48" s="395" t="str">
        <f t="shared" si="51"/>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4250</v>
      </c>
      <c r="H48" s="400">
        <f t="shared" si="53"/>
        <v>603.5</v>
      </c>
      <c r="I48" s="128"/>
      <c r="J48" s="430">
        <f>VLOOKUP($B48,'Proposed Rates'!$D$248:$J$254,+J$11-2,FALSE)</f>
        <v>0.14199999999999999</v>
      </c>
      <c r="K48" s="508">
        <f>IF(AND($S$2=1, $F$10&gt;=750), $F$10-750, IF(AND($S$2=1, AND($F$10&lt;750, $F$10&gt;=0)), 0, IF(AND($S$2=2, $F$10&gt;=1000), $F$10-1000, IF(AND($S$2=2, AND($F$10&lt;1000, $F$10&gt;=0)), 0))))</f>
        <v>4250</v>
      </c>
      <c r="L48" s="400">
        <f t="shared" si="55"/>
        <v>603.5</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4250</v>
      </c>
      <c r="S48" s="400">
        <f t="shared" si="57"/>
        <v>603.5</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4250</v>
      </c>
      <c r="Z48" s="400">
        <f t="shared" si="59"/>
        <v>603.5</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4250</v>
      </c>
      <c r="AG48" s="400">
        <f t="shared" si="61"/>
        <v>603.5</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4250</v>
      </c>
      <c r="AN48" s="400">
        <f t="shared" si="63"/>
        <v>603.5</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968.80052999999998</v>
      </c>
      <c r="I50" s="482"/>
      <c r="J50" s="445"/>
      <c r="K50" s="446"/>
      <c r="L50" s="448">
        <f>SUM(L41:L46,L40)</f>
        <v>987.37307999999985</v>
      </c>
      <c r="M50" s="449"/>
      <c r="N50" s="448">
        <f t="shared" ref="N50:N54" si="64">L50-H50</f>
        <v>18.572549999999865</v>
      </c>
      <c r="O50" s="450">
        <f t="shared" ref="O50:O54" si="65">IF((H50)=0,"",(N50/H50))</f>
        <v>1.9170664574264699E-2</v>
      </c>
      <c r="P50" s="52"/>
      <c r="Q50" s="445"/>
      <c r="R50" s="446"/>
      <c r="S50" s="448">
        <f>SUM(S41:S46,S40)</f>
        <v>1004.5230799999999</v>
      </c>
      <c r="T50" s="449"/>
      <c r="U50" s="448">
        <f t="shared" ref="U50:U54" si="66">S50-L50</f>
        <v>17.150000000000091</v>
      </c>
      <c r="V50" s="450">
        <f t="shared" ref="V50:V54" si="67">IF((L50)=0,"",(U50/L50))</f>
        <v>1.7369321027063137E-2</v>
      </c>
      <c r="W50" s="52"/>
      <c r="X50" s="445"/>
      <c r="Y50" s="446"/>
      <c r="Z50" s="448">
        <f>SUM(Z41:Z46,Z40)</f>
        <v>1024.7630799999999</v>
      </c>
      <c r="AA50" s="449"/>
      <c r="AB50" s="448">
        <f t="shared" ref="AB50:AB54" si="68">Z50-S50</f>
        <v>20.240000000000009</v>
      </c>
      <c r="AC50" s="450">
        <f t="shared" ref="AC50:AC54" si="69">IF((S50)=0,"",(AB50/S50))</f>
        <v>2.0148865071372986E-2</v>
      </c>
      <c r="AD50" s="52"/>
      <c r="AE50" s="445"/>
      <c r="AF50" s="446"/>
      <c r="AG50" s="448">
        <f>SUM(AG41:AG46,AG40)</f>
        <v>1040.40308</v>
      </c>
      <c r="AH50" s="449"/>
      <c r="AI50" s="448">
        <f t="shared" ref="AI50:AI54" si="70">AG50-Z50</f>
        <v>15.6400000000001</v>
      </c>
      <c r="AJ50" s="450">
        <f t="shared" ref="AJ50:AJ54" si="71">IF((Z50)=0,"",(AI50/Z50))</f>
        <v>1.5262064281238646E-2</v>
      </c>
      <c r="AK50" s="52"/>
      <c r="AL50" s="445"/>
      <c r="AM50" s="446"/>
      <c r="AN50" s="448">
        <f>SUM(AN41:AN46,AN40)</f>
        <v>1055.44308</v>
      </c>
      <c r="AO50" s="449"/>
      <c r="AP50" s="448">
        <f t="shared" ref="AP50:AP54" si="72">AN50-AG50</f>
        <v>15.039999999999964</v>
      </c>
      <c r="AQ50" s="450">
        <f t="shared" ref="AQ50:AQ54" si="73">IF((AG50)=0,"",(AP50/AG50))</f>
        <v>1.4455935674469516E-2</v>
      </c>
      <c r="AR50" s="451"/>
    </row>
    <row r="51" spans="1:44" ht="12" customHeight="1">
      <c r="A51" s="52"/>
      <c r="B51" s="452" t="s">
        <v>316</v>
      </c>
      <c r="C51" s="320"/>
      <c r="D51" s="320"/>
      <c r="E51" s="320"/>
      <c r="F51" s="445">
        <v>0.13</v>
      </c>
      <c r="G51" s="128"/>
      <c r="H51" s="490">
        <f>H50*F51</f>
        <v>125.9440689</v>
      </c>
      <c r="I51" s="417"/>
      <c r="J51" s="445">
        <v>0.13</v>
      </c>
      <c r="K51" s="417"/>
      <c r="L51" s="400">
        <f>L50*J51</f>
        <v>128.3585004</v>
      </c>
      <c r="M51" s="128"/>
      <c r="N51" s="401">
        <f t="shared" si="64"/>
        <v>2.4144314999999921</v>
      </c>
      <c r="O51" s="402">
        <f t="shared" si="65"/>
        <v>1.9170664574264775E-2</v>
      </c>
      <c r="P51" s="52"/>
      <c r="Q51" s="445">
        <v>0.13</v>
      </c>
      <c r="R51" s="417"/>
      <c r="S51" s="400">
        <f>S50*Q51</f>
        <v>130.5880004</v>
      </c>
      <c r="T51" s="128"/>
      <c r="U51" s="401">
        <f t="shared" si="66"/>
        <v>2.2295000000000016</v>
      </c>
      <c r="V51" s="402">
        <f t="shared" si="67"/>
        <v>1.7369321027063057E-2</v>
      </c>
      <c r="W51" s="52"/>
      <c r="X51" s="445">
        <v>0.13</v>
      </c>
      <c r="Y51" s="417"/>
      <c r="Z51" s="400">
        <f>Z50*X51</f>
        <v>133.21920040000001</v>
      </c>
      <c r="AA51" s="128"/>
      <c r="AB51" s="401">
        <f t="shared" si="68"/>
        <v>2.6312000000000069</v>
      </c>
      <c r="AC51" s="402">
        <f t="shared" si="69"/>
        <v>2.0148865071373027E-2</v>
      </c>
      <c r="AD51" s="52"/>
      <c r="AE51" s="445">
        <v>0.13</v>
      </c>
      <c r="AF51" s="417"/>
      <c r="AG51" s="400">
        <f>AG50*AE51</f>
        <v>135.2524004</v>
      </c>
      <c r="AH51" s="128"/>
      <c r="AI51" s="401">
        <f t="shared" si="70"/>
        <v>2.0331999999999937</v>
      </c>
      <c r="AJ51" s="402">
        <f t="shared" si="71"/>
        <v>1.52620642812385E-2</v>
      </c>
      <c r="AK51" s="52"/>
      <c r="AL51" s="445">
        <v>0.13</v>
      </c>
      <c r="AM51" s="417"/>
      <c r="AN51" s="400">
        <f>AN50*AL51</f>
        <v>137.20760040000002</v>
      </c>
      <c r="AO51" s="128"/>
      <c r="AP51" s="401">
        <f t="shared" si="72"/>
        <v>1.9552000000000191</v>
      </c>
      <c r="AQ51" s="402">
        <f t="shared" si="73"/>
        <v>1.4455935674469695E-2</v>
      </c>
      <c r="AR51" s="403"/>
    </row>
    <row r="52" spans="1:44" ht="12" customHeight="1">
      <c r="A52" s="52"/>
      <c r="B52" s="454" t="s">
        <v>369</v>
      </c>
      <c r="C52" s="320"/>
      <c r="D52" s="320"/>
      <c r="E52" s="320"/>
      <c r="F52" s="455"/>
      <c r="G52" s="128"/>
      <c r="H52" s="490">
        <f>H50+H51</f>
        <v>1094.7445989</v>
      </c>
      <c r="I52" s="417"/>
      <c r="J52" s="455"/>
      <c r="K52" s="417"/>
      <c r="L52" s="400">
        <f>L50+L51</f>
        <v>1115.7315803999998</v>
      </c>
      <c r="M52" s="128"/>
      <c r="N52" s="401">
        <f t="shared" si="64"/>
        <v>20.986981499999729</v>
      </c>
      <c r="O52" s="402">
        <f t="shared" si="65"/>
        <v>1.9170664574264591E-2</v>
      </c>
      <c r="P52" s="52"/>
      <c r="Q52" s="455"/>
      <c r="R52" s="417"/>
      <c r="S52" s="400">
        <f>S50+S51</f>
        <v>1135.1110804</v>
      </c>
      <c r="T52" s="128"/>
      <c r="U52" s="401">
        <f t="shared" si="66"/>
        <v>19.379500000000235</v>
      </c>
      <c r="V52" s="402">
        <f t="shared" si="67"/>
        <v>1.7369321027063258E-2</v>
      </c>
      <c r="W52" s="52"/>
      <c r="X52" s="455"/>
      <c r="Y52" s="417"/>
      <c r="Z52" s="400">
        <f>Z50+Z51</f>
        <v>1157.9822804</v>
      </c>
      <c r="AA52" s="128"/>
      <c r="AB52" s="401">
        <f t="shared" si="68"/>
        <v>22.871200000000044</v>
      </c>
      <c r="AC52" s="402">
        <f t="shared" si="69"/>
        <v>2.0148865071373014E-2</v>
      </c>
      <c r="AD52" s="52"/>
      <c r="AE52" s="455"/>
      <c r="AF52" s="417"/>
      <c r="AG52" s="400">
        <f>AG50+AG51</f>
        <v>1175.6554804</v>
      </c>
      <c r="AH52" s="128"/>
      <c r="AI52" s="401">
        <f t="shared" si="70"/>
        <v>17.673199999999952</v>
      </c>
      <c r="AJ52" s="402">
        <f t="shared" si="71"/>
        <v>1.5262064281238505E-2</v>
      </c>
      <c r="AK52" s="52"/>
      <c r="AL52" s="455"/>
      <c r="AM52" s="417"/>
      <c r="AN52" s="400">
        <f>AN50+AN51</f>
        <v>1192.6506804000001</v>
      </c>
      <c r="AO52" s="128"/>
      <c r="AP52" s="401">
        <f t="shared" si="72"/>
        <v>16.995200000000068</v>
      </c>
      <c r="AQ52" s="402">
        <f t="shared" si="73"/>
        <v>1.445593567446961E-2</v>
      </c>
      <c r="AR52" s="403"/>
    </row>
    <row r="53" spans="1:44" ht="12" customHeight="1">
      <c r="A53" s="52"/>
      <c r="B53" s="628" t="s">
        <v>273</v>
      </c>
      <c r="C53" s="615"/>
      <c r="D53" s="615"/>
      <c r="E53" s="320"/>
      <c r="F53" s="456">
        <f>'Proposed Rates'!E287</f>
        <v>0.23499999999999999</v>
      </c>
      <c r="G53" s="128"/>
      <c r="H53" s="492">
        <f>F53*H50</f>
        <v>227.66812454999999</v>
      </c>
      <c r="I53" s="417"/>
      <c r="J53" s="456">
        <f>'Proposed Rates'!I287</f>
        <v>0.23499999999999999</v>
      </c>
      <c r="K53" s="417"/>
      <c r="L53" s="457">
        <f>J53*L50</f>
        <v>232.03267379999994</v>
      </c>
      <c r="M53" s="128"/>
      <c r="N53" s="457">
        <f t="shared" si="64"/>
        <v>4.3645492499999534</v>
      </c>
      <c r="O53" s="459">
        <f t="shared" si="65"/>
        <v>1.9170664574264636E-2</v>
      </c>
      <c r="P53" s="52"/>
      <c r="Q53" s="456">
        <f>J53</f>
        <v>0.23499999999999999</v>
      </c>
      <c r="R53" s="417"/>
      <c r="S53" s="457">
        <f>Q53*S50</f>
        <v>236.06292379999996</v>
      </c>
      <c r="T53" s="128"/>
      <c r="U53" s="457">
        <f t="shared" si="66"/>
        <v>4.0302500000000236</v>
      </c>
      <c r="V53" s="459">
        <f t="shared" si="67"/>
        <v>1.736932102706315E-2</v>
      </c>
      <c r="W53" s="52"/>
      <c r="X53" s="456">
        <f>Q53</f>
        <v>0.23499999999999999</v>
      </c>
      <c r="Y53" s="417"/>
      <c r="Z53" s="457">
        <f>X53*Z50</f>
        <v>240.81932379999998</v>
      </c>
      <c r="AA53" s="128"/>
      <c r="AB53" s="457">
        <f t="shared" si="68"/>
        <v>4.7564000000000135</v>
      </c>
      <c r="AC53" s="459">
        <f t="shared" si="69"/>
        <v>2.0148865071373034E-2</v>
      </c>
      <c r="AD53" s="52"/>
      <c r="AE53" s="456">
        <f>X53</f>
        <v>0.23499999999999999</v>
      </c>
      <c r="AF53" s="417"/>
      <c r="AG53" s="457">
        <f>AE53*AG50</f>
        <v>244.4947238</v>
      </c>
      <c r="AH53" s="128"/>
      <c r="AI53" s="457">
        <f t="shared" si="70"/>
        <v>3.6754000000000246</v>
      </c>
      <c r="AJ53" s="459">
        <f t="shared" si="71"/>
        <v>1.5262064281238651E-2</v>
      </c>
      <c r="AK53" s="52"/>
      <c r="AL53" s="456">
        <f>AE53</f>
        <v>0.23499999999999999</v>
      </c>
      <c r="AM53" s="417"/>
      <c r="AN53" s="457">
        <f>AL53*AN50</f>
        <v>248.02912379999998</v>
      </c>
      <c r="AO53" s="128"/>
      <c r="AP53" s="457">
        <f t="shared" si="72"/>
        <v>3.5343999999999767</v>
      </c>
      <c r="AQ53" s="459">
        <f t="shared" si="73"/>
        <v>1.4455935674469457E-2</v>
      </c>
      <c r="AR53" s="460"/>
    </row>
    <row r="54" spans="1:44" ht="12.75" customHeight="1">
      <c r="A54" s="52"/>
      <c r="B54" s="627" t="s">
        <v>318</v>
      </c>
      <c r="C54" s="613"/>
      <c r="D54" s="613"/>
      <c r="E54" s="461"/>
      <c r="F54" s="462"/>
      <c r="G54" s="493"/>
      <c r="H54" s="494">
        <f>H52-H53</f>
        <v>867.07647435000001</v>
      </c>
      <c r="I54" s="463"/>
      <c r="J54" s="462"/>
      <c r="K54" s="463"/>
      <c r="L54" s="464">
        <f>L52-L53</f>
        <v>883.69890659999987</v>
      </c>
      <c r="M54" s="465"/>
      <c r="N54" s="466">
        <f t="shared" si="64"/>
        <v>16.622432249999861</v>
      </c>
      <c r="O54" s="467">
        <f t="shared" si="65"/>
        <v>1.9170664574264678E-2</v>
      </c>
      <c r="P54" s="52"/>
      <c r="Q54" s="462"/>
      <c r="R54" s="463"/>
      <c r="S54" s="464">
        <f>S52-S53</f>
        <v>899.04815660000008</v>
      </c>
      <c r="T54" s="465"/>
      <c r="U54" s="466">
        <f t="shared" si="66"/>
        <v>15.349250000000211</v>
      </c>
      <c r="V54" s="467">
        <f t="shared" si="67"/>
        <v>1.7369321027063286E-2</v>
      </c>
      <c r="W54" s="52"/>
      <c r="X54" s="462"/>
      <c r="Y54" s="463"/>
      <c r="Z54" s="464">
        <f>Z52-Z53</f>
        <v>917.16295660000003</v>
      </c>
      <c r="AA54" s="465"/>
      <c r="AB54" s="466">
        <f t="shared" si="68"/>
        <v>18.114799999999946</v>
      </c>
      <c r="AC54" s="467">
        <f t="shared" si="69"/>
        <v>2.0148865071372913E-2</v>
      </c>
      <c r="AD54" s="52"/>
      <c r="AE54" s="462"/>
      <c r="AF54" s="463"/>
      <c r="AG54" s="464">
        <f>AG52-AG53</f>
        <v>931.16075660000001</v>
      </c>
      <c r="AH54" s="465"/>
      <c r="AI54" s="466">
        <f t="shared" si="70"/>
        <v>13.997799999999984</v>
      </c>
      <c r="AJ54" s="467">
        <f t="shared" si="71"/>
        <v>1.526206428123853E-2</v>
      </c>
      <c r="AK54" s="52"/>
      <c r="AL54" s="462"/>
      <c r="AM54" s="463"/>
      <c r="AN54" s="464">
        <f>AN52-AN53</f>
        <v>944.62155660000008</v>
      </c>
      <c r="AO54" s="465"/>
      <c r="AP54" s="466">
        <f t="shared" si="72"/>
        <v>13.460800000000063</v>
      </c>
      <c r="AQ54" s="467">
        <f t="shared" si="73"/>
        <v>1.445593567446962E-2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1024.7005299999998</v>
      </c>
      <c r="I56" s="482"/>
      <c r="J56" s="445"/>
      <c r="K56" s="446"/>
      <c r="L56" s="448">
        <f>SUM(L47:L48,L40,L41:L43)</f>
        <v>1043.2730799999999</v>
      </c>
      <c r="M56" s="449"/>
      <c r="N56" s="448">
        <f t="shared" ref="N56:N60" si="74">L56-H56</f>
        <v>18.572550000000092</v>
      </c>
      <c r="O56" s="450">
        <f t="shared" ref="O56:O60" si="75">IF((H56)=0,"",(N56/H56))</f>
        <v>1.8124856439764012E-2</v>
      </c>
      <c r="P56" s="52"/>
      <c r="Q56" s="445"/>
      <c r="R56" s="446"/>
      <c r="S56" s="448">
        <f>SUM(S47:S48,S40,S41:S43)</f>
        <v>1060.42308</v>
      </c>
      <c r="T56" s="449"/>
      <c r="U56" s="448">
        <f t="shared" ref="U56:U60" si="76">S56-L56</f>
        <v>17.150000000000091</v>
      </c>
      <c r="V56" s="450">
        <f t="shared" ref="V56:V60" si="77">IF((L56)=0,"",(U56/L56))</f>
        <v>1.643864902562241E-2</v>
      </c>
      <c r="W56" s="52"/>
      <c r="X56" s="445"/>
      <c r="Y56" s="446"/>
      <c r="Z56" s="448">
        <f>SUM(Z47:Z48,Z40,Z41:Z43)</f>
        <v>1080.66308</v>
      </c>
      <c r="AA56" s="449"/>
      <c r="AB56" s="448">
        <f t="shared" ref="AB56:AB60" si="78">Z56-S56</f>
        <v>20.240000000000009</v>
      </c>
      <c r="AC56" s="450">
        <f t="shared" ref="AC56:AC60" si="79">IF((S56)=0,"",(AB56/S56))</f>
        <v>1.9086721499875323E-2</v>
      </c>
      <c r="AD56" s="52"/>
      <c r="AE56" s="445"/>
      <c r="AF56" s="446"/>
      <c r="AG56" s="448">
        <f>SUM(AG47:AG48,AG40,AG41:AG43)</f>
        <v>1096.3030799999999</v>
      </c>
      <c r="AH56" s="449"/>
      <c r="AI56" s="448">
        <f t="shared" ref="AI56:AI60" si="80">AG56-Z56</f>
        <v>15.639999999999873</v>
      </c>
      <c r="AJ56" s="450">
        <f t="shared" ref="AJ56:AJ60" si="81">IF((Z56)=0,"",(AI56/Z56))</f>
        <v>1.4472595843655426E-2</v>
      </c>
      <c r="AK56" s="52"/>
      <c r="AL56" s="445"/>
      <c r="AM56" s="446"/>
      <c r="AN56" s="448">
        <f>SUM(AN47:AN48,AN40,AN41:AN43)</f>
        <v>1111.3430800000001</v>
      </c>
      <c r="AO56" s="449"/>
      <c r="AP56" s="448">
        <f t="shared" ref="AP56:AP60" si="82">AN56-AG56</f>
        <v>15.040000000000191</v>
      </c>
      <c r="AQ56" s="450">
        <f t="shared" ref="AQ56:AQ60" si="83">IF((AG56)=0,"",(AP56/AG56))</f>
        <v>1.3718834028998799E-2</v>
      </c>
      <c r="AR56" s="451"/>
    </row>
    <row r="57" spans="1:44" ht="12" customHeight="1">
      <c r="A57" s="52"/>
      <c r="B57" s="452" t="s">
        <v>316</v>
      </c>
      <c r="C57" s="320"/>
      <c r="D57" s="320"/>
      <c r="E57" s="320"/>
      <c r="F57" s="445">
        <v>0.13</v>
      </c>
      <c r="G57" s="489"/>
      <c r="H57" s="490">
        <f>H56*F57</f>
        <v>133.21106889999999</v>
      </c>
      <c r="I57" s="417"/>
      <c r="J57" s="445">
        <v>0.13</v>
      </c>
      <c r="K57" s="453"/>
      <c r="L57" s="401">
        <f>L56*J57</f>
        <v>135.62550039999999</v>
      </c>
      <c r="M57" s="128"/>
      <c r="N57" s="401">
        <f t="shared" si="74"/>
        <v>2.4144315000000063</v>
      </c>
      <c r="O57" s="402">
        <f t="shared" si="75"/>
        <v>1.8124856439763967E-2</v>
      </c>
      <c r="P57" s="52"/>
      <c r="Q57" s="445">
        <v>0.13</v>
      </c>
      <c r="R57" s="453"/>
      <c r="S57" s="400">
        <f>S56*Q57</f>
        <v>137.85500039999999</v>
      </c>
      <c r="T57" s="128"/>
      <c r="U57" s="401">
        <f t="shared" si="76"/>
        <v>2.2295000000000016</v>
      </c>
      <c r="V57" s="402">
        <f t="shared" si="77"/>
        <v>1.6438649025622337E-2</v>
      </c>
      <c r="W57" s="52"/>
      <c r="X57" s="445">
        <v>0.13</v>
      </c>
      <c r="Y57" s="453"/>
      <c r="Z57" s="400">
        <f>Z56*X57</f>
        <v>140.4862004</v>
      </c>
      <c r="AA57" s="128"/>
      <c r="AB57" s="401">
        <f t="shared" si="78"/>
        <v>2.6312000000000069</v>
      </c>
      <c r="AC57" s="402">
        <f t="shared" si="79"/>
        <v>1.9086721499875364E-2</v>
      </c>
      <c r="AD57" s="52"/>
      <c r="AE57" s="445">
        <v>0.13</v>
      </c>
      <c r="AF57" s="453"/>
      <c r="AG57" s="401">
        <f>AG56*AE57</f>
        <v>142.51940039999999</v>
      </c>
      <c r="AH57" s="128"/>
      <c r="AI57" s="401">
        <f t="shared" si="80"/>
        <v>2.0331999999999937</v>
      </c>
      <c r="AJ57" s="402">
        <f t="shared" si="81"/>
        <v>1.4472595843655501E-2</v>
      </c>
      <c r="AK57" s="52"/>
      <c r="AL57" s="445">
        <v>0.13</v>
      </c>
      <c r="AM57" s="453"/>
      <c r="AN57" s="400">
        <f>AN56*AL57</f>
        <v>144.47460040000001</v>
      </c>
      <c r="AO57" s="128"/>
      <c r="AP57" s="401">
        <f t="shared" si="82"/>
        <v>1.9552000000000191</v>
      </c>
      <c r="AQ57" s="402">
        <f t="shared" si="83"/>
        <v>1.3718834028998757E-2</v>
      </c>
      <c r="AR57" s="403"/>
    </row>
    <row r="58" spans="1:44" ht="12" customHeight="1">
      <c r="A58" s="52"/>
      <c r="B58" s="454" t="s">
        <v>370</v>
      </c>
      <c r="C58" s="320"/>
      <c r="D58" s="320"/>
      <c r="E58" s="320"/>
      <c r="F58" s="455"/>
      <c r="G58" s="128"/>
      <c r="H58" s="490">
        <f>H56+H57</f>
        <v>1157.9115988999997</v>
      </c>
      <c r="I58" s="417"/>
      <c r="J58" s="455"/>
      <c r="K58" s="417"/>
      <c r="L58" s="400">
        <f>L56+L57</f>
        <v>1178.8985803999999</v>
      </c>
      <c r="M58" s="128"/>
      <c r="N58" s="401">
        <f t="shared" si="74"/>
        <v>20.986981500000184</v>
      </c>
      <c r="O58" s="402">
        <f t="shared" si="75"/>
        <v>1.8124856439764081E-2</v>
      </c>
      <c r="P58" s="52"/>
      <c r="Q58" s="455"/>
      <c r="R58" s="417"/>
      <c r="S58" s="400">
        <f>S56+S57</f>
        <v>1198.2780803999999</v>
      </c>
      <c r="T58" s="128"/>
      <c r="U58" s="401">
        <f t="shared" si="76"/>
        <v>19.379500000000007</v>
      </c>
      <c r="V58" s="402">
        <f t="shared" si="77"/>
        <v>1.643864902562233E-2</v>
      </c>
      <c r="W58" s="52"/>
      <c r="X58" s="455"/>
      <c r="Y58" s="417"/>
      <c r="Z58" s="400">
        <f>Z56+Z57</f>
        <v>1221.1492804</v>
      </c>
      <c r="AA58" s="128"/>
      <c r="AB58" s="401">
        <f t="shared" si="78"/>
        <v>22.871200000000044</v>
      </c>
      <c r="AC58" s="402">
        <f t="shared" si="79"/>
        <v>1.9086721499875354E-2</v>
      </c>
      <c r="AD58" s="52"/>
      <c r="AE58" s="455"/>
      <c r="AF58" s="417"/>
      <c r="AG58" s="400">
        <f>AG56+AG57</f>
        <v>1238.8224803999999</v>
      </c>
      <c r="AH58" s="128"/>
      <c r="AI58" s="401">
        <f t="shared" si="80"/>
        <v>17.673199999999952</v>
      </c>
      <c r="AJ58" s="402">
        <f t="shared" si="81"/>
        <v>1.4472595843655506E-2</v>
      </c>
      <c r="AK58" s="52"/>
      <c r="AL58" s="455"/>
      <c r="AM58" s="417"/>
      <c r="AN58" s="400">
        <f>AN56+AN57</f>
        <v>1255.8176804000002</v>
      </c>
      <c r="AO58" s="128"/>
      <c r="AP58" s="401">
        <f t="shared" si="82"/>
        <v>16.995200000000295</v>
      </c>
      <c r="AQ58" s="402">
        <f t="shared" si="83"/>
        <v>1.3718834028998863E-2</v>
      </c>
      <c r="AR58" s="403"/>
    </row>
    <row r="59" spans="1:44" ht="12" customHeight="1">
      <c r="A59" s="52"/>
      <c r="B59" s="628" t="s">
        <v>273</v>
      </c>
      <c r="C59" s="615"/>
      <c r="D59" s="615"/>
      <c r="E59" s="320"/>
      <c r="F59" s="456">
        <f>F53</f>
        <v>0.23499999999999999</v>
      </c>
      <c r="G59" s="128"/>
      <c r="H59" s="492">
        <f>F59*H56</f>
        <v>240.80462454999994</v>
      </c>
      <c r="I59" s="417"/>
      <c r="J59" s="456">
        <f>J53</f>
        <v>0.23499999999999999</v>
      </c>
      <c r="K59" s="417"/>
      <c r="L59" s="457">
        <f>J59*L56</f>
        <v>245.16917379999998</v>
      </c>
      <c r="M59" s="128"/>
      <c r="N59" s="457">
        <f t="shared" si="74"/>
        <v>4.3645492500000387</v>
      </c>
      <c r="O59" s="459">
        <f t="shared" si="75"/>
        <v>1.8124856439764084E-2</v>
      </c>
      <c r="P59" s="52"/>
      <c r="Q59" s="456">
        <f>Q53</f>
        <v>0.23499999999999999</v>
      </c>
      <c r="R59" s="417"/>
      <c r="S59" s="457">
        <f>Q59*S56</f>
        <v>249.19942380000001</v>
      </c>
      <c r="T59" s="128"/>
      <c r="U59" s="457">
        <f t="shared" si="76"/>
        <v>4.0302500000000236</v>
      </c>
      <c r="V59" s="459">
        <f t="shared" si="77"/>
        <v>1.643864902562242E-2</v>
      </c>
      <c r="W59" s="52"/>
      <c r="X59" s="456">
        <f>X53</f>
        <v>0.23499999999999999</v>
      </c>
      <c r="Y59" s="417"/>
      <c r="Z59" s="457">
        <f>X59*Z56</f>
        <v>253.95582379999999</v>
      </c>
      <c r="AA59" s="128"/>
      <c r="AB59" s="457">
        <f t="shared" si="78"/>
        <v>4.7563999999999851</v>
      </c>
      <c r="AC59" s="459">
        <f t="shared" si="79"/>
        <v>1.9086721499875253E-2</v>
      </c>
      <c r="AD59" s="52"/>
      <c r="AE59" s="456">
        <f>AE53</f>
        <v>0.23499999999999999</v>
      </c>
      <c r="AF59" s="417"/>
      <c r="AG59" s="457">
        <f>AE59*AG56</f>
        <v>257.63122379999999</v>
      </c>
      <c r="AH59" s="128"/>
      <c r="AI59" s="457">
        <f t="shared" si="80"/>
        <v>3.6753999999999962</v>
      </c>
      <c r="AJ59" s="459">
        <f t="shared" si="81"/>
        <v>1.447259584365553E-2</v>
      </c>
      <c r="AK59" s="52"/>
      <c r="AL59" s="456">
        <f>AL53</f>
        <v>0.23499999999999999</v>
      </c>
      <c r="AM59" s="417"/>
      <c r="AN59" s="457">
        <f>AL59*AN56</f>
        <v>261.16562379999999</v>
      </c>
      <c r="AO59" s="128"/>
      <c r="AP59" s="457">
        <f t="shared" si="82"/>
        <v>3.5344000000000051</v>
      </c>
      <c r="AQ59" s="459">
        <f t="shared" si="83"/>
        <v>1.3718834028998643E-2</v>
      </c>
      <c r="AR59" s="460"/>
    </row>
    <row r="60" spans="1:44" ht="12.75" customHeight="1">
      <c r="A60" s="52"/>
      <c r="B60" s="627" t="s">
        <v>321</v>
      </c>
      <c r="C60" s="613"/>
      <c r="D60" s="613"/>
      <c r="E60" s="461"/>
      <c r="F60" s="469"/>
      <c r="G60" s="495"/>
      <c r="H60" s="496">
        <f>H58-H59</f>
        <v>917.10697434999975</v>
      </c>
      <c r="I60" s="470"/>
      <c r="J60" s="469"/>
      <c r="K60" s="470"/>
      <c r="L60" s="471">
        <f>L58-L59</f>
        <v>933.72940659999995</v>
      </c>
      <c r="M60" s="472"/>
      <c r="N60" s="473">
        <f t="shared" si="74"/>
        <v>16.622432250000202</v>
      </c>
      <c r="O60" s="474">
        <f t="shared" si="75"/>
        <v>1.8124856439764143E-2</v>
      </c>
      <c r="P60" s="52"/>
      <c r="Q60" s="469"/>
      <c r="R60" s="470"/>
      <c r="S60" s="471">
        <f>S58-S59</f>
        <v>949.07865659999993</v>
      </c>
      <c r="T60" s="472"/>
      <c r="U60" s="473">
        <f t="shared" si="76"/>
        <v>15.349249999999984</v>
      </c>
      <c r="V60" s="474">
        <f t="shared" si="77"/>
        <v>1.6438649025622306E-2</v>
      </c>
      <c r="W60" s="52"/>
      <c r="X60" s="469"/>
      <c r="Y60" s="470"/>
      <c r="Z60" s="471">
        <f>Z58-Z59</f>
        <v>967.19345659999999</v>
      </c>
      <c r="AA60" s="472"/>
      <c r="AB60" s="473">
        <f t="shared" si="78"/>
        <v>18.114800000000059</v>
      </c>
      <c r="AC60" s="474">
        <f t="shared" si="79"/>
        <v>1.9086721499875378E-2</v>
      </c>
      <c r="AD60" s="52"/>
      <c r="AE60" s="469"/>
      <c r="AF60" s="470"/>
      <c r="AG60" s="471">
        <f>AG58-AG59</f>
        <v>981.19125659999986</v>
      </c>
      <c r="AH60" s="472"/>
      <c r="AI60" s="473">
        <f t="shared" si="80"/>
        <v>13.99779999999987</v>
      </c>
      <c r="AJ60" s="474">
        <f t="shared" si="81"/>
        <v>1.4472595843655411E-2</v>
      </c>
      <c r="AK60" s="52"/>
      <c r="AL60" s="469"/>
      <c r="AM60" s="470"/>
      <c r="AN60" s="471">
        <f>AN58-AN59</f>
        <v>994.65205660000015</v>
      </c>
      <c r="AO60" s="472"/>
      <c r="AP60" s="473">
        <f t="shared" si="82"/>
        <v>13.46080000000029</v>
      </c>
      <c r="AQ60" s="474">
        <f t="shared" si="83"/>
        <v>1.3718834028998921E-2</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500-000000000000}">
      <formula1>"TOU,non-TOU"</formula1>
    </dataValidation>
    <dataValidation type="list" allowBlank="1" showErrorMessage="1" sqref="E15:E28 E30:E36 E38:E39 E41:E49 E55 E61" xr:uid="{00000000-0002-0000-1500-000001000000}">
      <formula1>#REF!</formula1>
    </dataValidation>
    <dataValidation type="list" allowBlank="1" showInputMessage="1" showErrorMessage="1" prompt="Select Charge Unit - monthly, per kWh, per kW" sqref="D15:D28 D30:D36 D38:D39 D41:D49 D55 D61" xr:uid="{00000000-0002-0000-1500-000002000000}">
      <formula1>"Monthly,per kWh,per kW"</formula1>
    </dataValidation>
  </dataValidations>
  <pageMargins left="0.74803149606299213" right="0.74803149606299213" top="0.98425196850393704" bottom="0.98425196850393704"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S1000"/>
  <sheetViews>
    <sheetView showGridLines="0" workbookViewId="0">
      <pane ySplit="14" topLeftCell="A51"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140625" customWidth="1"/>
    <col min="4" max="4" width="11.42578125" customWidth="1"/>
    <col min="5" max="5" width="1.42578125" customWidth="1"/>
    <col min="6" max="6" width="10.7109375" customWidth="1"/>
    <col min="7" max="7" width="8.85546875" customWidth="1"/>
    <col min="8" max="8" width="11" customWidth="1"/>
    <col min="9" max="9" width="0.4257812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1"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85546875" customWidth="1"/>
    <col min="40" max="40" width="11"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5"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 customHeight="1">
      <c r="A6" s="52"/>
      <c r="B6" s="319" t="s">
        <v>294</v>
      </c>
      <c r="C6" s="52"/>
      <c r="D6" s="505" t="s">
        <v>220</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5"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 customHeight="1">
      <c r="A10" s="52"/>
      <c r="B10" s="52"/>
      <c r="C10" s="52"/>
      <c r="D10" s="306" t="s">
        <v>297</v>
      </c>
      <c r="E10" s="306"/>
      <c r="F10" s="386">
        <v>10000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16" si="20">AM15*AL15</f>
        <v>37</v>
      </c>
      <c r="AO15" s="128"/>
      <c r="AP15" s="401">
        <f t="shared" ref="AP15:AP48" si="21">AN15-AG15</f>
        <v>2</v>
      </c>
      <c r="AQ15" s="402">
        <f t="shared" ref="AQ15:AQ48" si="22">IF((AG15)=0,"",(AP15/AG15))</f>
        <v>5.7142857142857141E-2</v>
      </c>
      <c r="AR15" s="403"/>
    </row>
    <row r="16" spans="1:45"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10000</v>
      </c>
      <c r="H17" s="400">
        <f t="shared" si="2"/>
        <v>0</v>
      </c>
      <c r="I17" s="128"/>
      <c r="J17" s="414">
        <f>IFERROR(VLOOKUP($C17,'Proposed Rates'!$B:$J,J$11,FALSE),0)</f>
        <v>0</v>
      </c>
      <c r="K17" s="398">
        <f t="shared" si="3"/>
        <v>10000</v>
      </c>
      <c r="L17" s="400">
        <f t="shared" si="4"/>
        <v>0</v>
      </c>
      <c r="M17" s="128"/>
      <c r="N17" s="401">
        <f t="shared" si="5"/>
        <v>0</v>
      </c>
      <c r="O17" s="402" t="str">
        <f t="shared" si="6"/>
        <v/>
      </c>
      <c r="P17" s="52"/>
      <c r="Q17" s="414">
        <f>IFERROR(VLOOKUP($C17,'Proposed Rates'!$B:$J,Q$11,FALSE),0)</f>
        <v>0</v>
      </c>
      <c r="R17" s="398">
        <f t="shared" si="7"/>
        <v>10000</v>
      </c>
      <c r="S17" s="400">
        <f t="shared" si="8"/>
        <v>0</v>
      </c>
      <c r="T17" s="128"/>
      <c r="U17" s="401">
        <f t="shared" si="9"/>
        <v>0</v>
      </c>
      <c r="V17" s="402" t="str">
        <f t="shared" si="10"/>
        <v/>
      </c>
      <c r="W17" s="52"/>
      <c r="X17" s="414">
        <f>IFERROR(VLOOKUP($C17,'Proposed Rates'!$B:$J,X$11,FALSE),0)</f>
        <v>0</v>
      </c>
      <c r="Y17" s="398">
        <f t="shared" si="11"/>
        <v>10000</v>
      </c>
      <c r="Z17" s="400">
        <f t="shared" si="12"/>
        <v>0</v>
      </c>
      <c r="AA17" s="128"/>
      <c r="AB17" s="401">
        <f t="shared" si="13"/>
        <v>0</v>
      </c>
      <c r="AC17" s="402" t="str">
        <f t="shared" si="14"/>
        <v/>
      </c>
      <c r="AD17" s="52"/>
      <c r="AE17" s="414">
        <f>IFERROR(VLOOKUP($C17,'Proposed Rates'!$B:$J,AE$11,FALSE),0)</f>
        <v>0</v>
      </c>
      <c r="AF17" s="398">
        <f t="shared" si="15"/>
        <v>10000</v>
      </c>
      <c r="AG17" s="400">
        <f t="shared" si="16"/>
        <v>0</v>
      </c>
      <c r="AH17" s="128"/>
      <c r="AI17" s="401">
        <f t="shared" si="17"/>
        <v>0</v>
      </c>
      <c r="AJ17" s="402" t="str">
        <f t="shared" si="18"/>
        <v/>
      </c>
      <c r="AK17" s="52"/>
      <c r="AL17" s="414">
        <f>IFERROR(VLOOKUP($C17,'Proposed Rates'!$B:$J,AL$11,FALSE),0)</f>
        <v>0</v>
      </c>
      <c r="AM17" s="398">
        <f t="shared" si="19"/>
        <v>10000</v>
      </c>
      <c r="AN17" s="400">
        <f t="shared" ref="AN17:AN18" si="23">AL17*AM17</f>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3"/>
        <v>0</v>
      </c>
      <c r="AO18" s="128"/>
      <c r="AP18" s="401">
        <f t="shared" si="21"/>
        <v>0</v>
      </c>
      <c r="AQ18" s="402" t="str">
        <f t="shared" si="22"/>
        <v/>
      </c>
      <c r="AR18" s="403"/>
    </row>
    <row r="19" spans="1:44"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10000</v>
      </c>
      <c r="H19" s="400">
        <f t="shared" si="2"/>
        <v>305</v>
      </c>
      <c r="I19" s="128"/>
      <c r="J19" s="414">
        <f>IFERROR(VLOOKUP($C19,'Proposed Rates'!$B:$J,J$11,FALSE),0)</f>
        <v>3.6400000000000002E-2</v>
      </c>
      <c r="K19" s="398">
        <f t="shared" si="3"/>
        <v>10000</v>
      </c>
      <c r="L19" s="400">
        <f t="shared" si="4"/>
        <v>364</v>
      </c>
      <c r="M19" s="128"/>
      <c r="N19" s="401">
        <f t="shared" si="5"/>
        <v>59</v>
      </c>
      <c r="O19" s="402">
        <f t="shared" si="6"/>
        <v>0.19344262295081968</v>
      </c>
      <c r="P19" s="52"/>
      <c r="Q19" s="414">
        <f>IFERROR(VLOOKUP($C19,'Proposed Rates'!$B:$J,Q$11,FALSE),0)</f>
        <v>3.9100000000000003E-2</v>
      </c>
      <c r="R19" s="398">
        <f t="shared" si="7"/>
        <v>10000</v>
      </c>
      <c r="S19" s="400">
        <f t="shared" si="8"/>
        <v>391</v>
      </c>
      <c r="T19" s="128"/>
      <c r="U19" s="401">
        <f t="shared" si="9"/>
        <v>27</v>
      </c>
      <c r="V19" s="402">
        <f t="shared" si="10"/>
        <v>7.4175824175824176E-2</v>
      </c>
      <c r="W19" s="52"/>
      <c r="X19" s="414">
        <f>IFERROR(VLOOKUP($C19,'Proposed Rates'!$B:$J,X$11,FALSE),0)</f>
        <v>4.2599999999999999E-2</v>
      </c>
      <c r="Y19" s="398">
        <f t="shared" si="11"/>
        <v>10000</v>
      </c>
      <c r="Z19" s="400">
        <f t="shared" si="12"/>
        <v>426</v>
      </c>
      <c r="AA19" s="128"/>
      <c r="AB19" s="401">
        <f t="shared" si="13"/>
        <v>35</v>
      </c>
      <c r="AC19" s="402">
        <f t="shared" si="14"/>
        <v>8.9514066496163683E-2</v>
      </c>
      <c r="AD19" s="52"/>
      <c r="AE19" s="414">
        <f>IFERROR(VLOOKUP($C19,'Proposed Rates'!$B:$J,AE$11,FALSE),0)</f>
        <v>4.53E-2</v>
      </c>
      <c r="AF19" s="398">
        <f t="shared" si="15"/>
        <v>10000</v>
      </c>
      <c r="AG19" s="400">
        <f t="shared" si="16"/>
        <v>453</v>
      </c>
      <c r="AH19" s="128"/>
      <c r="AI19" s="401">
        <f t="shared" si="17"/>
        <v>27</v>
      </c>
      <c r="AJ19" s="402">
        <f t="shared" si="18"/>
        <v>6.3380281690140844E-2</v>
      </c>
      <c r="AK19" s="52"/>
      <c r="AL19" s="414">
        <f>IFERROR(VLOOKUP($C19,'Proposed Rates'!$B:$J,AL$11,FALSE),0)</f>
        <v>4.7899999999999998E-2</v>
      </c>
      <c r="AM19" s="398">
        <f t="shared" si="19"/>
        <v>10000</v>
      </c>
      <c r="AN19" s="400">
        <f t="shared" ref="AN19:AN28" si="24">AM19*AL19</f>
        <v>479</v>
      </c>
      <c r="AO19" s="128"/>
      <c r="AP19" s="401">
        <f t="shared" si="21"/>
        <v>26</v>
      </c>
      <c r="AQ19" s="402">
        <f t="shared" si="22"/>
        <v>5.7395143487858721E-2</v>
      </c>
      <c r="AR19" s="403"/>
    </row>
    <row r="20" spans="1:44" ht="12" customHeight="1">
      <c r="A20" s="52"/>
      <c r="B20" s="320" t="s">
        <v>309</v>
      </c>
      <c r="C20" s="395" t="str">
        <f t="shared" si="0"/>
        <v>General Service &lt; 50 kW.Smart Meter Disposition Rider</v>
      </c>
      <c r="D20" s="396" t="s">
        <v>308</v>
      </c>
      <c r="E20" s="320"/>
      <c r="F20" s="414">
        <f>IFERROR(VLOOKUP($C20,'Proposed Rates'!$B:$J,F$11,FALSE),0)</f>
        <v>0</v>
      </c>
      <c r="G20" s="398">
        <f t="shared" si="1"/>
        <v>10000</v>
      </c>
      <c r="H20" s="400">
        <f t="shared" si="2"/>
        <v>0</v>
      </c>
      <c r="I20" s="128"/>
      <c r="J20" s="414">
        <f>IFERROR(VLOOKUP($C20,'Proposed Rates'!$B:$J,J$11,FALSE),0)</f>
        <v>0</v>
      </c>
      <c r="K20" s="398">
        <f t="shared" si="3"/>
        <v>10000</v>
      </c>
      <c r="L20" s="400">
        <f t="shared" si="4"/>
        <v>0</v>
      </c>
      <c r="M20" s="128"/>
      <c r="N20" s="401">
        <f t="shared" si="5"/>
        <v>0</v>
      </c>
      <c r="O20" s="402" t="str">
        <f t="shared" si="6"/>
        <v/>
      </c>
      <c r="P20" s="52"/>
      <c r="Q20" s="414">
        <f>IFERROR(VLOOKUP($C20,'Proposed Rates'!$B:$J,Q$11,FALSE),0)</f>
        <v>0</v>
      </c>
      <c r="R20" s="398">
        <f t="shared" si="7"/>
        <v>10000</v>
      </c>
      <c r="S20" s="400">
        <f t="shared" si="8"/>
        <v>0</v>
      </c>
      <c r="T20" s="128"/>
      <c r="U20" s="401">
        <f t="shared" si="9"/>
        <v>0</v>
      </c>
      <c r="V20" s="402" t="str">
        <f t="shared" si="10"/>
        <v/>
      </c>
      <c r="W20" s="52"/>
      <c r="X20" s="414">
        <f>IFERROR(VLOOKUP($C20,'Proposed Rates'!$B:$J,X$11,FALSE),0)</f>
        <v>0</v>
      </c>
      <c r="Y20" s="398">
        <f t="shared" si="11"/>
        <v>10000</v>
      </c>
      <c r="Z20" s="400">
        <f t="shared" si="12"/>
        <v>0</v>
      </c>
      <c r="AA20" s="128"/>
      <c r="AB20" s="401">
        <f t="shared" si="13"/>
        <v>0</v>
      </c>
      <c r="AC20" s="402" t="str">
        <f t="shared" si="14"/>
        <v/>
      </c>
      <c r="AD20" s="52"/>
      <c r="AE20" s="414">
        <f>IFERROR(VLOOKUP($C20,'Proposed Rates'!$B:$J,AE$11,FALSE),0)</f>
        <v>0</v>
      </c>
      <c r="AF20" s="398">
        <f t="shared" si="15"/>
        <v>10000</v>
      </c>
      <c r="AG20" s="400">
        <f t="shared" si="16"/>
        <v>0</v>
      </c>
      <c r="AH20" s="128"/>
      <c r="AI20" s="401">
        <f t="shared" si="17"/>
        <v>0</v>
      </c>
      <c r="AJ20" s="402" t="str">
        <f t="shared" si="18"/>
        <v/>
      </c>
      <c r="AK20" s="52"/>
      <c r="AL20" s="414">
        <f>IFERROR(VLOOKUP($C20,'Proposed Rates'!$B:$J,AL$11,FALSE),0)</f>
        <v>0</v>
      </c>
      <c r="AM20" s="398">
        <f t="shared" si="19"/>
        <v>10000</v>
      </c>
      <c r="AN20" s="400">
        <f t="shared" si="24"/>
        <v>0</v>
      </c>
      <c r="AO20" s="128"/>
      <c r="AP20" s="401">
        <f t="shared" si="21"/>
        <v>0</v>
      </c>
      <c r="AQ20" s="402" t="str">
        <f t="shared" si="22"/>
        <v/>
      </c>
      <c r="AR20" s="403"/>
    </row>
    <row r="21" spans="1:44" ht="12" customHeight="1">
      <c r="A21" s="52"/>
      <c r="B21" s="320" t="s">
        <v>241</v>
      </c>
      <c r="C21" s="395" t="str">
        <f t="shared" si="0"/>
        <v>General Service &lt; 50 kW.LRAM Rate Rider</v>
      </c>
      <c r="D21" s="396" t="s">
        <v>308</v>
      </c>
      <c r="E21" s="320"/>
      <c r="F21" s="414">
        <f>'Proposed Rates'!E78+'Proposed Rates'!E91</f>
        <v>6.9999999999999999E-4</v>
      </c>
      <c r="G21" s="398">
        <f t="shared" si="1"/>
        <v>10000</v>
      </c>
      <c r="H21" s="400">
        <f t="shared" si="2"/>
        <v>7</v>
      </c>
      <c r="I21" s="128"/>
      <c r="J21" s="414">
        <f>'Proposed Rates'!F78+'Proposed Rates'!F91</f>
        <v>4.0000000000000002E-4</v>
      </c>
      <c r="K21" s="398">
        <f t="shared" si="3"/>
        <v>10000</v>
      </c>
      <c r="L21" s="400">
        <f t="shared" si="4"/>
        <v>4</v>
      </c>
      <c r="M21" s="128"/>
      <c r="N21" s="401">
        <f t="shared" si="5"/>
        <v>-3</v>
      </c>
      <c r="O21" s="402">
        <f t="shared" si="6"/>
        <v>-0.42857142857142855</v>
      </c>
      <c r="P21" s="52"/>
      <c r="Q21" s="414">
        <f>'Proposed Rates'!G78+'Proposed Rates'!G91</f>
        <v>0</v>
      </c>
      <c r="R21" s="398">
        <f t="shared" si="7"/>
        <v>10000</v>
      </c>
      <c r="S21" s="400">
        <f t="shared" si="8"/>
        <v>0</v>
      </c>
      <c r="T21" s="128"/>
      <c r="U21" s="401">
        <f t="shared" si="9"/>
        <v>-4</v>
      </c>
      <c r="V21" s="402">
        <f t="shared" si="10"/>
        <v>-1</v>
      </c>
      <c r="W21" s="52"/>
      <c r="X21" s="414">
        <f>IFERROR(VLOOKUP($C21,'Proposed Rates'!$B:$J,X$11,FALSE),0)</f>
        <v>0</v>
      </c>
      <c r="Y21" s="398">
        <f t="shared" si="11"/>
        <v>10000</v>
      </c>
      <c r="Z21" s="400">
        <f t="shared" si="12"/>
        <v>0</v>
      </c>
      <c r="AA21" s="128"/>
      <c r="AB21" s="401">
        <f t="shared" si="13"/>
        <v>0</v>
      </c>
      <c r="AC21" s="402" t="str">
        <f t="shared" si="14"/>
        <v/>
      </c>
      <c r="AD21" s="52"/>
      <c r="AE21" s="414">
        <f>IFERROR(VLOOKUP($C21,'Proposed Rates'!$B:$J,AE$11,FALSE),0)</f>
        <v>0</v>
      </c>
      <c r="AF21" s="398">
        <f t="shared" si="15"/>
        <v>10000</v>
      </c>
      <c r="AG21" s="400">
        <f t="shared" si="16"/>
        <v>0</v>
      </c>
      <c r="AH21" s="128"/>
      <c r="AI21" s="401">
        <f t="shared" si="17"/>
        <v>0</v>
      </c>
      <c r="AJ21" s="402" t="str">
        <f t="shared" si="18"/>
        <v/>
      </c>
      <c r="AK21" s="52"/>
      <c r="AL21" s="414">
        <f>IFERROR(VLOOKUP($C21,'Proposed Rates'!$B:$J,AL$11,FALSE),0)</f>
        <v>0</v>
      </c>
      <c r="AM21" s="398">
        <f t="shared" si="19"/>
        <v>10000</v>
      </c>
      <c r="AN21" s="400">
        <f t="shared" si="24"/>
        <v>0</v>
      </c>
      <c r="AO21" s="128"/>
      <c r="AP21" s="401">
        <f t="shared" si="21"/>
        <v>0</v>
      </c>
      <c r="AQ21" s="402" t="str">
        <f t="shared" si="22"/>
        <v/>
      </c>
      <c r="AR21" s="403"/>
    </row>
    <row r="22" spans="1:44"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10000</v>
      </c>
      <c r="H22" s="400">
        <f t="shared" si="2"/>
        <v>0</v>
      </c>
      <c r="I22" s="128"/>
      <c r="J22" s="414">
        <f>IFERROR(VLOOKUP($C22,'Proposed Rates'!$B:$J,J$11,FALSE),0)</f>
        <v>-5.9999999999999995E-4</v>
      </c>
      <c r="K22" s="398">
        <f t="shared" si="3"/>
        <v>10000</v>
      </c>
      <c r="L22" s="400">
        <f t="shared" si="4"/>
        <v>-5.9999999999999991</v>
      </c>
      <c r="M22" s="128"/>
      <c r="N22" s="401">
        <f t="shared" si="5"/>
        <v>-5.9999999999999991</v>
      </c>
      <c r="O22" s="402" t="str">
        <f t="shared" si="6"/>
        <v/>
      </c>
      <c r="P22" s="52"/>
      <c r="Q22" s="414">
        <f>IFERROR(VLOOKUP($C22,'Proposed Rates'!$B:$J,Q$11,FALSE),0)</f>
        <v>0</v>
      </c>
      <c r="R22" s="398">
        <f t="shared" si="7"/>
        <v>10000</v>
      </c>
      <c r="S22" s="400">
        <f t="shared" si="8"/>
        <v>0</v>
      </c>
      <c r="T22" s="128"/>
      <c r="U22" s="401">
        <f t="shared" si="9"/>
        <v>5.9999999999999991</v>
      </c>
      <c r="V22" s="402">
        <f t="shared" si="10"/>
        <v>-1</v>
      </c>
      <c r="W22" s="52"/>
      <c r="X22" s="414">
        <f>IFERROR(VLOOKUP($C22,'Proposed Rates'!$B:$J,X$11,FALSE),0)</f>
        <v>0</v>
      </c>
      <c r="Y22" s="398">
        <f t="shared" si="11"/>
        <v>10000</v>
      </c>
      <c r="Z22" s="400">
        <f t="shared" si="12"/>
        <v>0</v>
      </c>
      <c r="AA22" s="128"/>
      <c r="AB22" s="401">
        <f t="shared" si="13"/>
        <v>0</v>
      </c>
      <c r="AC22" s="402" t="str">
        <f t="shared" si="14"/>
        <v/>
      </c>
      <c r="AD22" s="52"/>
      <c r="AE22" s="414">
        <f>IFERROR(VLOOKUP($C22,'Proposed Rates'!$B:$J,AE$11,FALSE),0)</f>
        <v>0</v>
      </c>
      <c r="AF22" s="398">
        <f t="shared" si="15"/>
        <v>10000</v>
      </c>
      <c r="AG22" s="400">
        <f t="shared" si="16"/>
        <v>0</v>
      </c>
      <c r="AH22" s="128"/>
      <c r="AI22" s="401">
        <f t="shared" si="17"/>
        <v>0</v>
      </c>
      <c r="AJ22" s="402" t="str">
        <f t="shared" si="18"/>
        <v/>
      </c>
      <c r="AK22" s="52"/>
      <c r="AL22" s="414">
        <f>IFERROR(VLOOKUP($C22,'Proposed Rates'!$B:$J,AL$11,FALSE),0)</f>
        <v>0</v>
      </c>
      <c r="AM22" s="398">
        <f t="shared" si="19"/>
        <v>10000</v>
      </c>
      <c r="AN22" s="400">
        <f t="shared" si="24"/>
        <v>0</v>
      </c>
      <c r="AO22" s="128"/>
      <c r="AP22" s="401">
        <f t="shared" si="21"/>
        <v>0</v>
      </c>
      <c r="AQ22" s="402" t="str">
        <f t="shared" si="22"/>
        <v/>
      </c>
      <c r="AR22" s="403"/>
    </row>
    <row r="23" spans="1:44"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4"/>
        <v>0</v>
      </c>
      <c r="AO23" s="128"/>
      <c r="AP23" s="401">
        <f t="shared" si="21"/>
        <v>0</v>
      </c>
      <c r="AQ23" s="402" t="str">
        <f t="shared" si="22"/>
        <v/>
      </c>
      <c r="AR23" s="403"/>
    </row>
    <row r="24" spans="1:44"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4"/>
        <v>0</v>
      </c>
      <c r="AO24" s="128"/>
      <c r="AP24" s="401">
        <f t="shared" si="21"/>
        <v>0</v>
      </c>
      <c r="AQ24" s="402" t="str">
        <f t="shared" si="22"/>
        <v/>
      </c>
      <c r="AR24" s="403"/>
    </row>
    <row r="25" spans="1:44"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4"/>
        <v>0</v>
      </c>
      <c r="AO25" s="128"/>
      <c r="AP25" s="401">
        <f t="shared" si="21"/>
        <v>0</v>
      </c>
      <c r="AQ25" s="402" t="str">
        <f t="shared" si="22"/>
        <v/>
      </c>
      <c r="AR25" s="403"/>
    </row>
    <row r="26" spans="1:44"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4"/>
        <v>0</v>
      </c>
      <c r="AO26" s="128"/>
      <c r="AP26" s="401">
        <f t="shared" si="21"/>
        <v>0</v>
      </c>
      <c r="AQ26" s="402" t="str">
        <f t="shared" si="22"/>
        <v/>
      </c>
      <c r="AR26" s="403"/>
    </row>
    <row r="27" spans="1:44"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4"/>
        <v>0</v>
      </c>
      <c r="AO27" s="128"/>
      <c r="AP27" s="401">
        <f t="shared" si="21"/>
        <v>0</v>
      </c>
      <c r="AQ27" s="402" t="str">
        <f t="shared" si="22"/>
        <v/>
      </c>
      <c r="AR27" s="403"/>
    </row>
    <row r="28" spans="1:44"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4"/>
        <v>0</v>
      </c>
      <c r="AO28" s="128"/>
      <c r="AP28" s="401">
        <f t="shared" si="21"/>
        <v>0</v>
      </c>
      <c r="AQ28" s="402" t="str">
        <f t="shared" si="22"/>
        <v/>
      </c>
      <c r="AR28" s="403"/>
    </row>
    <row r="29" spans="1:44" ht="12" customHeight="1">
      <c r="A29" s="306"/>
      <c r="B29" s="405" t="s">
        <v>310</v>
      </c>
      <c r="C29" s="406"/>
      <c r="D29" s="406"/>
      <c r="E29" s="406"/>
      <c r="F29" s="407"/>
      <c r="G29" s="500"/>
      <c r="H29" s="409">
        <f>SUM(H15:H28)</f>
        <v>335.53</v>
      </c>
      <c r="I29" s="410"/>
      <c r="J29" s="407"/>
      <c r="K29" s="500"/>
      <c r="L29" s="409">
        <f>SUM(L15:L28)</f>
        <v>390.08</v>
      </c>
      <c r="M29" s="410"/>
      <c r="N29" s="411">
        <f t="shared" si="5"/>
        <v>54.550000000000011</v>
      </c>
      <c r="O29" s="412">
        <f t="shared" si="6"/>
        <v>0.16257860698000184</v>
      </c>
      <c r="P29" s="306"/>
      <c r="Q29" s="407"/>
      <c r="R29" s="500"/>
      <c r="S29" s="409">
        <f>SUM(S15:S28)</f>
        <v>421.2</v>
      </c>
      <c r="T29" s="410"/>
      <c r="U29" s="411">
        <f t="shared" si="9"/>
        <v>31.120000000000005</v>
      </c>
      <c r="V29" s="412">
        <f t="shared" si="10"/>
        <v>7.9778506972928639E-2</v>
      </c>
      <c r="W29" s="306"/>
      <c r="X29" s="407"/>
      <c r="Y29" s="500"/>
      <c r="Z29" s="409">
        <f>SUM(Z15:Z28)</f>
        <v>458.9</v>
      </c>
      <c r="AA29" s="410"/>
      <c r="AB29" s="411">
        <f t="shared" si="13"/>
        <v>37.699999999999989</v>
      </c>
      <c r="AC29" s="412">
        <f t="shared" si="14"/>
        <v>8.9506172839506154E-2</v>
      </c>
      <c r="AD29" s="306"/>
      <c r="AE29" s="407"/>
      <c r="AF29" s="500"/>
      <c r="AG29" s="409">
        <f>SUM(AG15:AG28)</f>
        <v>488</v>
      </c>
      <c r="AH29" s="410"/>
      <c r="AI29" s="411">
        <f t="shared" si="17"/>
        <v>29.100000000000023</v>
      </c>
      <c r="AJ29" s="412">
        <f t="shared" si="18"/>
        <v>6.3412508171715024E-2</v>
      </c>
      <c r="AK29" s="306"/>
      <c r="AL29" s="407"/>
      <c r="AM29" s="500"/>
      <c r="AN29" s="409">
        <f>SUM(AN15:AN28)</f>
        <v>516</v>
      </c>
      <c r="AO29" s="410"/>
      <c r="AP29" s="411">
        <f t="shared" si="21"/>
        <v>28</v>
      </c>
      <c r="AQ29" s="412">
        <f t="shared" si="22"/>
        <v>5.737704918032787E-2</v>
      </c>
      <c r="AR29" s="413"/>
    </row>
    <row r="30" spans="1:44" ht="12" customHeight="1">
      <c r="A30" s="52"/>
      <c r="B30" s="404" t="s">
        <v>234</v>
      </c>
      <c r="C30" s="395" t="str">
        <f t="shared" ref="C30:C36" si="25">D$6&amp;"."&amp;B30</f>
        <v>General Service &lt; 50 kW.DVA Disposition Rate Rider Group 1 -2025</v>
      </c>
      <c r="D30" s="396" t="s">
        <v>308</v>
      </c>
      <c r="E30" s="320"/>
      <c r="F30" s="414">
        <f>IFERROR(VLOOKUP($C30,'Proposed Rates'!$B:$J,F$11,FALSE),0)</f>
        <v>0</v>
      </c>
      <c r="G30" s="398">
        <f t="shared" ref="G30:G33" si="26">IF($D30="Monthly",1,IF($D30="per KWH",$F$10,0))</f>
        <v>10000</v>
      </c>
      <c r="H30" s="400">
        <f t="shared" ref="H30:H36" si="27">G30*F30</f>
        <v>0</v>
      </c>
      <c r="I30" s="128"/>
      <c r="J30" s="414">
        <f>IFERROR(VLOOKUP($C30,'Proposed Rates'!$B:$J,J$11,FALSE),0)</f>
        <v>-5.0000000000000001E-4</v>
      </c>
      <c r="K30" s="398">
        <f t="shared" ref="K30:K33" si="28">IF($D30="Monthly",1,IF($D30="per KWH",$F$10,0))</f>
        <v>10000</v>
      </c>
      <c r="L30" s="400">
        <f t="shared" ref="L30:L36" si="29">K30*J30</f>
        <v>-5</v>
      </c>
      <c r="M30" s="128"/>
      <c r="N30" s="401">
        <f t="shared" si="5"/>
        <v>-5</v>
      </c>
      <c r="O30" s="402" t="str">
        <f t="shared" si="6"/>
        <v/>
      </c>
      <c r="P30" s="52"/>
      <c r="Q30" s="414">
        <f>IFERROR(VLOOKUP($C30,'Proposed Rates'!$B:$J,Q$11,FALSE),0)</f>
        <v>0</v>
      </c>
      <c r="R30" s="398">
        <f t="shared" ref="R30:R33" si="30">IF($D30="Monthly",1,IF($D30="per KWH",$F$10,0))</f>
        <v>10000</v>
      </c>
      <c r="S30" s="400">
        <f t="shared" ref="S30:S36" si="31">R30*Q30</f>
        <v>0</v>
      </c>
      <c r="T30" s="128"/>
      <c r="U30" s="401">
        <f t="shared" si="9"/>
        <v>5</v>
      </c>
      <c r="V30" s="402">
        <f t="shared" si="10"/>
        <v>-1</v>
      </c>
      <c r="W30" s="52"/>
      <c r="X30" s="414">
        <f>IFERROR(VLOOKUP($C30,'Proposed Rates'!$B:$J,X$11,FALSE),0)</f>
        <v>0</v>
      </c>
      <c r="Y30" s="398">
        <f t="shared" ref="Y30:Y33" si="32">IF($D30="Monthly",1,IF($D30="per KWH",$F$10,0))</f>
        <v>10000</v>
      </c>
      <c r="Z30" s="400">
        <f t="shared" ref="Z30:Z36" si="33">Y30*X30</f>
        <v>0</v>
      </c>
      <c r="AA30" s="128"/>
      <c r="AB30" s="401">
        <f t="shared" si="13"/>
        <v>0</v>
      </c>
      <c r="AC30" s="402" t="str">
        <f t="shared" si="14"/>
        <v/>
      </c>
      <c r="AD30" s="52"/>
      <c r="AE30" s="414">
        <f>IFERROR(VLOOKUP($C30,'Proposed Rates'!$B:$J,AE$11,FALSE),0)</f>
        <v>0</v>
      </c>
      <c r="AF30" s="398">
        <f t="shared" ref="AF30:AF33" si="34">IF($D30="Monthly",1,IF($D30="per KWH",$F$10,0))</f>
        <v>10000</v>
      </c>
      <c r="AG30" s="400">
        <f t="shared" ref="AG30:AG36" si="35">AF30*AE30</f>
        <v>0</v>
      </c>
      <c r="AH30" s="128"/>
      <c r="AI30" s="401">
        <f t="shared" si="17"/>
        <v>0</v>
      </c>
      <c r="AJ30" s="402" t="str">
        <f t="shared" si="18"/>
        <v/>
      </c>
      <c r="AK30" s="52"/>
      <c r="AL30" s="414">
        <f>IFERROR(VLOOKUP($C30,'Proposed Rates'!$B:$J,AL$11,FALSE),0)</f>
        <v>0</v>
      </c>
      <c r="AM30" s="398">
        <f t="shared" ref="AM30:AM33" si="36">IF($D30="Monthly",1,IF($D30="per KWH",$F$10,0))</f>
        <v>10000</v>
      </c>
      <c r="AN30" s="400">
        <f t="shared" ref="AN30:AN36" si="37">AM30*AL30</f>
        <v>0</v>
      </c>
      <c r="AO30" s="128"/>
      <c r="AP30" s="401">
        <f t="shared" si="21"/>
        <v>0</v>
      </c>
      <c r="AQ30" s="402" t="str">
        <f t="shared" si="22"/>
        <v/>
      </c>
      <c r="AR30" s="403"/>
    </row>
    <row r="31" spans="1:44" ht="12" customHeight="1">
      <c r="A31" s="52"/>
      <c r="B31" s="404" t="s">
        <v>236</v>
      </c>
      <c r="C31" s="395" t="str">
        <f t="shared" si="25"/>
        <v>General Service &lt; 50 kW.DVA Disposition Rate Rider Group 1 - 2024</v>
      </c>
      <c r="D31" s="396" t="s">
        <v>308</v>
      </c>
      <c r="E31" s="320"/>
      <c r="F31" s="414">
        <f>IFERROR(VLOOKUP($C31,'Proposed Rates'!$B:$J,F$11,FALSE),0)</f>
        <v>0</v>
      </c>
      <c r="G31" s="398">
        <f t="shared" si="26"/>
        <v>10000</v>
      </c>
      <c r="H31" s="400">
        <f t="shared" si="27"/>
        <v>0</v>
      </c>
      <c r="I31" s="485"/>
      <c r="J31" s="414">
        <f>IFERROR(VLOOKUP($C31,'Proposed Rates'!$B:$J,J$11,FALSE),0)</f>
        <v>0</v>
      </c>
      <c r="K31" s="398">
        <f t="shared" si="28"/>
        <v>10000</v>
      </c>
      <c r="L31" s="400">
        <f t="shared" si="29"/>
        <v>0</v>
      </c>
      <c r="M31" s="417"/>
      <c r="N31" s="401">
        <f t="shared" si="5"/>
        <v>0</v>
      </c>
      <c r="O31" s="402" t="str">
        <f t="shared" si="6"/>
        <v/>
      </c>
      <c r="P31" s="52"/>
      <c r="Q31" s="414">
        <f>IFERROR(VLOOKUP($C31,'Proposed Rates'!$B:$J,Q$11,FALSE),0)</f>
        <v>0</v>
      </c>
      <c r="R31" s="398">
        <f t="shared" si="30"/>
        <v>10000</v>
      </c>
      <c r="S31" s="400">
        <f t="shared" si="31"/>
        <v>0</v>
      </c>
      <c r="T31" s="417"/>
      <c r="U31" s="401">
        <f t="shared" si="9"/>
        <v>0</v>
      </c>
      <c r="V31" s="402" t="str">
        <f t="shared" si="10"/>
        <v/>
      </c>
      <c r="W31" s="52"/>
      <c r="X31" s="414">
        <f>IFERROR(VLOOKUP($C31,'Proposed Rates'!$B:$J,X$11,FALSE),0)</f>
        <v>0</v>
      </c>
      <c r="Y31" s="398">
        <f t="shared" si="32"/>
        <v>10000</v>
      </c>
      <c r="Z31" s="400">
        <f t="shared" si="33"/>
        <v>0</v>
      </c>
      <c r="AA31" s="417"/>
      <c r="AB31" s="401">
        <f t="shared" si="13"/>
        <v>0</v>
      </c>
      <c r="AC31" s="402" t="str">
        <f t="shared" si="14"/>
        <v/>
      </c>
      <c r="AD31" s="52"/>
      <c r="AE31" s="414">
        <f>IFERROR(VLOOKUP($C31,'Proposed Rates'!$B:$J,AE$11,FALSE),0)</f>
        <v>0</v>
      </c>
      <c r="AF31" s="398">
        <f t="shared" si="34"/>
        <v>10000</v>
      </c>
      <c r="AG31" s="400">
        <f t="shared" si="35"/>
        <v>0</v>
      </c>
      <c r="AH31" s="417"/>
      <c r="AI31" s="401">
        <f t="shared" si="17"/>
        <v>0</v>
      </c>
      <c r="AJ31" s="402" t="str">
        <f t="shared" si="18"/>
        <v/>
      </c>
      <c r="AK31" s="52"/>
      <c r="AL31" s="414">
        <f>IFERROR(VLOOKUP($C31,'Proposed Rates'!$B:$J,AL$11,FALSE),0)</f>
        <v>0</v>
      </c>
      <c r="AM31" s="398">
        <f t="shared" si="36"/>
        <v>10000</v>
      </c>
      <c r="AN31" s="400">
        <f t="shared" si="37"/>
        <v>0</v>
      </c>
      <c r="AO31" s="417"/>
      <c r="AP31" s="401">
        <f t="shared" si="21"/>
        <v>0</v>
      </c>
      <c r="AQ31" s="402" t="str">
        <f t="shared" si="22"/>
        <v/>
      </c>
      <c r="AR31" s="403"/>
    </row>
    <row r="32" spans="1:44" ht="12" customHeight="1">
      <c r="A32" s="52"/>
      <c r="B32" s="404" t="s">
        <v>244</v>
      </c>
      <c r="C32" s="395" t="str">
        <f t="shared" si="25"/>
        <v>General Service &lt; 50 kW.CBR Class B Rate Riders</v>
      </c>
      <c r="D32" s="396" t="s">
        <v>308</v>
      </c>
      <c r="E32" s="320"/>
      <c r="F32" s="414">
        <f>IFERROR(VLOOKUP($C32,'Proposed Rates'!$B:$J,F$11,FALSE),0)</f>
        <v>2.0000000000000001E-4</v>
      </c>
      <c r="G32" s="398">
        <f t="shared" si="26"/>
        <v>10000</v>
      </c>
      <c r="H32" s="400">
        <f t="shared" si="27"/>
        <v>2</v>
      </c>
      <c r="I32" s="485"/>
      <c r="J32" s="414">
        <f>IFERROR(VLOOKUP($C32,'Proposed Rates'!$B:$J,J$11,FALSE),0)</f>
        <v>4.0000000000000002E-4</v>
      </c>
      <c r="K32" s="398">
        <f t="shared" si="28"/>
        <v>10000</v>
      </c>
      <c r="L32" s="400">
        <f t="shared" si="29"/>
        <v>4</v>
      </c>
      <c r="M32" s="417"/>
      <c r="N32" s="401">
        <f t="shared" si="5"/>
        <v>2</v>
      </c>
      <c r="O32" s="402">
        <f t="shared" si="6"/>
        <v>1</v>
      </c>
      <c r="P32" s="52"/>
      <c r="Q32" s="414">
        <f>IFERROR(VLOOKUP($C32,'Proposed Rates'!$B:$J,Q$11,FALSE),0)</f>
        <v>0</v>
      </c>
      <c r="R32" s="398">
        <f t="shared" si="30"/>
        <v>10000</v>
      </c>
      <c r="S32" s="400">
        <f t="shared" si="31"/>
        <v>0</v>
      </c>
      <c r="T32" s="417"/>
      <c r="U32" s="401">
        <f t="shared" si="9"/>
        <v>-4</v>
      </c>
      <c r="V32" s="402">
        <f t="shared" si="10"/>
        <v>-1</v>
      </c>
      <c r="W32" s="52"/>
      <c r="X32" s="414">
        <f>IFERROR(VLOOKUP($C32,'Proposed Rates'!$B:$J,X$11,FALSE),0)</f>
        <v>0</v>
      </c>
      <c r="Y32" s="398">
        <f t="shared" si="32"/>
        <v>10000</v>
      </c>
      <c r="Z32" s="400">
        <f t="shared" si="33"/>
        <v>0</v>
      </c>
      <c r="AA32" s="417"/>
      <c r="AB32" s="401">
        <f t="shared" si="13"/>
        <v>0</v>
      </c>
      <c r="AC32" s="402" t="str">
        <f t="shared" si="14"/>
        <v/>
      </c>
      <c r="AD32" s="52"/>
      <c r="AE32" s="414">
        <f>IFERROR(VLOOKUP($C32,'Proposed Rates'!$B:$J,AE$11,FALSE),0)</f>
        <v>0</v>
      </c>
      <c r="AF32" s="398">
        <f t="shared" si="34"/>
        <v>10000</v>
      </c>
      <c r="AG32" s="400">
        <f t="shared" si="35"/>
        <v>0</v>
      </c>
      <c r="AH32" s="417"/>
      <c r="AI32" s="401">
        <f t="shared" si="17"/>
        <v>0</v>
      </c>
      <c r="AJ32" s="402" t="str">
        <f t="shared" si="18"/>
        <v/>
      </c>
      <c r="AK32" s="52"/>
      <c r="AL32" s="414">
        <f>IFERROR(VLOOKUP($C32,'Proposed Rates'!$B:$J,AL$11,FALSE),0)</f>
        <v>0</v>
      </c>
      <c r="AM32" s="398">
        <f t="shared" si="36"/>
        <v>10000</v>
      </c>
      <c r="AN32" s="400">
        <f t="shared" si="37"/>
        <v>0</v>
      </c>
      <c r="AO32" s="417"/>
      <c r="AP32" s="401">
        <f t="shared" si="21"/>
        <v>0</v>
      </c>
      <c r="AQ32" s="402" t="str">
        <f t="shared" si="22"/>
        <v/>
      </c>
      <c r="AR32" s="403"/>
    </row>
    <row r="33" spans="1:44" ht="12" customHeight="1">
      <c r="A33" s="52"/>
      <c r="B33" s="404" t="s">
        <v>311</v>
      </c>
      <c r="C33" s="395" t="str">
        <f t="shared" si="25"/>
        <v>General Service &lt; 50 kW.GA Disposition Rate Rider-NonRPP</v>
      </c>
      <c r="D33" s="396" t="s">
        <v>308</v>
      </c>
      <c r="E33" s="320"/>
      <c r="F33" s="414">
        <f>IFERROR(VLOOKUP($C33,'Proposed Rates'!$B:$J,F$11,FALSE),0)</f>
        <v>0</v>
      </c>
      <c r="G33" s="398">
        <f t="shared" si="26"/>
        <v>10000</v>
      </c>
      <c r="H33" s="400">
        <f t="shared" si="27"/>
        <v>0</v>
      </c>
      <c r="I33" s="485"/>
      <c r="J33" s="414">
        <f>IFERROR(VLOOKUP($C33,'Proposed Rates'!$B:$J,J$11,FALSE),0)</f>
        <v>0</v>
      </c>
      <c r="K33" s="398">
        <f t="shared" si="28"/>
        <v>10000</v>
      </c>
      <c r="L33" s="400">
        <f t="shared" si="29"/>
        <v>0</v>
      </c>
      <c r="M33" s="417"/>
      <c r="N33" s="401">
        <f t="shared" si="5"/>
        <v>0</v>
      </c>
      <c r="O33" s="402" t="str">
        <f t="shared" si="6"/>
        <v/>
      </c>
      <c r="P33" s="52"/>
      <c r="Q33" s="414">
        <f>IFERROR(VLOOKUP($C33,'Proposed Rates'!$B:$J,Q$11,FALSE),0)</f>
        <v>0</v>
      </c>
      <c r="R33" s="398">
        <f t="shared" si="30"/>
        <v>10000</v>
      </c>
      <c r="S33" s="400">
        <f t="shared" si="31"/>
        <v>0</v>
      </c>
      <c r="T33" s="417"/>
      <c r="U33" s="401">
        <f t="shared" si="9"/>
        <v>0</v>
      </c>
      <c r="V33" s="402" t="str">
        <f t="shared" si="10"/>
        <v/>
      </c>
      <c r="W33" s="52"/>
      <c r="X33" s="414">
        <f>IFERROR(VLOOKUP($C33,'Proposed Rates'!$B:$J,X$11,FALSE),0)</f>
        <v>0</v>
      </c>
      <c r="Y33" s="398">
        <f t="shared" si="32"/>
        <v>10000</v>
      </c>
      <c r="Z33" s="400">
        <f t="shared" si="33"/>
        <v>0</v>
      </c>
      <c r="AA33" s="417"/>
      <c r="AB33" s="401">
        <f t="shared" si="13"/>
        <v>0</v>
      </c>
      <c r="AC33" s="402" t="str">
        <f t="shared" si="14"/>
        <v/>
      </c>
      <c r="AD33" s="52"/>
      <c r="AE33" s="414">
        <f>IFERROR(VLOOKUP($C33,'Proposed Rates'!$B:$J,AE$11,FALSE),0)</f>
        <v>0</v>
      </c>
      <c r="AF33" s="398">
        <f t="shared" si="34"/>
        <v>10000</v>
      </c>
      <c r="AG33" s="400">
        <f t="shared" si="35"/>
        <v>0</v>
      </c>
      <c r="AH33" s="417"/>
      <c r="AI33" s="401">
        <f t="shared" si="17"/>
        <v>0</v>
      </c>
      <c r="AJ33" s="402" t="str">
        <f t="shared" si="18"/>
        <v/>
      </c>
      <c r="AK33" s="52"/>
      <c r="AL33" s="414">
        <f>IFERROR(VLOOKUP($C33,'Proposed Rates'!$B:$J,AL$11,FALSE),0)</f>
        <v>0</v>
      </c>
      <c r="AM33" s="398">
        <f t="shared" si="36"/>
        <v>10000</v>
      </c>
      <c r="AN33" s="400">
        <f t="shared" si="37"/>
        <v>0</v>
      </c>
      <c r="AO33" s="417"/>
      <c r="AP33" s="401">
        <f t="shared" si="21"/>
        <v>0</v>
      </c>
      <c r="AQ33" s="402" t="str">
        <f t="shared" si="22"/>
        <v/>
      </c>
      <c r="AR33" s="403"/>
    </row>
    <row r="34" spans="1:44" ht="12" customHeight="1">
      <c r="A34" s="52"/>
      <c r="B34" s="320" t="s">
        <v>269</v>
      </c>
      <c r="C34" s="395" t="str">
        <f t="shared" si="25"/>
        <v>General Service &lt; 50 kW.Low Voltage Service Charge</v>
      </c>
      <c r="D34" s="396" t="s">
        <v>308</v>
      </c>
      <c r="E34" s="320"/>
      <c r="F34" s="418">
        <f>IFERROR(VLOOKUP($C34,'Proposed Rates'!$B:$J,F$11,FALSE),0)</f>
        <v>5.0000000000000002E-5</v>
      </c>
      <c r="G34" s="419">
        <f>$F$10*(1+F$63)</f>
        <v>10338</v>
      </c>
      <c r="H34" s="400">
        <f t="shared" si="27"/>
        <v>0.51690000000000003</v>
      </c>
      <c r="I34" s="128"/>
      <c r="J34" s="418">
        <f>IFERROR(VLOOKUP($C34,'Proposed Rates'!$B:$J,J$11,FALSE),0)</f>
        <v>6.0000000000000002E-5</v>
      </c>
      <c r="K34" s="419">
        <f>$F$10*(1+J$63)</f>
        <v>10331.999999999998</v>
      </c>
      <c r="L34" s="400">
        <f t="shared" si="29"/>
        <v>0.61991999999999992</v>
      </c>
      <c r="M34" s="128"/>
      <c r="N34" s="401">
        <f t="shared" si="5"/>
        <v>0.10301999999999989</v>
      </c>
      <c r="O34" s="402">
        <f t="shared" si="6"/>
        <v>0.19930354033662195</v>
      </c>
      <c r="P34" s="52"/>
      <c r="Q34" s="418">
        <f>IFERROR(VLOOKUP($C34,'Proposed Rates'!$B:$J,Q$11,FALSE),0)</f>
        <v>6.0000000000000002E-5</v>
      </c>
      <c r="R34" s="419">
        <f>$F$10*(1+Q$63)</f>
        <v>10331.999999999998</v>
      </c>
      <c r="S34" s="400">
        <f t="shared" si="31"/>
        <v>0.61991999999999992</v>
      </c>
      <c r="T34" s="128"/>
      <c r="U34" s="401">
        <f t="shared" si="9"/>
        <v>0</v>
      </c>
      <c r="V34" s="402">
        <f t="shared" si="10"/>
        <v>0</v>
      </c>
      <c r="W34" s="52"/>
      <c r="X34" s="418">
        <f>IFERROR(VLOOKUP($C34,'Proposed Rates'!$B:$J,X$11,FALSE),0)</f>
        <v>6.0000000000000002E-5</v>
      </c>
      <c r="Y34" s="419">
        <f>$F$10*(1+X$63)</f>
        <v>10331.999999999998</v>
      </c>
      <c r="Z34" s="400">
        <f t="shared" si="33"/>
        <v>0.61991999999999992</v>
      </c>
      <c r="AA34" s="128"/>
      <c r="AB34" s="401">
        <f t="shared" si="13"/>
        <v>0</v>
      </c>
      <c r="AC34" s="402">
        <f t="shared" si="14"/>
        <v>0</v>
      </c>
      <c r="AD34" s="52"/>
      <c r="AE34" s="418">
        <f>IFERROR(VLOOKUP($C34,'Proposed Rates'!$B:$J,AE$11,FALSE),0)</f>
        <v>6.0000000000000002E-5</v>
      </c>
      <c r="AF34" s="419">
        <f>$F$10*(1+AE$63)</f>
        <v>10331.999999999998</v>
      </c>
      <c r="AG34" s="400">
        <f t="shared" si="35"/>
        <v>0.61991999999999992</v>
      </c>
      <c r="AH34" s="128"/>
      <c r="AI34" s="401">
        <f t="shared" si="17"/>
        <v>0</v>
      </c>
      <c r="AJ34" s="402">
        <f t="shared" si="18"/>
        <v>0</v>
      </c>
      <c r="AK34" s="52"/>
      <c r="AL34" s="418">
        <f>IFERROR(VLOOKUP($C34,'Proposed Rates'!$B:$J,AL$11,FALSE),0)</f>
        <v>6.0000000000000002E-5</v>
      </c>
      <c r="AM34" s="419">
        <f>$F$10*(1+AL$63)</f>
        <v>10331.999999999998</v>
      </c>
      <c r="AN34" s="400">
        <f t="shared" si="37"/>
        <v>0.61991999999999992</v>
      </c>
      <c r="AO34" s="128"/>
      <c r="AP34" s="401">
        <f t="shared" si="21"/>
        <v>0</v>
      </c>
      <c r="AQ34" s="402">
        <f t="shared" si="22"/>
        <v>0</v>
      </c>
      <c r="AR34" s="403"/>
    </row>
    <row r="35" spans="1:44" ht="12" customHeight="1">
      <c r="A35" s="52"/>
      <c r="B35" s="320" t="s">
        <v>312</v>
      </c>
      <c r="C35" s="395" t="str">
        <f t="shared" si="25"/>
        <v>General Service &lt; 50 kW.Line Losses on Cost of Power</v>
      </c>
      <c r="D35" s="396" t="s">
        <v>308</v>
      </c>
      <c r="E35" s="320"/>
      <c r="F35" s="420">
        <f>'Proposed Rates'!$K$249*F$44+'Proposed Rates'!$K$250*F$45+'Proposed Rates'!$K$251*F$46</f>
        <v>0.12752000000000002</v>
      </c>
      <c r="G35" s="507">
        <f>$F$10*(1+F$63)-$F$10</f>
        <v>338</v>
      </c>
      <c r="H35" s="400">
        <f t="shared" si="27"/>
        <v>43.101760000000006</v>
      </c>
      <c r="I35" s="128"/>
      <c r="J35" s="420">
        <f>'Proposed Rates'!$K$249*J$44+'Proposed Rates'!$K$250*J$45+'Proposed Rates'!$K$251*J$46</f>
        <v>0.12752000000000002</v>
      </c>
      <c r="K35" s="507">
        <f>$F$10*(1+J$63)-$F$10</f>
        <v>331.99999999999818</v>
      </c>
      <c r="L35" s="400">
        <f t="shared" si="29"/>
        <v>42.336639999999775</v>
      </c>
      <c r="M35" s="128"/>
      <c r="N35" s="401">
        <f t="shared" si="5"/>
        <v>-0.7651200000002305</v>
      </c>
      <c r="O35" s="402">
        <f t="shared" si="6"/>
        <v>-1.7751479289946175E-2</v>
      </c>
      <c r="P35" s="52"/>
      <c r="Q35" s="420">
        <f>'Proposed Rates'!$K$249*Q$44+'Proposed Rates'!$K$250*Q$45+'Proposed Rates'!$K$251*Q$46</f>
        <v>0.12752000000000002</v>
      </c>
      <c r="R35" s="507">
        <f>$F$10*(1+Q$63)-$F$10</f>
        <v>331.99999999999818</v>
      </c>
      <c r="S35" s="400">
        <f t="shared" si="31"/>
        <v>42.336639999999775</v>
      </c>
      <c r="T35" s="128"/>
      <c r="U35" s="401">
        <f t="shared" si="9"/>
        <v>0</v>
      </c>
      <c r="V35" s="402">
        <f t="shared" si="10"/>
        <v>0</v>
      </c>
      <c r="W35" s="52"/>
      <c r="X35" s="420">
        <f>'Proposed Rates'!$K$249*X$44+'Proposed Rates'!$K$250*X$45+'Proposed Rates'!$K$251*X$46</f>
        <v>0.12752000000000002</v>
      </c>
      <c r="Y35" s="507">
        <f>$F$10*(1+X$63)-$F$10</f>
        <v>331.99999999999818</v>
      </c>
      <c r="Z35" s="400">
        <f t="shared" si="33"/>
        <v>42.336639999999775</v>
      </c>
      <c r="AA35" s="128"/>
      <c r="AB35" s="401">
        <f t="shared" si="13"/>
        <v>0</v>
      </c>
      <c r="AC35" s="402">
        <f t="shared" si="14"/>
        <v>0</v>
      </c>
      <c r="AD35" s="52"/>
      <c r="AE35" s="420">
        <f>'Proposed Rates'!$K$249*AE$44+'Proposed Rates'!$K$250*AE$45+'Proposed Rates'!$K$251*AE$46</f>
        <v>0.12752000000000002</v>
      </c>
      <c r="AF35" s="507">
        <f>$F$10*(1+AE$63)-$F$10</f>
        <v>331.99999999999818</v>
      </c>
      <c r="AG35" s="400">
        <f t="shared" si="35"/>
        <v>42.336639999999775</v>
      </c>
      <c r="AH35" s="128"/>
      <c r="AI35" s="401">
        <f t="shared" si="17"/>
        <v>0</v>
      </c>
      <c r="AJ35" s="402">
        <f t="shared" si="18"/>
        <v>0</v>
      </c>
      <c r="AK35" s="52"/>
      <c r="AL35" s="420">
        <f>'Proposed Rates'!$K$249*AL$44+'Proposed Rates'!$K$250*AL$45+'Proposed Rates'!$K$251*AL$46</f>
        <v>0.12752000000000002</v>
      </c>
      <c r="AM35" s="507">
        <f>$F$10*(1+AL$63)-$F$10</f>
        <v>331.99999999999818</v>
      </c>
      <c r="AN35" s="400">
        <f t="shared" si="37"/>
        <v>42.336639999999775</v>
      </c>
      <c r="AO35" s="128"/>
      <c r="AP35" s="401">
        <f t="shared" si="21"/>
        <v>0</v>
      </c>
      <c r="AQ35" s="402">
        <f t="shared" si="22"/>
        <v>0</v>
      </c>
      <c r="AR35" s="403"/>
    </row>
    <row r="36" spans="1:44" ht="12" customHeight="1">
      <c r="A36" s="52"/>
      <c r="B36" s="320" t="s">
        <v>271</v>
      </c>
      <c r="C36" s="395" t="str">
        <f t="shared" si="25"/>
        <v>General Service &lt; 50 kW.Smart Meter Entity Charge</v>
      </c>
      <c r="D36" s="396" t="s">
        <v>306</v>
      </c>
      <c r="E36" s="320"/>
      <c r="F36" s="397">
        <f>IFERROR(VLOOKUP($C36,'Proposed Rates'!$B:$J,F$11,FALSE),0)</f>
        <v>0.42</v>
      </c>
      <c r="G36" s="398">
        <f>IF($D36="Monthly",1,IF($D36="per KWH",$F$10,0))</f>
        <v>1</v>
      </c>
      <c r="H36" s="400">
        <f t="shared" si="27"/>
        <v>0.42</v>
      </c>
      <c r="I36" s="128"/>
      <c r="J36" s="397">
        <f>IFERROR(VLOOKUP($C36,'Proposed Rates'!$B:$J,J$11,FALSE),0)</f>
        <v>0.42</v>
      </c>
      <c r="K36" s="398">
        <f>IF($D36="Monthly",1,IF($D36="per KWH",$F$10,0))</f>
        <v>1</v>
      </c>
      <c r="L36" s="400">
        <f t="shared" si="29"/>
        <v>0.42</v>
      </c>
      <c r="M36" s="128"/>
      <c r="N36" s="401">
        <f t="shared" si="5"/>
        <v>0</v>
      </c>
      <c r="O36" s="402">
        <f t="shared" si="6"/>
        <v>0</v>
      </c>
      <c r="P36" s="52"/>
      <c r="Q36" s="397">
        <f>IFERROR(VLOOKUP($C36,'Proposed Rates'!$B:$J,Q$11,FALSE),0)</f>
        <v>0.42</v>
      </c>
      <c r="R36" s="398">
        <f>IF($D36="Monthly",1,IF($D36="per KWH",$F$10,0))</f>
        <v>1</v>
      </c>
      <c r="S36" s="400">
        <f t="shared" si="31"/>
        <v>0.42</v>
      </c>
      <c r="T36" s="128"/>
      <c r="U36" s="401">
        <f t="shared" si="9"/>
        <v>0</v>
      </c>
      <c r="V36" s="402">
        <f t="shared" si="10"/>
        <v>0</v>
      </c>
      <c r="W36" s="52"/>
      <c r="X36" s="397">
        <f>IFERROR(VLOOKUP($C36,'Proposed Rates'!$B:$J,X$11,FALSE),0)</f>
        <v>0.43</v>
      </c>
      <c r="Y36" s="398">
        <f>IF($D36="Monthly",1,IF($D36="per KWH",$F$10,0))</f>
        <v>1</v>
      </c>
      <c r="Z36" s="400">
        <f t="shared" si="33"/>
        <v>0.43</v>
      </c>
      <c r="AA36" s="128"/>
      <c r="AB36" s="401">
        <f t="shared" si="13"/>
        <v>1.0000000000000009E-2</v>
      </c>
      <c r="AC36" s="402">
        <f t="shared" si="14"/>
        <v>2.3809523809523832E-2</v>
      </c>
      <c r="AD36" s="52"/>
      <c r="AE36" s="397">
        <f>IFERROR(VLOOKUP($C36,'Proposed Rates'!$B:$J,AE$11,FALSE),0)</f>
        <v>0.44</v>
      </c>
      <c r="AF36" s="398">
        <f>IF($D36="Monthly",1,IF($D36="per KWH",$F$10,0))</f>
        <v>1</v>
      </c>
      <c r="AG36" s="400">
        <f t="shared" si="35"/>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7"/>
        <v>0.45</v>
      </c>
      <c r="AO36" s="128"/>
      <c r="AP36" s="401">
        <f t="shared" si="21"/>
        <v>1.0000000000000009E-2</v>
      </c>
      <c r="AQ36" s="402">
        <f t="shared" si="22"/>
        <v>2.2727272727272749E-2</v>
      </c>
      <c r="AR36" s="403"/>
    </row>
    <row r="37" spans="1:44" ht="12" customHeight="1">
      <c r="A37" s="52"/>
      <c r="B37" s="405" t="s">
        <v>313</v>
      </c>
      <c r="C37" s="422"/>
      <c r="D37" s="422"/>
      <c r="E37" s="422"/>
      <c r="F37" s="423"/>
      <c r="G37" s="501"/>
      <c r="H37" s="409">
        <f>SUM(H30:H36)+H29</f>
        <v>381.56865999999997</v>
      </c>
      <c r="I37" s="425"/>
      <c r="J37" s="423"/>
      <c r="K37" s="501"/>
      <c r="L37" s="409">
        <f>SUM(L30:L36)+L29</f>
        <v>432.45655999999974</v>
      </c>
      <c r="M37" s="425"/>
      <c r="N37" s="411">
        <f t="shared" si="5"/>
        <v>50.887899999999775</v>
      </c>
      <c r="O37" s="412">
        <f t="shared" si="6"/>
        <v>0.13336498862354099</v>
      </c>
      <c r="P37" s="52"/>
      <c r="Q37" s="423"/>
      <c r="R37" s="501"/>
      <c r="S37" s="409">
        <f>SUM(S30:S36)+S29</f>
        <v>464.57655999999974</v>
      </c>
      <c r="T37" s="425"/>
      <c r="U37" s="411">
        <f t="shared" si="9"/>
        <v>32.120000000000005</v>
      </c>
      <c r="V37" s="412">
        <f t="shared" si="10"/>
        <v>7.4273355918106604E-2</v>
      </c>
      <c r="W37" s="52"/>
      <c r="X37" s="423"/>
      <c r="Y37" s="501"/>
      <c r="Z37" s="409">
        <f>SUM(Z30:Z36)+Z29</f>
        <v>502.28655999999978</v>
      </c>
      <c r="AA37" s="425"/>
      <c r="AB37" s="411">
        <f t="shared" si="13"/>
        <v>37.710000000000036</v>
      </c>
      <c r="AC37" s="412">
        <f t="shared" si="14"/>
        <v>8.1170690144160645E-2</v>
      </c>
      <c r="AD37" s="52"/>
      <c r="AE37" s="423"/>
      <c r="AF37" s="501"/>
      <c r="AG37" s="409">
        <f>SUM(AG30:AG36)+AG29</f>
        <v>531.39655999999979</v>
      </c>
      <c r="AH37" s="425"/>
      <c r="AI37" s="411">
        <f t="shared" si="17"/>
        <v>29.110000000000014</v>
      </c>
      <c r="AJ37" s="412">
        <f t="shared" si="18"/>
        <v>5.7954964990502685E-2</v>
      </c>
      <c r="AK37" s="52"/>
      <c r="AL37" s="423"/>
      <c r="AM37" s="501"/>
      <c r="AN37" s="409">
        <f>SUM(AN30:AN36)+AN29</f>
        <v>559.40655999999979</v>
      </c>
      <c r="AO37" s="425"/>
      <c r="AP37" s="411">
        <f t="shared" si="21"/>
        <v>28.009999999999991</v>
      </c>
      <c r="AQ37" s="412">
        <f t="shared" si="22"/>
        <v>5.2710164326242537E-2</v>
      </c>
      <c r="AR37" s="413"/>
    </row>
    <row r="38" spans="1:44" ht="12" customHeight="1">
      <c r="A38" s="52"/>
      <c r="B38" s="128" t="s">
        <v>255</v>
      </c>
      <c r="C38" s="395" t="str">
        <f t="shared" ref="C38:C39" si="38">D$6&amp;"."&amp;B38</f>
        <v>General Service &lt; 50 kW.RTSR - Network</v>
      </c>
      <c r="D38" s="426" t="s">
        <v>308</v>
      </c>
      <c r="E38" s="128"/>
      <c r="F38" s="414">
        <f>IFERROR(VLOOKUP($C38,'Proposed Rates'!$B:$J,F$11,FALSE),0)</f>
        <v>1.18E-2</v>
      </c>
      <c r="G38" s="508">
        <f t="shared" ref="G38:G39" si="39">$F$10*(1+F$63)</f>
        <v>10338</v>
      </c>
      <c r="H38" s="400">
        <f t="shared" ref="H38:H39" si="40">G38*F38</f>
        <v>121.9884</v>
      </c>
      <c r="I38" s="128"/>
      <c r="J38" s="414">
        <f>IFERROR(VLOOKUP($C38,'Proposed Rates'!$B:$J,J$11,FALSE),0)</f>
        <v>1.0699999999999999E-2</v>
      </c>
      <c r="K38" s="508">
        <f t="shared" ref="K38:K39" si="41">$F$10*(1+J$63)</f>
        <v>10331.999999999998</v>
      </c>
      <c r="L38" s="400">
        <f t="shared" ref="L38:L39" si="42">K38*J38</f>
        <v>110.55239999999998</v>
      </c>
      <c r="M38" s="128"/>
      <c r="N38" s="401">
        <f t="shared" si="5"/>
        <v>-11.436000000000021</v>
      </c>
      <c r="O38" s="402">
        <f t="shared" si="6"/>
        <v>-9.374661853094246E-2</v>
      </c>
      <c r="P38" s="52"/>
      <c r="Q38" s="414">
        <f>IFERROR(VLOOKUP($C38,'Proposed Rates'!$B:$J,Q$11,FALSE),0)</f>
        <v>1.0699999999999999E-2</v>
      </c>
      <c r="R38" s="508">
        <f t="shared" ref="R38:R39" si="43">$F$10*(1+Q$63)</f>
        <v>10331.999999999998</v>
      </c>
      <c r="S38" s="400">
        <f t="shared" ref="S38:S39" si="44">R38*Q38</f>
        <v>110.55239999999998</v>
      </c>
      <c r="T38" s="128"/>
      <c r="U38" s="401">
        <f t="shared" si="9"/>
        <v>0</v>
      </c>
      <c r="V38" s="402">
        <f t="shared" si="10"/>
        <v>0</v>
      </c>
      <c r="W38" s="52"/>
      <c r="X38" s="414">
        <f>IFERROR(VLOOKUP($C38,'Proposed Rates'!$B:$J,X$11,FALSE),0)</f>
        <v>1.0699999999999999E-2</v>
      </c>
      <c r="Y38" s="508">
        <f t="shared" ref="Y38:Y39" si="45">$F$10*(1+X$63)</f>
        <v>10331.999999999998</v>
      </c>
      <c r="Z38" s="400">
        <f t="shared" ref="Z38:Z39" si="46">Y38*X38</f>
        <v>110.55239999999998</v>
      </c>
      <c r="AA38" s="128"/>
      <c r="AB38" s="401">
        <f t="shared" si="13"/>
        <v>0</v>
      </c>
      <c r="AC38" s="402">
        <f t="shared" si="14"/>
        <v>0</v>
      </c>
      <c r="AD38" s="52"/>
      <c r="AE38" s="414">
        <f>IFERROR(VLOOKUP($C38,'Proposed Rates'!$B:$J,AE$11,FALSE),0)</f>
        <v>1.0699999999999999E-2</v>
      </c>
      <c r="AF38" s="508">
        <f t="shared" ref="AF38:AF39" si="47">$F$10*(1+AE$63)</f>
        <v>10331.999999999998</v>
      </c>
      <c r="AG38" s="400">
        <f t="shared" ref="AG38:AG39" si="48">AF38*AE38</f>
        <v>110.55239999999998</v>
      </c>
      <c r="AH38" s="128"/>
      <c r="AI38" s="401">
        <f t="shared" si="17"/>
        <v>0</v>
      </c>
      <c r="AJ38" s="402">
        <f t="shared" si="18"/>
        <v>0</v>
      </c>
      <c r="AK38" s="52"/>
      <c r="AL38" s="414">
        <f>IFERROR(VLOOKUP($C38,'Proposed Rates'!$B:$J,AL$11,FALSE),0)</f>
        <v>1.0699999999999999E-2</v>
      </c>
      <c r="AM38" s="508">
        <f t="shared" ref="AM38:AM39" si="49">$F$10*(1+AL$63)</f>
        <v>10331.999999999998</v>
      </c>
      <c r="AN38" s="400">
        <f t="shared" ref="AN38:AN39" si="50">AM38*AL38</f>
        <v>110.55239999999998</v>
      </c>
      <c r="AO38" s="128"/>
      <c r="AP38" s="401">
        <f t="shared" si="21"/>
        <v>0</v>
      </c>
      <c r="AQ38" s="402">
        <f t="shared" si="22"/>
        <v>0</v>
      </c>
      <c r="AR38" s="403"/>
    </row>
    <row r="39" spans="1:44" ht="12" customHeight="1">
      <c r="A39" s="52"/>
      <c r="B39" s="128" t="s">
        <v>256</v>
      </c>
      <c r="C39" s="395" t="str">
        <f t="shared" si="38"/>
        <v>General Service &lt; 50 kW.RTSR - Line and Transformation Connection</v>
      </c>
      <c r="D39" s="426" t="s">
        <v>308</v>
      </c>
      <c r="E39" s="128"/>
      <c r="F39" s="414">
        <f>IFERROR(VLOOKUP($C39,'Proposed Rates'!$B:$J,F$11,FALSE),0)</f>
        <v>7.0000000000000001E-3</v>
      </c>
      <c r="G39" s="508">
        <f t="shared" si="39"/>
        <v>10338</v>
      </c>
      <c r="H39" s="400">
        <f t="shared" si="40"/>
        <v>72.366</v>
      </c>
      <c r="I39" s="128"/>
      <c r="J39" s="414">
        <f>IFERROR(VLOOKUP($C39,'Proposed Rates'!$B:$J,J$11,FALSE),0)</f>
        <v>6.1000000000000004E-3</v>
      </c>
      <c r="K39" s="508">
        <f t="shared" si="41"/>
        <v>10331.999999999998</v>
      </c>
      <c r="L39" s="400">
        <f t="shared" si="42"/>
        <v>63.025199999999991</v>
      </c>
      <c r="M39" s="128"/>
      <c r="N39" s="401">
        <f t="shared" si="5"/>
        <v>-9.3408000000000087</v>
      </c>
      <c r="O39" s="402">
        <f t="shared" si="6"/>
        <v>-0.12907719094602449</v>
      </c>
      <c r="P39" s="52"/>
      <c r="Q39" s="414">
        <f>IFERROR(VLOOKUP($C39,'Proposed Rates'!$B:$J,Q$11,FALSE),0)</f>
        <v>6.1000000000000004E-3</v>
      </c>
      <c r="R39" s="508">
        <f t="shared" si="43"/>
        <v>10331.999999999998</v>
      </c>
      <c r="S39" s="400">
        <f t="shared" si="44"/>
        <v>63.025199999999991</v>
      </c>
      <c r="T39" s="128"/>
      <c r="U39" s="401">
        <f t="shared" si="9"/>
        <v>0</v>
      </c>
      <c r="V39" s="402">
        <f t="shared" si="10"/>
        <v>0</v>
      </c>
      <c r="W39" s="52"/>
      <c r="X39" s="414">
        <f>IFERROR(VLOOKUP($C39,'Proposed Rates'!$B:$J,X$11,FALSE),0)</f>
        <v>6.1000000000000004E-3</v>
      </c>
      <c r="Y39" s="508">
        <f t="shared" si="45"/>
        <v>10331.999999999998</v>
      </c>
      <c r="Z39" s="400">
        <f t="shared" si="46"/>
        <v>63.025199999999991</v>
      </c>
      <c r="AA39" s="128"/>
      <c r="AB39" s="401">
        <f t="shared" si="13"/>
        <v>0</v>
      </c>
      <c r="AC39" s="402">
        <f t="shared" si="14"/>
        <v>0</v>
      </c>
      <c r="AD39" s="52"/>
      <c r="AE39" s="414">
        <f>IFERROR(VLOOKUP($C39,'Proposed Rates'!$B:$J,AE$11,FALSE),0)</f>
        <v>6.1000000000000004E-3</v>
      </c>
      <c r="AF39" s="508">
        <f t="shared" si="47"/>
        <v>10331.999999999998</v>
      </c>
      <c r="AG39" s="400">
        <f t="shared" si="48"/>
        <v>63.025199999999991</v>
      </c>
      <c r="AH39" s="128"/>
      <c r="AI39" s="401">
        <f t="shared" si="17"/>
        <v>0</v>
      </c>
      <c r="AJ39" s="402">
        <f t="shared" si="18"/>
        <v>0</v>
      </c>
      <c r="AK39" s="52"/>
      <c r="AL39" s="414">
        <f>IFERROR(VLOOKUP($C39,'Proposed Rates'!$B:$J,AL$11,FALSE),0)</f>
        <v>6.1000000000000004E-3</v>
      </c>
      <c r="AM39" s="508">
        <f t="shared" si="49"/>
        <v>10331.999999999998</v>
      </c>
      <c r="AN39" s="400">
        <f t="shared" si="50"/>
        <v>63.025199999999991</v>
      </c>
      <c r="AO39" s="128"/>
      <c r="AP39" s="401">
        <f t="shared" si="21"/>
        <v>0</v>
      </c>
      <c r="AQ39" s="402">
        <f t="shared" si="22"/>
        <v>0</v>
      </c>
      <c r="AR39" s="403"/>
    </row>
    <row r="40" spans="1:44" ht="12" customHeight="1">
      <c r="A40" s="52"/>
      <c r="B40" s="405" t="s">
        <v>314</v>
      </c>
      <c r="C40" s="427"/>
      <c r="D40" s="427"/>
      <c r="E40" s="427"/>
      <c r="F40" s="428"/>
      <c r="G40" s="501"/>
      <c r="H40" s="409">
        <f>SUM(H37:H39)</f>
        <v>575.92305999999996</v>
      </c>
      <c r="I40" s="410"/>
      <c r="J40" s="428"/>
      <c r="K40" s="501"/>
      <c r="L40" s="409">
        <f>SUM(L37:L39)</f>
        <v>606.0341599999997</v>
      </c>
      <c r="M40" s="410"/>
      <c r="N40" s="411">
        <f t="shared" si="5"/>
        <v>30.111099999999738</v>
      </c>
      <c r="O40" s="412">
        <f t="shared" si="6"/>
        <v>5.2283199078709819E-2</v>
      </c>
      <c r="P40" s="52"/>
      <c r="Q40" s="428"/>
      <c r="R40" s="501"/>
      <c r="S40" s="409">
        <f>SUM(S37:S39)</f>
        <v>638.15415999999982</v>
      </c>
      <c r="T40" s="410"/>
      <c r="U40" s="411">
        <f t="shared" si="9"/>
        <v>32.120000000000118</v>
      </c>
      <c r="V40" s="412">
        <f t="shared" si="10"/>
        <v>5.3000312721646139E-2</v>
      </c>
      <c r="W40" s="52"/>
      <c r="X40" s="428"/>
      <c r="Y40" s="501"/>
      <c r="Z40" s="409">
        <f>SUM(Z37:Z39)</f>
        <v>675.86415999999986</v>
      </c>
      <c r="AA40" s="410"/>
      <c r="AB40" s="411">
        <f t="shared" si="13"/>
        <v>37.710000000000036</v>
      </c>
      <c r="AC40" s="412">
        <f t="shared" si="14"/>
        <v>5.9092304592984313E-2</v>
      </c>
      <c r="AD40" s="52"/>
      <c r="AE40" s="428"/>
      <c r="AF40" s="501"/>
      <c r="AG40" s="409">
        <f>SUM(AG37:AG39)</f>
        <v>704.97415999999976</v>
      </c>
      <c r="AH40" s="410"/>
      <c r="AI40" s="411">
        <f t="shared" si="17"/>
        <v>29.1099999999999</v>
      </c>
      <c r="AJ40" s="412">
        <f t="shared" si="18"/>
        <v>4.3070785111611637E-2</v>
      </c>
      <c r="AK40" s="52"/>
      <c r="AL40" s="428"/>
      <c r="AM40" s="501"/>
      <c r="AN40" s="409">
        <f>SUM(AN37:AN39)</f>
        <v>732.98415999999975</v>
      </c>
      <c r="AO40" s="410"/>
      <c r="AP40" s="411">
        <f t="shared" si="21"/>
        <v>28.009999999999991</v>
      </c>
      <c r="AQ40" s="412">
        <f t="shared" si="22"/>
        <v>3.9731952728593631E-2</v>
      </c>
      <c r="AR40" s="413"/>
    </row>
    <row r="41" spans="1:44" ht="12" customHeight="1">
      <c r="A41" s="52"/>
      <c r="B41" s="320" t="s">
        <v>257</v>
      </c>
      <c r="C41" s="395" t="str">
        <f t="shared" ref="C41:C48" si="51">D$6&amp;"."&amp;B41</f>
        <v>General Service &lt; 50 kW.Wholesale Market Service Charge (WMSC)</v>
      </c>
      <c r="D41" s="396" t="s">
        <v>308</v>
      </c>
      <c r="E41" s="320"/>
      <c r="F41" s="414">
        <f>IFERROR(VLOOKUP($C41,'Proposed Rates'!$B:$J,F$11,FALSE),0)</f>
        <v>4.4999999999999997E-3</v>
      </c>
      <c r="G41" s="508">
        <f t="shared" ref="G41:G42" si="52">$F$10*(1+F$63)</f>
        <v>10338</v>
      </c>
      <c r="H41" s="400">
        <f t="shared" ref="H41:H48" si="53">G41*F41</f>
        <v>46.520999999999994</v>
      </c>
      <c r="I41" s="128"/>
      <c r="J41" s="414">
        <f>IFERROR(VLOOKUP($C41,'Proposed Rates'!$B:$J,J$11,FALSE),0)</f>
        <v>4.4999999999999997E-3</v>
      </c>
      <c r="K41" s="508">
        <f t="shared" ref="K41:K42" si="54">$F$10*(1+J$63)</f>
        <v>10331.999999999998</v>
      </c>
      <c r="L41" s="400">
        <f t="shared" ref="L41:L48" si="55">K41*J41</f>
        <v>46.493999999999986</v>
      </c>
      <c r="M41" s="128"/>
      <c r="N41" s="401">
        <f t="shared" si="5"/>
        <v>-2.7000000000008129E-2</v>
      </c>
      <c r="O41" s="402">
        <f t="shared" si="6"/>
        <v>-5.8038305281503258E-4</v>
      </c>
      <c r="P41" s="52"/>
      <c r="Q41" s="414">
        <f>IFERROR(VLOOKUP($C41,'Proposed Rates'!$B:$J,Q$11,FALSE),0)</f>
        <v>4.4999999999999997E-3</v>
      </c>
      <c r="R41" s="508">
        <f t="shared" ref="R41:R42" si="56">$F$10*(1+Q$63)</f>
        <v>10331.999999999998</v>
      </c>
      <c r="S41" s="400">
        <f t="shared" ref="S41:S48" si="57">R41*Q41</f>
        <v>46.493999999999986</v>
      </c>
      <c r="T41" s="128"/>
      <c r="U41" s="401">
        <f t="shared" si="9"/>
        <v>0</v>
      </c>
      <c r="V41" s="402">
        <f t="shared" si="10"/>
        <v>0</v>
      </c>
      <c r="W41" s="52"/>
      <c r="X41" s="414">
        <f>IFERROR(VLOOKUP($C41,'Proposed Rates'!$B:$J,X$11,FALSE),0)</f>
        <v>4.4999999999999997E-3</v>
      </c>
      <c r="Y41" s="508">
        <f t="shared" ref="Y41:Y42" si="58">$F$10*(1+X$63)</f>
        <v>10331.999999999998</v>
      </c>
      <c r="Z41" s="400">
        <f t="shared" ref="Z41:Z48" si="59">Y41*X41</f>
        <v>46.493999999999986</v>
      </c>
      <c r="AA41" s="128"/>
      <c r="AB41" s="401">
        <f t="shared" si="13"/>
        <v>0</v>
      </c>
      <c r="AC41" s="402">
        <f t="shared" si="14"/>
        <v>0</v>
      </c>
      <c r="AD41" s="52"/>
      <c r="AE41" s="414">
        <f>IFERROR(VLOOKUP($C41,'Proposed Rates'!$B:$J,AE$11,FALSE),0)</f>
        <v>4.4999999999999997E-3</v>
      </c>
      <c r="AF41" s="508">
        <f t="shared" ref="AF41:AF42" si="60">$F$10*(1+AE$63)</f>
        <v>10331.999999999998</v>
      </c>
      <c r="AG41" s="400">
        <f t="shared" ref="AG41:AG48" si="61">AF41*AE41</f>
        <v>46.493999999999986</v>
      </c>
      <c r="AH41" s="128"/>
      <c r="AI41" s="401">
        <f t="shared" si="17"/>
        <v>0</v>
      </c>
      <c r="AJ41" s="402">
        <f t="shared" si="18"/>
        <v>0</v>
      </c>
      <c r="AK41" s="52"/>
      <c r="AL41" s="414">
        <f>IFERROR(VLOOKUP($C41,'Proposed Rates'!$B:$J,AL$11,FALSE),0)</f>
        <v>4.4999999999999997E-3</v>
      </c>
      <c r="AM41" s="508">
        <f t="shared" ref="AM41:AM42" si="62">$F$10*(1+AL$63)</f>
        <v>10331.999999999998</v>
      </c>
      <c r="AN41" s="400">
        <f t="shared" ref="AN41:AN48" si="63">AM41*AL41</f>
        <v>46.493999999999986</v>
      </c>
      <c r="AO41" s="128"/>
      <c r="AP41" s="401">
        <f t="shared" si="21"/>
        <v>0</v>
      </c>
      <c r="AQ41" s="402">
        <f t="shared" si="22"/>
        <v>0</v>
      </c>
      <c r="AR41" s="403"/>
    </row>
    <row r="42" spans="1:44" ht="12" customHeight="1">
      <c r="A42" s="52"/>
      <c r="B42" s="320" t="s">
        <v>258</v>
      </c>
      <c r="C42" s="395" t="str">
        <f t="shared" si="51"/>
        <v>General Service &lt; 50 kW.Rural and Remote Rate Protection (RRRP)</v>
      </c>
      <c r="D42" s="396" t="s">
        <v>308</v>
      </c>
      <c r="E42" s="320"/>
      <c r="F42" s="414">
        <f>IFERROR(VLOOKUP($C42,'Proposed Rates'!$B:$J,F$11,FALSE),0)</f>
        <v>1.5E-3</v>
      </c>
      <c r="G42" s="508">
        <f t="shared" si="52"/>
        <v>10338</v>
      </c>
      <c r="H42" s="400">
        <f t="shared" si="53"/>
        <v>15.507</v>
      </c>
      <c r="I42" s="128"/>
      <c r="J42" s="414">
        <f>IFERROR(VLOOKUP($C42,'Proposed Rates'!$B:$J,J$11,FALSE),0)</f>
        <v>1.5E-3</v>
      </c>
      <c r="K42" s="508">
        <f t="shared" si="54"/>
        <v>10331.999999999998</v>
      </c>
      <c r="L42" s="400">
        <f t="shared" si="55"/>
        <v>15.497999999999998</v>
      </c>
      <c r="M42" s="128"/>
      <c r="N42" s="401">
        <f t="shared" si="5"/>
        <v>-9.0000000000021174E-3</v>
      </c>
      <c r="O42" s="402">
        <f t="shared" si="6"/>
        <v>-5.8038305281499431E-4</v>
      </c>
      <c r="P42" s="52"/>
      <c r="Q42" s="414">
        <f>IFERROR(VLOOKUP($C42,'Proposed Rates'!$B:$J,Q$11,FALSE),0)</f>
        <v>1.5E-3</v>
      </c>
      <c r="R42" s="508">
        <f t="shared" si="56"/>
        <v>10331.999999999998</v>
      </c>
      <c r="S42" s="400">
        <f t="shared" si="57"/>
        <v>15.497999999999998</v>
      </c>
      <c r="T42" s="128"/>
      <c r="U42" s="401">
        <f t="shared" si="9"/>
        <v>0</v>
      </c>
      <c r="V42" s="402">
        <f t="shared" si="10"/>
        <v>0</v>
      </c>
      <c r="W42" s="52"/>
      <c r="X42" s="414">
        <f>IFERROR(VLOOKUP($C42,'Proposed Rates'!$B:$J,X$11,FALSE),0)</f>
        <v>1.5E-3</v>
      </c>
      <c r="Y42" s="508">
        <f t="shared" si="58"/>
        <v>10331.999999999998</v>
      </c>
      <c r="Z42" s="400">
        <f t="shared" si="59"/>
        <v>15.497999999999998</v>
      </c>
      <c r="AA42" s="128"/>
      <c r="AB42" s="401">
        <f t="shared" si="13"/>
        <v>0</v>
      </c>
      <c r="AC42" s="402">
        <f t="shared" si="14"/>
        <v>0</v>
      </c>
      <c r="AD42" s="52"/>
      <c r="AE42" s="414">
        <f>IFERROR(VLOOKUP($C42,'Proposed Rates'!$B:$J,AE$11,FALSE),0)</f>
        <v>1.5E-3</v>
      </c>
      <c r="AF42" s="508">
        <f t="shared" si="60"/>
        <v>10331.999999999998</v>
      </c>
      <c r="AG42" s="400">
        <f t="shared" si="61"/>
        <v>15.497999999999998</v>
      </c>
      <c r="AH42" s="128"/>
      <c r="AI42" s="401">
        <f t="shared" si="17"/>
        <v>0</v>
      </c>
      <c r="AJ42" s="402">
        <f t="shared" si="18"/>
        <v>0</v>
      </c>
      <c r="AK42" s="52"/>
      <c r="AL42" s="414">
        <f>IFERROR(VLOOKUP($C42,'Proposed Rates'!$B:$J,AL$11,FALSE),0)</f>
        <v>1.5E-3</v>
      </c>
      <c r="AM42" s="508">
        <f t="shared" si="62"/>
        <v>10331.999999999998</v>
      </c>
      <c r="AN42" s="400">
        <f t="shared" si="63"/>
        <v>15.497999999999998</v>
      </c>
      <c r="AO42" s="128"/>
      <c r="AP42" s="401">
        <f t="shared" si="21"/>
        <v>0</v>
      </c>
      <c r="AQ42" s="402">
        <f t="shared" si="22"/>
        <v>0</v>
      </c>
      <c r="AR42" s="403"/>
    </row>
    <row r="43" spans="1:44" ht="12" customHeight="1">
      <c r="A43" s="52"/>
      <c r="B43" s="320" t="s">
        <v>260</v>
      </c>
      <c r="C43" s="395" t="str">
        <f t="shared" si="51"/>
        <v>General Service &lt; 50 kW.Standard Supply Service Charge</v>
      </c>
      <c r="D43" s="396" t="s">
        <v>306</v>
      </c>
      <c r="E43" s="320"/>
      <c r="F43" s="397">
        <f>IFERROR(VLOOKUP($C43,'Proposed Rates'!$B:$J,F$11,FALSE),0)</f>
        <v>0.25</v>
      </c>
      <c r="G43" s="398">
        <f>IF($D43="Monthly",1,IF($D43="per KWH",$F$10,0))</f>
        <v>1</v>
      </c>
      <c r="H43" s="400">
        <f t="shared" si="53"/>
        <v>0.25</v>
      </c>
      <c r="I43" s="128"/>
      <c r="J43" s="397">
        <f>IFERROR(VLOOKUP($C43,'Proposed Rates'!$B:$J,J$11,FALSE),0)</f>
        <v>1.51</v>
      </c>
      <c r="K43" s="398">
        <f>IF($D43="Monthly",1,IF($D43="per KWH",$F$10,0))</f>
        <v>1</v>
      </c>
      <c r="L43" s="400">
        <f t="shared" si="55"/>
        <v>1.51</v>
      </c>
      <c r="M43" s="128"/>
      <c r="N43" s="401">
        <f t="shared" si="5"/>
        <v>1.26</v>
      </c>
      <c r="O43" s="402">
        <f t="shared" si="6"/>
        <v>5.04</v>
      </c>
      <c r="P43" s="52"/>
      <c r="Q43" s="397">
        <f>IFERROR(VLOOKUP($C43,'Proposed Rates'!$B:$J,Q$11,FALSE),0)</f>
        <v>1.54</v>
      </c>
      <c r="R43" s="398">
        <f>IF($D43="Monthly",1,IF($D43="per KWH",$F$10,0))</f>
        <v>1</v>
      </c>
      <c r="S43" s="400">
        <f t="shared" si="57"/>
        <v>1.54</v>
      </c>
      <c r="T43" s="128"/>
      <c r="U43" s="401">
        <f t="shared" si="9"/>
        <v>3.0000000000000027E-2</v>
      </c>
      <c r="V43" s="402">
        <f t="shared" si="10"/>
        <v>1.986754966887419E-2</v>
      </c>
      <c r="W43" s="52"/>
      <c r="X43" s="397">
        <f>IFERROR(VLOOKUP($C43,'Proposed Rates'!$B:$J,X$11,FALSE),0)</f>
        <v>1.57</v>
      </c>
      <c r="Y43" s="398">
        <f>IF($D43="Monthly",1,IF($D43="per KWH",$F$10,0))</f>
        <v>1</v>
      </c>
      <c r="Z43" s="400">
        <f t="shared" si="59"/>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61"/>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3"/>
        <v>1.63</v>
      </c>
      <c r="AO43" s="128"/>
      <c r="AP43" s="401">
        <f t="shared" si="21"/>
        <v>2.9999999999999805E-2</v>
      </c>
      <c r="AQ43" s="402">
        <f t="shared" si="22"/>
        <v>1.8749999999999878E-2</v>
      </c>
      <c r="AR43" s="403"/>
    </row>
    <row r="44" spans="1:44" ht="12" customHeight="1">
      <c r="A44" s="52"/>
      <c r="B44" s="320" t="s">
        <v>262</v>
      </c>
      <c r="C44" s="395" t="str">
        <f t="shared" si="51"/>
        <v>General Service &lt; 50 kW.TOU - Off Peak</v>
      </c>
      <c r="D44" s="396" t="s">
        <v>308</v>
      </c>
      <c r="E44" s="320"/>
      <c r="F44" s="430">
        <f>VLOOKUP($B44,'Proposed Rates'!$D$248:$J$254,+F$11-2,FALSE)</f>
        <v>9.8000000000000004E-2</v>
      </c>
      <c r="G44" s="508">
        <f>'Proposed Rates'!$K$249*$F$10</f>
        <v>6400</v>
      </c>
      <c r="H44" s="400">
        <f t="shared" si="53"/>
        <v>627.20000000000005</v>
      </c>
      <c r="I44" s="128"/>
      <c r="J44" s="430">
        <f>VLOOKUP($B44,'Proposed Rates'!$D$248:$J$254,+J$11-2,FALSE)</f>
        <v>9.8000000000000004E-2</v>
      </c>
      <c r="K44" s="508">
        <f>'Proposed Rates'!$K$249*$F$10</f>
        <v>6400</v>
      </c>
      <c r="L44" s="400">
        <f t="shared" si="55"/>
        <v>627.20000000000005</v>
      </c>
      <c r="M44" s="128"/>
      <c r="N44" s="401">
        <f t="shared" si="5"/>
        <v>0</v>
      </c>
      <c r="O44" s="402">
        <f t="shared" si="6"/>
        <v>0</v>
      </c>
      <c r="P44" s="52"/>
      <c r="Q44" s="430">
        <f>VLOOKUP($B44,'Proposed Rates'!$D$248:$J$254,+Q$11-2,FALSE)</f>
        <v>9.8000000000000004E-2</v>
      </c>
      <c r="R44" s="508">
        <f>'Proposed Rates'!$K$249*$F$10</f>
        <v>6400</v>
      </c>
      <c r="S44" s="400">
        <f t="shared" si="57"/>
        <v>627.20000000000005</v>
      </c>
      <c r="T44" s="128"/>
      <c r="U44" s="401">
        <f t="shared" si="9"/>
        <v>0</v>
      </c>
      <c r="V44" s="402">
        <f t="shared" si="10"/>
        <v>0</v>
      </c>
      <c r="W44" s="52"/>
      <c r="X44" s="430">
        <f>VLOOKUP($B44,'Proposed Rates'!$D$248:$J$254,+X$11-2,FALSE)</f>
        <v>9.8000000000000004E-2</v>
      </c>
      <c r="Y44" s="508">
        <f>'Proposed Rates'!$K$249*$F$10</f>
        <v>6400</v>
      </c>
      <c r="Z44" s="400">
        <f t="shared" si="59"/>
        <v>627.20000000000005</v>
      </c>
      <c r="AA44" s="128"/>
      <c r="AB44" s="401">
        <f t="shared" si="13"/>
        <v>0</v>
      </c>
      <c r="AC44" s="402">
        <f t="shared" si="14"/>
        <v>0</v>
      </c>
      <c r="AD44" s="52"/>
      <c r="AE44" s="430">
        <f>VLOOKUP($B44,'Proposed Rates'!$D$248:$J$254,+AE$11-2,FALSE)</f>
        <v>9.8000000000000004E-2</v>
      </c>
      <c r="AF44" s="508">
        <f>'Proposed Rates'!$K$249*$F$10</f>
        <v>6400</v>
      </c>
      <c r="AG44" s="400">
        <f t="shared" si="61"/>
        <v>627.20000000000005</v>
      </c>
      <c r="AH44" s="128"/>
      <c r="AI44" s="401">
        <f t="shared" si="17"/>
        <v>0</v>
      </c>
      <c r="AJ44" s="402">
        <f t="shared" si="18"/>
        <v>0</v>
      </c>
      <c r="AK44" s="52"/>
      <c r="AL44" s="430">
        <f>VLOOKUP($B44,'Proposed Rates'!$D$248:$J$254,+AL$11-2,FALSE)</f>
        <v>9.8000000000000004E-2</v>
      </c>
      <c r="AM44" s="508">
        <f>'Proposed Rates'!$K$249*$F$10</f>
        <v>6400</v>
      </c>
      <c r="AN44" s="400">
        <f t="shared" si="63"/>
        <v>627.20000000000005</v>
      </c>
      <c r="AO44" s="128"/>
      <c r="AP44" s="401">
        <f t="shared" si="21"/>
        <v>0</v>
      </c>
      <c r="AQ44" s="402">
        <f t="shared" si="22"/>
        <v>0</v>
      </c>
      <c r="AR44" s="403"/>
    </row>
    <row r="45" spans="1:44" ht="12" customHeight="1">
      <c r="A45" s="52"/>
      <c r="B45" s="320" t="s">
        <v>263</v>
      </c>
      <c r="C45" s="395" t="str">
        <f t="shared" si="51"/>
        <v>General Service &lt; 50 kW.TOU - Mid Peak</v>
      </c>
      <c r="D45" s="396" t="s">
        <v>308</v>
      </c>
      <c r="E45" s="320"/>
      <c r="F45" s="430">
        <f>VLOOKUP($B45,'Proposed Rates'!$D$248:$J$254,+F$11-2,FALSE)</f>
        <v>0.157</v>
      </c>
      <c r="G45" s="508">
        <f>'Proposed Rates'!$K$250*$F$10</f>
        <v>1800</v>
      </c>
      <c r="H45" s="400">
        <f t="shared" si="53"/>
        <v>282.60000000000002</v>
      </c>
      <c r="I45" s="128"/>
      <c r="J45" s="430">
        <f>VLOOKUP($B45,'Proposed Rates'!$D$248:$J$254,+J$11-2,FALSE)</f>
        <v>0.157</v>
      </c>
      <c r="K45" s="508">
        <f>'Proposed Rates'!$K$250*$F$10</f>
        <v>1800</v>
      </c>
      <c r="L45" s="400">
        <f t="shared" si="55"/>
        <v>282.60000000000002</v>
      </c>
      <c r="M45" s="128"/>
      <c r="N45" s="401">
        <f t="shared" si="5"/>
        <v>0</v>
      </c>
      <c r="O45" s="402">
        <f t="shared" si="6"/>
        <v>0</v>
      </c>
      <c r="P45" s="52"/>
      <c r="Q45" s="430">
        <f>VLOOKUP($B45,'Proposed Rates'!$D$248:$J$254,+Q$11-2,FALSE)</f>
        <v>0.157</v>
      </c>
      <c r="R45" s="508">
        <f>'Proposed Rates'!$K$250*$F$10</f>
        <v>1800</v>
      </c>
      <c r="S45" s="400">
        <f t="shared" si="57"/>
        <v>282.60000000000002</v>
      </c>
      <c r="T45" s="128"/>
      <c r="U45" s="401">
        <f t="shared" si="9"/>
        <v>0</v>
      </c>
      <c r="V45" s="402">
        <f t="shared" si="10"/>
        <v>0</v>
      </c>
      <c r="W45" s="52"/>
      <c r="X45" s="430">
        <f>VLOOKUP($B45,'Proposed Rates'!$D$248:$J$254,+X$11-2,FALSE)</f>
        <v>0.157</v>
      </c>
      <c r="Y45" s="508">
        <f>'Proposed Rates'!$K$250*$F$10</f>
        <v>1800</v>
      </c>
      <c r="Z45" s="400">
        <f t="shared" si="59"/>
        <v>282.60000000000002</v>
      </c>
      <c r="AA45" s="128"/>
      <c r="AB45" s="401">
        <f t="shared" si="13"/>
        <v>0</v>
      </c>
      <c r="AC45" s="402">
        <f t="shared" si="14"/>
        <v>0</v>
      </c>
      <c r="AD45" s="52"/>
      <c r="AE45" s="430">
        <f>VLOOKUP($B45,'Proposed Rates'!$D$248:$J$254,+AE$11-2,FALSE)</f>
        <v>0.157</v>
      </c>
      <c r="AF45" s="508">
        <f>'Proposed Rates'!$K$250*$F$10</f>
        <v>1800</v>
      </c>
      <c r="AG45" s="400">
        <f t="shared" si="61"/>
        <v>282.60000000000002</v>
      </c>
      <c r="AH45" s="128"/>
      <c r="AI45" s="401">
        <f t="shared" si="17"/>
        <v>0</v>
      </c>
      <c r="AJ45" s="402">
        <f t="shared" si="18"/>
        <v>0</v>
      </c>
      <c r="AK45" s="52"/>
      <c r="AL45" s="430">
        <f>VLOOKUP($B45,'Proposed Rates'!$D$248:$J$254,+AL$11-2,FALSE)</f>
        <v>0.157</v>
      </c>
      <c r="AM45" s="508">
        <f>'Proposed Rates'!$K$250*$F$10</f>
        <v>1800</v>
      </c>
      <c r="AN45" s="400">
        <f t="shared" si="63"/>
        <v>282.60000000000002</v>
      </c>
      <c r="AO45" s="128"/>
      <c r="AP45" s="401">
        <f t="shared" si="21"/>
        <v>0</v>
      </c>
      <c r="AQ45" s="402">
        <f t="shared" si="22"/>
        <v>0</v>
      </c>
      <c r="AR45" s="403"/>
    </row>
    <row r="46" spans="1:44" ht="12" customHeight="1">
      <c r="A46" s="52"/>
      <c r="B46" s="52" t="s">
        <v>264</v>
      </c>
      <c r="C46" s="395" t="str">
        <f t="shared" si="51"/>
        <v>General Service &lt; 50 kW.TOU - On Peak</v>
      </c>
      <c r="D46" s="396" t="s">
        <v>308</v>
      </c>
      <c r="E46" s="320"/>
      <c r="F46" s="430">
        <f>VLOOKUP($B46,'Proposed Rates'!$D$248:$J$254,+F$11-2,FALSE)</f>
        <v>0.20300000000000001</v>
      </c>
      <c r="G46" s="508">
        <f>'Proposed Rates'!$K$251*$F$10</f>
        <v>1800</v>
      </c>
      <c r="H46" s="400">
        <f t="shared" si="53"/>
        <v>365.40000000000003</v>
      </c>
      <c r="I46" s="128"/>
      <c r="J46" s="430">
        <f>VLOOKUP($B46,'Proposed Rates'!$D$248:$J$254,+J$11-2,FALSE)</f>
        <v>0.20300000000000001</v>
      </c>
      <c r="K46" s="508">
        <f>'Proposed Rates'!$K$251*$F$10</f>
        <v>1800</v>
      </c>
      <c r="L46" s="400">
        <f t="shared" si="55"/>
        <v>365.40000000000003</v>
      </c>
      <c r="M46" s="128"/>
      <c r="N46" s="401">
        <f t="shared" si="5"/>
        <v>0</v>
      </c>
      <c r="O46" s="402">
        <f t="shared" si="6"/>
        <v>0</v>
      </c>
      <c r="P46" s="52"/>
      <c r="Q46" s="430">
        <f>VLOOKUP($B46,'Proposed Rates'!$D$248:$J$254,+Q$11-2,FALSE)</f>
        <v>0.20300000000000001</v>
      </c>
      <c r="R46" s="508">
        <f>'Proposed Rates'!$K$251*$F$10</f>
        <v>1800</v>
      </c>
      <c r="S46" s="400">
        <f t="shared" si="57"/>
        <v>365.40000000000003</v>
      </c>
      <c r="T46" s="128"/>
      <c r="U46" s="401">
        <f t="shared" si="9"/>
        <v>0</v>
      </c>
      <c r="V46" s="402">
        <f t="shared" si="10"/>
        <v>0</v>
      </c>
      <c r="W46" s="52"/>
      <c r="X46" s="430">
        <f>VLOOKUP($B46,'Proposed Rates'!$D$248:$J$254,+X$11-2,FALSE)</f>
        <v>0.20300000000000001</v>
      </c>
      <c r="Y46" s="508">
        <f>'Proposed Rates'!$K$251*$F$10</f>
        <v>1800</v>
      </c>
      <c r="Z46" s="400">
        <f t="shared" si="59"/>
        <v>365.40000000000003</v>
      </c>
      <c r="AA46" s="128"/>
      <c r="AB46" s="401">
        <f t="shared" si="13"/>
        <v>0</v>
      </c>
      <c r="AC46" s="402">
        <f t="shared" si="14"/>
        <v>0</v>
      </c>
      <c r="AD46" s="52"/>
      <c r="AE46" s="430">
        <f>VLOOKUP($B46,'Proposed Rates'!$D$248:$J$254,+AE$11-2,FALSE)</f>
        <v>0.20300000000000001</v>
      </c>
      <c r="AF46" s="508">
        <f>'Proposed Rates'!$K$251*$F$10</f>
        <v>1800</v>
      </c>
      <c r="AG46" s="400">
        <f t="shared" si="61"/>
        <v>365.40000000000003</v>
      </c>
      <c r="AH46" s="128"/>
      <c r="AI46" s="401">
        <f t="shared" si="17"/>
        <v>0</v>
      </c>
      <c r="AJ46" s="402">
        <f t="shared" si="18"/>
        <v>0</v>
      </c>
      <c r="AK46" s="52"/>
      <c r="AL46" s="430">
        <f>VLOOKUP($B46,'Proposed Rates'!$D$248:$J$254,+AL$11-2,FALSE)</f>
        <v>0.20300000000000001</v>
      </c>
      <c r="AM46" s="508">
        <f>'Proposed Rates'!$K$251*$F$10</f>
        <v>1800</v>
      </c>
      <c r="AN46" s="400">
        <f t="shared" si="63"/>
        <v>365.40000000000003</v>
      </c>
      <c r="AO46" s="128"/>
      <c r="AP46" s="401">
        <f t="shared" si="21"/>
        <v>0</v>
      </c>
      <c r="AQ46" s="402">
        <f t="shared" si="22"/>
        <v>0</v>
      </c>
      <c r="AR46" s="403"/>
    </row>
    <row r="47" spans="1:44" ht="12" customHeight="1">
      <c r="A47" s="52"/>
      <c r="B47" s="320" t="s">
        <v>265</v>
      </c>
      <c r="C47" s="395" t="str">
        <f t="shared" si="51"/>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3"/>
        <v>90</v>
      </c>
      <c r="I47" s="128"/>
      <c r="J47" s="430">
        <f>VLOOKUP($B47,'Proposed Rates'!$D$248:$J$254,+J$11-2,FALSE)</f>
        <v>0.12</v>
      </c>
      <c r="K47" s="508">
        <f>IF(AND($S$2=1, $F$10&gt;=750), 750, IF(AND($S$2=1, AND($F$10&lt;750, $F$10&gt;=0)), $F$10, IF(AND($S$2=2, $F$10&gt;=1000), 1000, IF(AND($S$2=2, AND($F$10&lt;1000, $F$10&gt;=0)), $F$10))))</f>
        <v>750</v>
      </c>
      <c r="L47" s="400">
        <f t="shared" si="55"/>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7"/>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9"/>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61"/>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3"/>
        <v>90</v>
      </c>
      <c r="AO47" s="128"/>
      <c r="AP47" s="401">
        <f t="shared" si="21"/>
        <v>0</v>
      </c>
      <c r="AQ47" s="402">
        <f t="shared" si="22"/>
        <v>0</v>
      </c>
      <c r="AR47" s="403"/>
    </row>
    <row r="48" spans="1:44" ht="12" customHeight="1">
      <c r="A48" s="52"/>
      <c r="B48" s="320" t="s">
        <v>266</v>
      </c>
      <c r="C48" s="395" t="str">
        <f t="shared" si="51"/>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9250</v>
      </c>
      <c r="H48" s="400">
        <f t="shared" si="53"/>
        <v>1313.4999999999998</v>
      </c>
      <c r="I48" s="128"/>
      <c r="J48" s="430">
        <f>VLOOKUP($B48,'Proposed Rates'!$D$248:$J$254,+J$11-2,FALSE)</f>
        <v>0.14199999999999999</v>
      </c>
      <c r="K48" s="508">
        <f>IF(AND($S$2=1, $F$10&gt;=750), $F$10-750, IF(AND($S$2=1, AND($F$10&lt;750, $F$10&gt;=0)), 0, IF(AND($S$2=2, $F$10&gt;=1000), $F$10-1000, IF(AND($S$2=2, AND($F$10&lt;1000, $F$10&gt;=0)), 0))))</f>
        <v>9250</v>
      </c>
      <c r="L48" s="400">
        <f t="shared" si="55"/>
        <v>1313.4999999999998</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9250</v>
      </c>
      <c r="S48" s="400">
        <f t="shared" si="57"/>
        <v>1313.4999999999998</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9250</v>
      </c>
      <c r="Z48" s="400">
        <f t="shared" si="59"/>
        <v>1313.4999999999998</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9250</v>
      </c>
      <c r="AG48" s="400">
        <f t="shared" si="61"/>
        <v>1313.4999999999998</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9250</v>
      </c>
      <c r="AN48" s="400">
        <f t="shared" si="63"/>
        <v>1313.4999999999998</v>
      </c>
      <c r="AO48" s="128"/>
      <c r="AP48" s="401">
        <f t="shared" si="21"/>
        <v>0</v>
      </c>
      <c r="AQ48" s="402">
        <f t="shared" si="22"/>
        <v>0</v>
      </c>
      <c r="AR48" s="403"/>
    </row>
    <row r="49" spans="1:44" ht="12" customHeight="1">
      <c r="A49" s="52"/>
      <c r="B49" s="434"/>
      <c r="C49" s="435"/>
      <c r="D49" s="435"/>
      <c r="E49" s="435"/>
      <c r="F49" s="436"/>
      <c r="G49" s="476"/>
      <c r="H49" s="438"/>
      <c r="I49" s="440"/>
      <c r="J49" s="436"/>
      <c r="K49" s="437"/>
      <c r="L49" s="438"/>
      <c r="M49" s="440"/>
      <c r="N49" s="441"/>
      <c r="O49" s="442"/>
      <c r="P49" s="52"/>
      <c r="Q49" s="436"/>
      <c r="R49" s="436"/>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1913.4010600000001</v>
      </c>
      <c r="I50" s="482"/>
      <c r="J50" s="445"/>
      <c r="K50" s="446"/>
      <c r="L50" s="448">
        <f>SUM(L41:L46,L40)</f>
        <v>1944.7361599999997</v>
      </c>
      <c r="M50" s="449"/>
      <c r="N50" s="448">
        <f t="shared" ref="N50:N54" si="64">L50-H50</f>
        <v>31.335099999999557</v>
      </c>
      <c r="O50" s="450">
        <f t="shared" ref="O50:O54" si="65">IF((H50)=0,"",(N50/H50))</f>
        <v>1.637665027738594E-2</v>
      </c>
      <c r="P50" s="52"/>
      <c r="Q50" s="445"/>
      <c r="R50" s="446"/>
      <c r="S50" s="448">
        <f>SUM(S41:S46,S40)</f>
        <v>1976.8861599999998</v>
      </c>
      <c r="T50" s="449"/>
      <c r="U50" s="448">
        <f t="shared" ref="U50:U54" si="66">S50-L50</f>
        <v>32.150000000000091</v>
      </c>
      <c r="V50" s="450">
        <f t="shared" ref="V50:V54" si="67">IF((L50)=0,"",(U50/L50))</f>
        <v>1.6531805527799769E-2</v>
      </c>
      <c r="W50" s="52"/>
      <c r="X50" s="445"/>
      <c r="Y50" s="446"/>
      <c r="Z50" s="448">
        <f>SUM(Z41:Z46,Z40)</f>
        <v>2014.62616</v>
      </c>
      <c r="AA50" s="449"/>
      <c r="AB50" s="448">
        <f t="shared" ref="AB50:AB54" si="68">Z50-S50</f>
        <v>37.740000000000236</v>
      </c>
      <c r="AC50" s="450">
        <f t="shared" ref="AC50:AC54" si="69">IF((S50)=0,"",(AB50/S50))</f>
        <v>1.9090628870607421E-2</v>
      </c>
      <c r="AD50" s="52"/>
      <c r="AE50" s="445"/>
      <c r="AF50" s="446"/>
      <c r="AG50" s="448">
        <f>SUM(AG41:AG46,AG40)</f>
        <v>2043.7661599999999</v>
      </c>
      <c r="AH50" s="449"/>
      <c r="AI50" s="448">
        <f t="shared" ref="AI50:AI54" si="70">AG50-Z50</f>
        <v>29.139999999999873</v>
      </c>
      <c r="AJ50" s="450">
        <f t="shared" ref="AJ50:AJ54" si="71">IF((Z50)=0,"",(AI50/Z50))</f>
        <v>1.4464221987467826E-2</v>
      </c>
      <c r="AK50" s="52"/>
      <c r="AL50" s="445"/>
      <c r="AM50" s="446"/>
      <c r="AN50" s="448">
        <f>SUM(AN41:AN46,AN40)</f>
        <v>2071.8061600000001</v>
      </c>
      <c r="AO50" s="449"/>
      <c r="AP50" s="448">
        <f t="shared" ref="AP50:AP54" si="72">AN50-AG50</f>
        <v>28.040000000000191</v>
      </c>
      <c r="AQ50" s="450">
        <f t="shared" ref="AQ50:AQ54" si="73">IF((AG50)=0,"",(AP50/AG50))</f>
        <v>1.3719769193164541E-2</v>
      </c>
      <c r="AR50" s="451"/>
    </row>
    <row r="51" spans="1:44" ht="12" customHeight="1">
      <c r="A51" s="52"/>
      <c r="B51" s="452" t="s">
        <v>316</v>
      </c>
      <c r="C51" s="320"/>
      <c r="D51" s="320"/>
      <c r="E51" s="320"/>
      <c r="F51" s="445">
        <v>0.13</v>
      </c>
      <c r="G51" s="128"/>
      <c r="H51" s="490">
        <f>H50*F51</f>
        <v>248.74213780000002</v>
      </c>
      <c r="I51" s="417"/>
      <c r="J51" s="445">
        <v>0.13</v>
      </c>
      <c r="K51" s="417"/>
      <c r="L51" s="400">
        <f>L50*J51</f>
        <v>252.81570079999997</v>
      </c>
      <c r="M51" s="128"/>
      <c r="N51" s="401">
        <f t="shared" si="64"/>
        <v>4.0735629999999503</v>
      </c>
      <c r="O51" s="402">
        <f t="shared" si="65"/>
        <v>1.6376650277385971E-2</v>
      </c>
      <c r="P51" s="52"/>
      <c r="Q51" s="445">
        <v>0.13</v>
      </c>
      <c r="R51" s="417"/>
      <c r="S51" s="400">
        <f>S50*Q51</f>
        <v>256.99520079999996</v>
      </c>
      <c r="T51" s="128"/>
      <c r="U51" s="401">
        <f t="shared" si="66"/>
        <v>4.1794999999999902</v>
      </c>
      <c r="V51" s="402">
        <f t="shared" si="67"/>
        <v>1.6531805527799683E-2</v>
      </c>
      <c r="W51" s="52"/>
      <c r="X51" s="445">
        <v>0.13</v>
      </c>
      <c r="Y51" s="417"/>
      <c r="Z51" s="400">
        <f>Z50*X51</f>
        <v>261.90140080000003</v>
      </c>
      <c r="AA51" s="128"/>
      <c r="AB51" s="401">
        <f t="shared" si="68"/>
        <v>4.9062000000000694</v>
      </c>
      <c r="AC51" s="402">
        <f t="shared" si="69"/>
        <v>1.9090628870607571E-2</v>
      </c>
      <c r="AD51" s="52"/>
      <c r="AE51" s="445">
        <v>0.13</v>
      </c>
      <c r="AF51" s="417"/>
      <c r="AG51" s="400">
        <f>AG50*AE51</f>
        <v>265.68960079999999</v>
      </c>
      <c r="AH51" s="128"/>
      <c r="AI51" s="401">
        <f t="shared" si="70"/>
        <v>3.7881999999999607</v>
      </c>
      <c r="AJ51" s="402">
        <f t="shared" si="71"/>
        <v>1.4464221987467737E-2</v>
      </c>
      <c r="AK51" s="52"/>
      <c r="AL51" s="445">
        <v>0.13</v>
      </c>
      <c r="AM51" s="417"/>
      <c r="AN51" s="400">
        <f>AN50*AL51</f>
        <v>269.33480080000004</v>
      </c>
      <c r="AO51" s="128"/>
      <c r="AP51" s="401">
        <f t="shared" si="72"/>
        <v>3.6452000000000453</v>
      </c>
      <c r="AQ51" s="402">
        <f t="shared" si="73"/>
        <v>1.3719769193164618E-2</v>
      </c>
      <c r="AR51" s="403"/>
    </row>
    <row r="52" spans="1:44" ht="12" customHeight="1">
      <c r="A52" s="52"/>
      <c r="B52" s="454" t="s">
        <v>371</v>
      </c>
      <c r="C52" s="320"/>
      <c r="D52" s="320"/>
      <c r="E52" s="320"/>
      <c r="F52" s="455"/>
      <c r="G52" s="128"/>
      <c r="H52" s="490">
        <f>H50+H51</f>
        <v>2162.1431978000001</v>
      </c>
      <c r="I52" s="417"/>
      <c r="J52" s="455"/>
      <c r="K52" s="417"/>
      <c r="L52" s="400">
        <f>L50+L51</f>
        <v>2197.5518607999998</v>
      </c>
      <c r="M52" s="128"/>
      <c r="N52" s="401">
        <f t="shared" si="64"/>
        <v>35.408662999999706</v>
      </c>
      <c r="O52" s="402">
        <f t="shared" si="65"/>
        <v>1.6376650277386037E-2</v>
      </c>
      <c r="P52" s="52"/>
      <c r="Q52" s="455"/>
      <c r="R52" s="417"/>
      <c r="S52" s="400">
        <f>S50+S51</f>
        <v>2233.8813607999996</v>
      </c>
      <c r="T52" s="128"/>
      <c r="U52" s="401">
        <f t="shared" si="66"/>
        <v>36.329499999999825</v>
      </c>
      <c r="V52" s="402">
        <f t="shared" si="67"/>
        <v>1.6531805527799641E-2</v>
      </c>
      <c r="W52" s="52"/>
      <c r="X52" s="455"/>
      <c r="Y52" s="417"/>
      <c r="Z52" s="400">
        <f>Z50+Z51</f>
        <v>2276.5275608000002</v>
      </c>
      <c r="AA52" s="128"/>
      <c r="AB52" s="401">
        <f t="shared" si="68"/>
        <v>42.64620000000059</v>
      </c>
      <c r="AC52" s="402">
        <f t="shared" si="69"/>
        <v>1.9090628870607567E-2</v>
      </c>
      <c r="AD52" s="52"/>
      <c r="AE52" s="455"/>
      <c r="AF52" s="417"/>
      <c r="AG52" s="400">
        <f>AG50+AG51</f>
        <v>2309.4557608</v>
      </c>
      <c r="AH52" s="128"/>
      <c r="AI52" s="401">
        <f t="shared" si="70"/>
        <v>32.928199999999833</v>
      </c>
      <c r="AJ52" s="402">
        <f t="shared" si="71"/>
        <v>1.4464221987467813E-2</v>
      </c>
      <c r="AK52" s="52"/>
      <c r="AL52" s="455"/>
      <c r="AM52" s="417"/>
      <c r="AN52" s="400">
        <f>AN50+AN51</f>
        <v>2341.1409608000004</v>
      </c>
      <c r="AO52" s="128"/>
      <c r="AP52" s="401">
        <f t="shared" si="72"/>
        <v>31.68520000000035</v>
      </c>
      <c r="AQ52" s="402">
        <f t="shared" si="73"/>
        <v>1.3719769193164599E-2</v>
      </c>
      <c r="AR52" s="403"/>
    </row>
    <row r="53" spans="1:44" ht="12" customHeight="1">
      <c r="A53" s="52"/>
      <c r="B53" s="628" t="s">
        <v>273</v>
      </c>
      <c r="C53" s="615"/>
      <c r="D53" s="615"/>
      <c r="E53" s="320"/>
      <c r="F53" s="456">
        <f>'Proposed Rates'!E287</f>
        <v>0.23499999999999999</v>
      </c>
      <c r="G53" s="128"/>
      <c r="H53" s="492">
        <f>F53*H50</f>
        <v>449.64924910000002</v>
      </c>
      <c r="I53" s="417"/>
      <c r="J53" s="456">
        <f>'Proposed Rates'!I287</f>
        <v>0.23499999999999999</v>
      </c>
      <c r="K53" s="417"/>
      <c r="L53" s="457">
        <f>J53*L50</f>
        <v>457.01299759999989</v>
      </c>
      <c r="M53" s="128"/>
      <c r="N53" s="457">
        <f t="shared" si="64"/>
        <v>7.3637484999998719</v>
      </c>
      <c r="O53" s="459">
        <f t="shared" si="65"/>
        <v>1.6376650277385888E-2</v>
      </c>
      <c r="P53" s="52"/>
      <c r="Q53" s="456">
        <f>J53</f>
        <v>0.23499999999999999</v>
      </c>
      <c r="R53" s="417"/>
      <c r="S53" s="457">
        <f>Q53*S50</f>
        <v>464.56824759999995</v>
      </c>
      <c r="T53" s="128"/>
      <c r="U53" s="457">
        <f t="shared" si="66"/>
        <v>7.5552500000000578</v>
      </c>
      <c r="V53" s="459">
        <f t="shared" si="67"/>
        <v>1.6531805527799849E-2</v>
      </c>
      <c r="W53" s="52"/>
      <c r="X53" s="456">
        <f>Q53</f>
        <v>0.23499999999999999</v>
      </c>
      <c r="Y53" s="417"/>
      <c r="Z53" s="457">
        <f>X53*Z50</f>
        <v>473.4371476</v>
      </c>
      <c r="AA53" s="128"/>
      <c r="AB53" s="457">
        <f t="shared" si="68"/>
        <v>8.8689000000000533</v>
      </c>
      <c r="AC53" s="459">
        <f t="shared" si="69"/>
        <v>1.9090628870607414E-2</v>
      </c>
      <c r="AD53" s="52"/>
      <c r="AE53" s="456">
        <f>X53</f>
        <v>0.23499999999999999</v>
      </c>
      <c r="AF53" s="417"/>
      <c r="AG53" s="457">
        <f>AE53*AG50</f>
        <v>480.28504759999993</v>
      </c>
      <c r="AH53" s="128"/>
      <c r="AI53" s="457">
        <f t="shared" si="70"/>
        <v>6.8478999999999246</v>
      </c>
      <c r="AJ53" s="459">
        <f t="shared" si="71"/>
        <v>1.4464221987467728E-2</v>
      </c>
      <c r="AK53" s="52"/>
      <c r="AL53" s="456">
        <f>AE53</f>
        <v>0.23499999999999999</v>
      </c>
      <c r="AM53" s="417"/>
      <c r="AN53" s="457">
        <f>AL53*AN50</f>
        <v>486.8744476</v>
      </c>
      <c r="AO53" s="128"/>
      <c r="AP53" s="457">
        <f t="shared" si="72"/>
        <v>6.5894000000000688</v>
      </c>
      <c r="AQ53" s="459">
        <f t="shared" si="73"/>
        <v>1.3719769193164592E-2</v>
      </c>
      <c r="AR53" s="460"/>
    </row>
    <row r="54" spans="1:44" ht="12.75" customHeight="1">
      <c r="A54" s="52"/>
      <c r="B54" s="627" t="s">
        <v>318</v>
      </c>
      <c r="C54" s="613"/>
      <c r="D54" s="613"/>
      <c r="E54" s="461"/>
      <c r="F54" s="462"/>
      <c r="G54" s="493"/>
      <c r="H54" s="494">
        <f>H52-H53</f>
        <v>1712.4939487000001</v>
      </c>
      <c r="I54" s="463"/>
      <c r="J54" s="462"/>
      <c r="K54" s="463"/>
      <c r="L54" s="464">
        <f>L52-L53</f>
        <v>1740.5388631999999</v>
      </c>
      <c r="M54" s="465"/>
      <c r="N54" s="466">
        <f t="shared" si="64"/>
        <v>28.044914499999777</v>
      </c>
      <c r="O54" s="467">
        <f t="shared" si="65"/>
        <v>1.6376650277386044E-2</v>
      </c>
      <c r="P54" s="52"/>
      <c r="Q54" s="462"/>
      <c r="R54" s="463"/>
      <c r="S54" s="464">
        <f>S52-S53</f>
        <v>1769.3131131999996</v>
      </c>
      <c r="T54" s="465"/>
      <c r="U54" s="466">
        <f t="shared" si="66"/>
        <v>28.774249999999711</v>
      </c>
      <c r="V54" s="467">
        <f t="shared" si="67"/>
        <v>1.6531805527799554E-2</v>
      </c>
      <c r="W54" s="52"/>
      <c r="X54" s="462"/>
      <c r="Y54" s="463"/>
      <c r="Z54" s="464">
        <f>Z52-Z53</f>
        <v>1803.0904132000001</v>
      </c>
      <c r="AA54" s="465"/>
      <c r="AB54" s="466">
        <f t="shared" si="68"/>
        <v>33.777300000000423</v>
      </c>
      <c r="AC54" s="467">
        <f t="shared" si="69"/>
        <v>1.9090628870607543E-2</v>
      </c>
      <c r="AD54" s="52"/>
      <c r="AE54" s="462"/>
      <c r="AF54" s="463"/>
      <c r="AG54" s="464">
        <f>AG52-AG53</f>
        <v>1829.1707132000001</v>
      </c>
      <c r="AH54" s="465"/>
      <c r="AI54" s="466">
        <f t="shared" si="70"/>
        <v>26.080300000000079</v>
      </c>
      <c r="AJ54" s="467">
        <f t="shared" si="71"/>
        <v>1.4464221987467931E-2</v>
      </c>
      <c r="AK54" s="52"/>
      <c r="AL54" s="462"/>
      <c r="AM54" s="463"/>
      <c r="AN54" s="464">
        <f>AN52-AN53</f>
        <v>1854.2665132000004</v>
      </c>
      <c r="AO54" s="465"/>
      <c r="AP54" s="466">
        <f t="shared" si="72"/>
        <v>25.095800000000281</v>
      </c>
      <c r="AQ54" s="467">
        <f t="shared" si="73"/>
        <v>1.37197691931646E-2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2041.7010599999996</v>
      </c>
      <c r="I56" s="482"/>
      <c r="J56" s="445"/>
      <c r="K56" s="446"/>
      <c r="L56" s="448">
        <f>SUM(L47:L48,L40,L41:L43)</f>
        <v>2073.0361599999997</v>
      </c>
      <c r="M56" s="449"/>
      <c r="N56" s="448">
        <f t="shared" ref="N56:N60" si="74">L56-H56</f>
        <v>31.335100000000011</v>
      </c>
      <c r="O56" s="450">
        <f t="shared" ref="O56:O60" si="75">IF((H56)=0,"",(N56/H56))</f>
        <v>1.5347545541265486E-2</v>
      </c>
      <c r="P56" s="52"/>
      <c r="Q56" s="445"/>
      <c r="R56" s="446"/>
      <c r="S56" s="448">
        <f>SUM(S47:S48,S40,S41:S43)</f>
        <v>2105.1861599999997</v>
      </c>
      <c r="T56" s="449"/>
      <c r="U56" s="448">
        <f t="shared" ref="U56:U60" si="76">S56-L56</f>
        <v>32.150000000000091</v>
      </c>
      <c r="V56" s="450">
        <f t="shared" ref="V56:V60" si="77">IF((L56)=0,"",(U56/L56))</f>
        <v>1.5508653741958894E-2</v>
      </c>
      <c r="W56" s="52"/>
      <c r="X56" s="445"/>
      <c r="Y56" s="446"/>
      <c r="Z56" s="448">
        <f>SUM(Z47:Z48,Z40,Z41:Z43)</f>
        <v>2142.92616</v>
      </c>
      <c r="AA56" s="449"/>
      <c r="AB56" s="448">
        <f t="shared" ref="AB56:AB60" si="78">Z56-S56</f>
        <v>37.740000000000236</v>
      </c>
      <c r="AC56" s="450">
        <f t="shared" ref="AC56:AC60" si="79">IF((S56)=0,"",(AB56/S56))</f>
        <v>1.792715566779151E-2</v>
      </c>
      <c r="AD56" s="52"/>
      <c r="AE56" s="445"/>
      <c r="AF56" s="446"/>
      <c r="AG56" s="448">
        <f>SUM(AG47:AG48,AG40,AG41:AG43)</f>
        <v>2172.0661599999999</v>
      </c>
      <c r="AH56" s="449"/>
      <c r="AI56" s="448">
        <f t="shared" ref="AI56:AI60" si="80">AG56-Z56</f>
        <v>29.139999999999873</v>
      </c>
      <c r="AJ56" s="450">
        <f t="shared" ref="AJ56:AJ60" si="81">IF((Z56)=0,"",(AI56/Z56))</f>
        <v>1.3598228694916802E-2</v>
      </c>
      <c r="AK56" s="52"/>
      <c r="AL56" s="445"/>
      <c r="AM56" s="446"/>
      <c r="AN56" s="448">
        <f>SUM(AN47:AN48,AN40,AN41:AN43)</f>
        <v>2200.1061599999998</v>
      </c>
      <c r="AO56" s="449"/>
      <c r="AP56" s="448">
        <f t="shared" ref="AP56:AP60" si="82">AN56-AG56</f>
        <v>28.039999999999964</v>
      </c>
      <c r="AQ56" s="450">
        <f t="shared" ref="AQ56:AQ60" si="83">IF((AG56)=0,"",(AP56/AG56))</f>
        <v>1.290936736475834E-2</v>
      </c>
      <c r="AR56" s="451"/>
    </row>
    <row r="57" spans="1:44" ht="12" customHeight="1">
      <c r="A57" s="52"/>
      <c r="B57" s="452" t="s">
        <v>316</v>
      </c>
      <c r="C57" s="320"/>
      <c r="D57" s="320"/>
      <c r="E57" s="320"/>
      <c r="F57" s="445">
        <v>0.13</v>
      </c>
      <c r="G57" s="489"/>
      <c r="H57" s="490">
        <f>H56*F57</f>
        <v>265.42113779999994</v>
      </c>
      <c r="I57" s="417"/>
      <c r="J57" s="445">
        <v>0.13</v>
      </c>
      <c r="K57" s="453"/>
      <c r="L57" s="401">
        <f>L56*J57</f>
        <v>269.49470079999998</v>
      </c>
      <c r="M57" s="128"/>
      <c r="N57" s="401">
        <f t="shared" si="74"/>
        <v>4.0735630000000356</v>
      </c>
      <c r="O57" s="402">
        <f t="shared" si="75"/>
        <v>1.5347545541265615E-2</v>
      </c>
      <c r="P57" s="52"/>
      <c r="Q57" s="445">
        <v>0.13</v>
      </c>
      <c r="R57" s="453"/>
      <c r="S57" s="400">
        <f>S56*Q57</f>
        <v>273.67420079999999</v>
      </c>
      <c r="T57" s="128"/>
      <c r="U57" s="401">
        <f t="shared" si="76"/>
        <v>4.1795000000000186</v>
      </c>
      <c r="V57" s="402">
        <f t="shared" si="77"/>
        <v>1.5508653741958919E-2</v>
      </c>
      <c r="W57" s="52"/>
      <c r="X57" s="445">
        <v>0.13</v>
      </c>
      <c r="Y57" s="453"/>
      <c r="Z57" s="400">
        <f>Z56*X57</f>
        <v>278.58040080000001</v>
      </c>
      <c r="AA57" s="128"/>
      <c r="AB57" s="401">
        <f t="shared" si="78"/>
        <v>4.9062000000000126</v>
      </c>
      <c r="AC57" s="402">
        <f t="shared" si="79"/>
        <v>1.792715566779144E-2</v>
      </c>
      <c r="AD57" s="52"/>
      <c r="AE57" s="445">
        <v>0.13</v>
      </c>
      <c r="AF57" s="453"/>
      <c r="AG57" s="401">
        <f>AG56*AE57</f>
        <v>282.36860079999997</v>
      </c>
      <c r="AH57" s="128"/>
      <c r="AI57" s="401">
        <f t="shared" si="80"/>
        <v>3.7881999999999607</v>
      </c>
      <c r="AJ57" s="402">
        <f t="shared" si="81"/>
        <v>1.359822869491672E-2</v>
      </c>
      <c r="AK57" s="52"/>
      <c r="AL57" s="445">
        <v>0.13</v>
      </c>
      <c r="AM57" s="453"/>
      <c r="AN57" s="400">
        <f>AN56*AL57</f>
        <v>286.01380080000001</v>
      </c>
      <c r="AO57" s="128"/>
      <c r="AP57" s="401">
        <f t="shared" si="82"/>
        <v>3.6452000000000453</v>
      </c>
      <c r="AQ57" s="402">
        <f t="shared" si="83"/>
        <v>1.2909367364758517E-2</v>
      </c>
      <c r="AR57" s="403"/>
    </row>
    <row r="58" spans="1:44" ht="12" customHeight="1">
      <c r="A58" s="52"/>
      <c r="B58" s="454" t="s">
        <v>372</v>
      </c>
      <c r="C58" s="320"/>
      <c r="D58" s="320"/>
      <c r="E58" s="320"/>
      <c r="F58" s="455"/>
      <c r="G58" s="128"/>
      <c r="H58" s="490">
        <f>H56+H57</f>
        <v>2307.1221977999994</v>
      </c>
      <c r="I58" s="417"/>
      <c r="J58" s="455"/>
      <c r="K58" s="417"/>
      <c r="L58" s="400">
        <f>L56+L57</f>
        <v>2342.5308607999996</v>
      </c>
      <c r="M58" s="128"/>
      <c r="N58" s="401">
        <f t="shared" si="74"/>
        <v>35.408663000000161</v>
      </c>
      <c r="O58" s="402">
        <f t="shared" si="75"/>
        <v>1.5347545541265552E-2</v>
      </c>
      <c r="P58" s="52"/>
      <c r="Q58" s="455"/>
      <c r="R58" s="417"/>
      <c r="S58" s="400">
        <f>S56+S57</f>
        <v>2378.8603607999999</v>
      </c>
      <c r="T58" s="128"/>
      <c r="U58" s="401">
        <f t="shared" si="76"/>
        <v>36.32950000000028</v>
      </c>
      <c r="V58" s="402">
        <f t="shared" si="77"/>
        <v>1.5508653741958971E-2</v>
      </c>
      <c r="W58" s="52"/>
      <c r="X58" s="455"/>
      <c r="Y58" s="417"/>
      <c r="Z58" s="400">
        <f>Z56+Z57</f>
        <v>2421.5065608</v>
      </c>
      <c r="AA58" s="128"/>
      <c r="AB58" s="401">
        <f t="shared" si="78"/>
        <v>42.646200000000135</v>
      </c>
      <c r="AC58" s="402">
        <f t="shared" si="79"/>
        <v>1.7927155667791451E-2</v>
      </c>
      <c r="AD58" s="52"/>
      <c r="AE58" s="455"/>
      <c r="AF58" s="417"/>
      <c r="AG58" s="400">
        <f>AG56+AG57</f>
        <v>2454.4347607999998</v>
      </c>
      <c r="AH58" s="128"/>
      <c r="AI58" s="401">
        <f t="shared" si="80"/>
        <v>32.928199999999833</v>
      </c>
      <c r="AJ58" s="402">
        <f t="shared" si="81"/>
        <v>1.3598228694916791E-2</v>
      </c>
      <c r="AK58" s="52"/>
      <c r="AL58" s="455"/>
      <c r="AM58" s="417"/>
      <c r="AN58" s="400">
        <f>AN56+AN57</f>
        <v>2486.1199607999997</v>
      </c>
      <c r="AO58" s="128"/>
      <c r="AP58" s="401">
        <f t="shared" si="82"/>
        <v>31.685199999999895</v>
      </c>
      <c r="AQ58" s="402">
        <f t="shared" si="83"/>
        <v>1.2909367364758314E-2</v>
      </c>
      <c r="AR58" s="403"/>
    </row>
    <row r="59" spans="1:44" ht="12" customHeight="1">
      <c r="A59" s="52"/>
      <c r="B59" s="628" t="s">
        <v>273</v>
      </c>
      <c r="C59" s="615"/>
      <c r="D59" s="615"/>
      <c r="E59" s="320"/>
      <c r="F59" s="456">
        <f>F53</f>
        <v>0.23499999999999999</v>
      </c>
      <c r="G59" s="128"/>
      <c r="H59" s="492">
        <f>F59*H56</f>
        <v>479.79974909999987</v>
      </c>
      <c r="I59" s="417"/>
      <c r="J59" s="456">
        <f>J53</f>
        <v>0.23499999999999999</v>
      </c>
      <c r="K59" s="417"/>
      <c r="L59" s="457">
        <f>J59*L56</f>
        <v>487.16349759999991</v>
      </c>
      <c r="M59" s="128"/>
      <c r="N59" s="457">
        <f t="shared" si="74"/>
        <v>7.3637485000000424</v>
      </c>
      <c r="O59" s="459">
        <f t="shared" si="75"/>
        <v>1.5347545541265571E-2</v>
      </c>
      <c r="P59" s="52"/>
      <c r="Q59" s="456">
        <f>Q53</f>
        <v>0.23499999999999999</v>
      </c>
      <c r="R59" s="417"/>
      <c r="S59" s="457">
        <f>Q59*S56</f>
        <v>494.71874759999992</v>
      </c>
      <c r="T59" s="128"/>
      <c r="U59" s="457">
        <f t="shared" si="76"/>
        <v>7.5552500000000009</v>
      </c>
      <c r="V59" s="459">
        <f t="shared" si="77"/>
        <v>1.5508653741958853E-2</v>
      </c>
      <c r="W59" s="52"/>
      <c r="X59" s="456">
        <f>X53</f>
        <v>0.23499999999999999</v>
      </c>
      <c r="Y59" s="417"/>
      <c r="Z59" s="457">
        <f>X59*Z56</f>
        <v>503.58764759999997</v>
      </c>
      <c r="AA59" s="128"/>
      <c r="AB59" s="457">
        <f t="shared" si="78"/>
        <v>8.8689000000000533</v>
      </c>
      <c r="AC59" s="459">
        <f t="shared" si="79"/>
        <v>1.7927155667791506E-2</v>
      </c>
      <c r="AD59" s="52"/>
      <c r="AE59" s="456">
        <f>AE53</f>
        <v>0.23499999999999999</v>
      </c>
      <c r="AF59" s="417"/>
      <c r="AG59" s="457">
        <f>AE59*AG56</f>
        <v>510.43554759999995</v>
      </c>
      <c r="AH59" s="128"/>
      <c r="AI59" s="457">
        <f t="shared" si="80"/>
        <v>6.8478999999999814</v>
      </c>
      <c r="AJ59" s="459">
        <f t="shared" si="81"/>
        <v>1.3598228694916824E-2</v>
      </c>
      <c r="AK59" s="52"/>
      <c r="AL59" s="456">
        <f>AL53</f>
        <v>0.23499999999999999</v>
      </c>
      <c r="AM59" s="417"/>
      <c r="AN59" s="457">
        <f>AL59*AN56</f>
        <v>517.0249475999999</v>
      </c>
      <c r="AO59" s="128"/>
      <c r="AP59" s="457">
        <f t="shared" si="82"/>
        <v>6.5893999999999551</v>
      </c>
      <c r="AQ59" s="459">
        <f t="shared" si="83"/>
        <v>1.2909367364758268E-2</v>
      </c>
      <c r="AR59" s="460"/>
    </row>
    <row r="60" spans="1:44" ht="12.75" customHeight="1">
      <c r="A60" s="52"/>
      <c r="B60" s="627" t="s">
        <v>321</v>
      </c>
      <c r="C60" s="613"/>
      <c r="D60" s="613"/>
      <c r="E60" s="461"/>
      <c r="F60" s="469"/>
      <c r="G60" s="495"/>
      <c r="H60" s="496">
        <f>H58-H59</f>
        <v>1827.3224486999995</v>
      </c>
      <c r="I60" s="470"/>
      <c r="J60" s="469"/>
      <c r="K60" s="470"/>
      <c r="L60" s="471">
        <f>L58-L59</f>
        <v>1855.3673631999995</v>
      </c>
      <c r="M60" s="472"/>
      <c r="N60" s="473">
        <f t="shared" si="74"/>
        <v>28.044914500000004</v>
      </c>
      <c r="O60" s="474">
        <f t="shared" si="75"/>
        <v>1.5347545541265484E-2</v>
      </c>
      <c r="P60" s="52"/>
      <c r="Q60" s="469"/>
      <c r="R60" s="470"/>
      <c r="S60" s="471">
        <f>S58-S59</f>
        <v>1884.1416131999999</v>
      </c>
      <c r="T60" s="472"/>
      <c r="U60" s="473">
        <f t="shared" si="76"/>
        <v>28.774250000000393</v>
      </c>
      <c r="V60" s="474">
        <f t="shared" si="77"/>
        <v>1.5508653741959063E-2</v>
      </c>
      <c r="W60" s="52"/>
      <c r="X60" s="469"/>
      <c r="Y60" s="470"/>
      <c r="Z60" s="471">
        <f>Z58-Z59</f>
        <v>1917.9189132000001</v>
      </c>
      <c r="AA60" s="472"/>
      <c r="AB60" s="473">
        <f t="shared" si="78"/>
        <v>33.777300000000196</v>
      </c>
      <c r="AC60" s="474">
        <f t="shared" si="79"/>
        <v>1.7927155667791499E-2</v>
      </c>
      <c r="AD60" s="52"/>
      <c r="AE60" s="469"/>
      <c r="AF60" s="470"/>
      <c r="AG60" s="471">
        <f>AG58-AG59</f>
        <v>1943.9992131999998</v>
      </c>
      <c r="AH60" s="472"/>
      <c r="AI60" s="473">
        <f t="shared" si="80"/>
        <v>26.080299999999625</v>
      </c>
      <c r="AJ60" s="474">
        <f t="shared" si="81"/>
        <v>1.3598228694916665E-2</v>
      </c>
      <c r="AK60" s="52"/>
      <c r="AL60" s="469"/>
      <c r="AM60" s="470"/>
      <c r="AN60" s="471">
        <f>AN58-AN59</f>
        <v>1969.0950131999998</v>
      </c>
      <c r="AO60" s="472"/>
      <c r="AP60" s="473">
        <f t="shared" si="82"/>
        <v>25.095800000000054</v>
      </c>
      <c r="AQ60" s="474">
        <f t="shared" si="83"/>
        <v>1.2909367364758385E-2</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600-000000000000}">
      <formula1>"TOU,non-TOU"</formula1>
    </dataValidation>
    <dataValidation type="list" allowBlank="1" showErrorMessage="1" sqref="E15:E28 E30:E36 E38:E39 E41:E49 E55 E61" xr:uid="{00000000-0002-0000-1600-000001000000}">
      <formula1>#REF!</formula1>
    </dataValidation>
    <dataValidation type="list" allowBlank="1" showInputMessage="1" showErrorMessage="1" prompt="Select Charge Unit - monthly, per kWh, per kW" sqref="D15:D28 D30:D36 D38:D39 D41:D49 D55 D61" xr:uid="{00000000-0002-0000-1600-000002000000}">
      <formula1>"Monthly,per kWh,per kW"</formula1>
    </dataValidation>
  </dataValidations>
  <pageMargins left="0.74803149606299213" right="0.74803149606299213" top="0.98425196850393704" bottom="0.98425196850393704"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10.42578125" customWidth="1"/>
    <col min="7" max="7" width="8.85546875" customWidth="1"/>
    <col min="8" max="8" width="11" customWidth="1"/>
    <col min="9" max="9" width="0.4257812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1"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85546875" customWidth="1"/>
    <col min="40" max="40" width="11"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5"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5"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5"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5"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5" ht="12" customHeight="1">
      <c r="A6" s="52"/>
      <c r="B6" s="319" t="s">
        <v>294</v>
      </c>
      <c r="C6" s="52"/>
      <c r="D6" s="505" t="s">
        <v>220</v>
      </c>
      <c r="E6" s="506"/>
      <c r="F6" s="506"/>
      <c r="G6" s="506"/>
      <c r="H6" s="52"/>
      <c r="I6" s="52"/>
      <c r="J6" s="52"/>
      <c r="K6" s="52"/>
      <c r="L6" s="52"/>
      <c r="M6" s="52"/>
      <c r="N6" s="52"/>
      <c r="O6" s="52"/>
      <c r="P6" s="506"/>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row>
    <row r="7" spans="1:45"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5"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5" ht="12" customHeight="1">
      <c r="A9" s="52"/>
      <c r="B9" s="383"/>
      <c r="C9" s="52"/>
      <c r="D9" s="384"/>
      <c r="E9" s="384"/>
      <c r="F9" s="384"/>
      <c r="G9" s="384"/>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5" ht="12" customHeight="1">
      <c r="A10" s="52"/>
      <c r="B10" s="52"/>
      <c r="C10" s="52"/>
      <c r="D10" s="306" t="s">
        <v>297</v>
      </c>
      <c r="E10" s="306"/>
      <c r="F10" s="386">
        <v>15000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2" customHeight="1">
      <c r="A11" s="52"/>
      <c r="B11" s="52"/>
      <c r="C11" s="52"/>
      <c r="D11" s="52"/>
      <c r="E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5"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5"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5"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5" ht="12" customHeight="1">
      <c r="A15" s="52"/>
      <c r="B15" s="320" t="s">
        <v>218</v>
      </c>
      <c r="C15" s="395" t="str">
        <f t="shared" ref="C15:C28" si="0">D$6&amp;"."&amp;B15</f>
        <v>General Service &lt; 50 kW.Monthly Service Charge</v>
      </c>
      <c r="D15" s="396" t="s">
        <v>306</v>
      </c>
      <c r="E15" s="320"/>
      <c r="F15" s="397">
        <f>IFERROR(VLOOKUP($C15,'Proposed Rates'!$B:$J,F$11,FALSE),0)</f>
        <v>23.53</v>
      </c>
      <c r="G15" s="398">
        <f t="shared" ref="G15:G28" si="1">IF($D15="Monthly",1,IF($D15="per KWH",$F$10,0))</f>
        <v>1</v>
      </c>
      <c r="H15" s="400">
        <f t="shared" ref="H15:H28" si="2">G15*F15</f>
        <v>23.53</v>
      </c>
      <c r="I15" s="128"/>
      <c r="J15" s="397">
        <f>IFERROR(VLOOKUP($C15,'Proposed Rates'!$B:$J,J$11,FALSE),0)</f>
        <v>28.08</v>
      </c>
      <c r="K15" s="398">
        <f t="shared" ref="K15:K28" si="3">IF($D15="Monthly",1,IF($D15="per KWH",$F$10,0))</f>
        <v>1</v>
      </c>
      <c r="L15" s="400">
        <f t="shared" ref="L15:L28" si="4">K15*J15</f>
        <v>28.08</v>
      </c>
      <c r="M15" s="128"/>
      <c r="N15" s="401">
        <f t="shared" ref="N15:N48" si="5">L15-H15</f>
        <v>4.5499999999999972</v>
      </c>
      <c r="O15" s="402">
        <f t="shared" ref="O15:O48" si="6">IF((H15)=0,"",(N15/H15))</f>
        <v>0.19337016574585622</v>
      </c>
      <c r="P15" s="52"/>
      <c r="Q15" s="397">
        <f>IFERROR(VLOOKUP($C15,'Proposed Rates'!$B:$J,Q$11,FALSE),0)</f>
        <v>30.2</v>
      </c>
      <c r="R15" s="398">
        <f t="shared" ref="R15:R28" si="7">IF($D15="Monthly",1,IF($D15="per KWH",$F$10,0))</f>
        <v>1</v>
      </c>
      <c r="S15" s="400">
        <f t="shared" ref="S15:S28" si="8">R15*Q15</f>
        <v>30.2</v>
      </c>
      <c r="T15" s="128"/>
      <c r="U15" s="401">
        <f t="shared" ref="U15:U48" si="9">S15-L15</f>
        <v>2.120000000000001</v>
      </c>
      <c r="V15" s="402">
        <f t="shared" ref="V15:V48" si="10">IF((L15)=0,"",(U15/L15))</f>
        <v>7.549857549857554E-2</v>
      </c>
      <c r="W15" s="52"/>
      <c r="X15" s="397">
        <f>IFERROR(VLOOKUP($C15,'Proposed Rates'!$B:$J,X$11,FALSE),0)</f>
        <v>32.9</v>
      </c>
      <c r="Y15" s="398">
        <f t="shared" ref="Y15:Y28" si="11">IF($D15="Monthly",1,IF($D15="per KWH",$F$10,0))</f>
        <v>1</v>
      </c>
      <c r="Z15" s="400">
        <f t="shared" ref="Z15:Z28" si="12">Y15*X15</f>
        <v>32.9</v>
      </c>
      <c r="AA15" s="128"/>
      <c r="AB15" s="401">
        <f t="shared" ref="AB15:AB48" si="13">Z15-S15</f>
        <v>2.6999999999999993</v>
      </c>
      <c r="AC15" s="402">
        <f t="shared" ref="AC15:AC48" si="14">IF((S15)=0,"",(AB15/S15))</f>
        <v>8.940397350993376E-2</v>
      </c>
      <c r="AD15" s="52"/>
      <c r="AE15" s="397">
        <f>IFERROR(VLOOKUP($C15,'Proposed Rates'!$B:$J,AE$11,FALSE),0)</f>
        <v>35</v>
      </c>
      <c r="AF15" s="398">
        <f t="shared" ref="AF15:AF28" si="15">IF($D15="Monthly",1,IF($D15="per KWH",$F$10,0))</f>
        <v>1</v>
      </c>
      <c r="AG15" s="400">
        <f t="shared" ref="AG15:AG28" si="16">AF15*AE15</f>
        <v>35</v>
      </c>
      <c r="AH15" s="128"/>
      <c r="AI15" s="401">
        <f t="shared" ref="AI15:AI48" si="17">AG15-Z15</f>
        <v>2.1000000000000014</v>
      </c>
      <c r="AJ15" s="402">
        <f t="shared" ref="AJ15:AJ48" si="18">IF((Z15)=0,"",(AI15/Z15))</f>
        <v>6.3829787234042604E-2</v>
      </c>
      <c r="AK15" s="52"/>
      <c r="AL15" s="397">
        <f>IFERROR(VLOOKUP($C15,'Proposed Rates'!$B:$J,AL$11,FALSE),0)</f>
        <v>37</v>
      </c>
      <c r="AM15" s="398">
        <f t="shared" ref="AM15:AM28" si="19">IF($D15="Monthly",1,IF($D15="per KWH",$F$10,0))</f>
        <v>1</v>
      </c>
      <c r="AN15" s="400">
        <f t="shared" ref="AN15:AN28" si="20">AM15*AL15</f>
        <v>37</v>
      </c>
      <c r="AO15" s="128"/>
      <c r="AP15" s="401">
        <f t="shared" ref="AP15:AP48" si="21">AN15-AG15</f>
        <v>2</v>
      </c>
      <c r="AQ15" s="402">
        <f t="shared" ref="AQ15:AQ48" si="22">IF((AG15)=0,"",(AP15/AG15))</f>
        <v>5.7142857142857141E-2</v>
      </c>
      <c r="AR15" s="403"/>
    </row>
    <row r="16" spans="1:45" ht="12" customHeight="1">
      <c r="A16" s="52"/>
      <c r="B16" s="320" t="s">
        <v>307</v>
      </c>
      <c r="C16" s="395" t="str">
        <f t="shared" si="0"/>
        <v>General Service &lt; 50 kW.Smart Meter Rate Adder</v>
      </c>
      <c r="D16" s="396" t="s">
        <v>306</v>
      </c>
      <c r="E16" s="320"/>
      <c r="F16" s="414">
        <f>IFERROR(VLOOKUP($C16,'Proposed Rates'!$B:$J,F$11,FALSE),0)</f>
        <v>0</v>
      </c>
      <c r="G16" s="398">
        <f t="shared" si="1"/>
        <v>1</v>
      </c>
      <c r="H16" s="400">
        <f t="shared" si="2"/>
        <v>0</v>
      </c>
      <c r="I16" s="128"/>
      <c r="J16" s="414">
        <f>IFERROR(VLOOKUP($C16,'Proposed Rates'!$B:$J,J$11,FALSE),0)</f>
        <v>0</v>
      </c>
      <c r="K16" s="398">
        <f t="shared" si="3"/>
        <v>1</v>
      </c>
      <c r="L16" s="400">
        <f t="shared" si="4"/>
        <v>0</v>
      </c>
      <c r="M16" s="128"/>
      <c r="N16" s="401">
        <f t="shared" si="5"/>
        <v>0</v>
      </c>
      <c r="O16" s="402" t="str">
        <f t="shared" si="6"/>
        <v/>
      </c>
      <c r="P16" s="52"/>
      <c r="Q16" s="414">
        <f>IFERROR(VLOOKUP($C16,'Proposed Rates'!$B:$J,Q$11,FALSE),0)</f>
        <v>0</v>
      </c>
      <c r="R16" s="398">
        <f t="shared" si="7"/>
        <v>1</v>
      </c>
      <c r="S16" s="400">
        <f t="shared" si="8"/>
        <v>0</v>
      </c>
      <c r="T16" s="128"/>
      <c r="U16" s="401">
        <f t="shared" si="9"/>
        <v>0</v>
      </c>
      <c r="V16" s="402" t="str">
        <f t="shared" si="10"/>
        <v/>
      </c>
      <c r="W16" s="52"/>
      <c r="X16" s="414">
        <f>IFERROR(VLOOKUP($C16,'Proposed Rates'!$B:$J,X$11,FALSE),0)</f>
        <v>0</v>
      </c>
      <c r="Y16" s="398">
        <f t="shared" si="11"/>
        <v>1</v>
      </c>
      <c r="Z16" s="400">
        <f t="shared" si="12"/>
        <v>0</v>
      </c>
      <c r="AA16" s="128"/>
      <c r="AB16" s="401">
        <f t="shared" si="13"/>
        <v>0</v>
      </c>
      <c r="AC16" s="402" t="str">
        <f t="shared" si="14"/>
        <v/>
      </c>
      <c r="AD16" s="52"/>
      <c r="AE16" s="414">
        <f>IFERROR(VLOOKUP($C16,'Proposed Rates'!$B:$J,AE$11,FALSE),0)</f>
        <v>0</v>
      </c>
      <c r="AF16" s="398">
        <f t="shared" si="15"/>
        <v>1</v>
      </c>
      <c r="AG16" s="400">
        <f t="shared" si="16"/>
        <v>0</v>
      </c>
      <c r="AH16" s="128"/>
      <c r="AI16" s="401">
        <f t="shared" si="17"/>
        <v>0</v>
      </c>
      <c r="AJ16" s="402" t="str">
        <f t="shared" si="18"/>
        <v/>
      </c>
      <c r="AK16" s="52"/>
      <c r="AL16" s="414">
        <f>IFERROR(VLOOKUP($C16,'Proposed Rates'!$B:$J,AL$11,FALSE),0)</f>
        <v>0</v>
      </c>
      <c r="AM16" s="398">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&lt; 50 kW.Rate Rider Calculation for PILs</v>
      </c>
      <c r="D17" s="396" t="s">
        <v>308</v>
      </c>
      <c r="E17" s="320"/>
      <c r="F17" s="414">
        <f>IFERROR(VLOOKUP($C17,'Proposed Rates'!$B:$J,F$11,FALSE),0)</f>
        <v>0</v>
      </c>
      <c r="G17" s="398">
        <f t="shared" si="1"/>
        <v>15000</v>
      </c>
      <c r="H17" s="400">
        <f t="shared" si="2"/>
        <v>0</v>
      </c>
      <c r="I17" s="128"/>
      <c r="J17" s="414">
        <f>IFERROR(VLOOKUP($C17,'Proposed Rates'!$B:$J,J$11,FALSE),0)</f>
        <v>0</v>
      </c>
      <c r="K17" s="398">
        <f t="shared" si="3"/>
        <v>15000</v>
      </c>
      <c r="L17" s="400">
        <f t="shared" si="4"/>
        <v>0</v>
      </c>
      <c r="M17" s="128"/>
      <c r="N17" s="401">
        <f t="shared" si="5"/>
        <v>0</v>
      </c>
      <c r="O17" s="402" t="str">
        <f t="shared" si="6"/>
        <v/>
      </c>
      <c r="P17" s="52"/>
      <c r="Q17" s="414">
        <f>IFERROR(VLOOKUP($C17,'Proposed Rates'!$B:$J,Q$11,FALSE),0)</f>
        <v>0</v>
      </c>
      <c r="R17" s="398">
        <f t="shared" si="7"/>
        <v>15000</v>
      </c>
      <c r="S17" s="400">
        <f t="shared" si="8"/>
        <v>0</v>
      </c>
      <c r="T17" s="128"/>
      <c r="U17" s="401">
        <f t="shared" si="9"/>
        <v>0</v>
      </c>
      <c r="V17" s="402" t="str">
        <f t="shared" si="10"/>
        <v/>
      </c>
      <c r="W17" s="52"/>
      <c r="X17" s="414">
        <f>IFERROR(VLOOKUP($C17,'Proposed Rates'!$B:$J,X$11,FALSE),0)</f>
        <v>0</v>
      </c>
      <c r="Y17" s="398">
        <f t="shared" si="11"/>
        <v>15000</v>
      </c>
      <c r="Z17" s="400">
        <f t="shared" si="12"/>
        <v>0</v>
      </c>
      <c r="AA17" s="128"/>
      <c r="AB17" s="401">
        <f t="shared" si="13"/>
        <v>0</v>
      </c>
      <c r="AC17" s="402" t="str">
        <f t="shared" si="14"/>
        <v/>
      </c>
      <c r="AD17" s="52"/>
      <c r="AE17" s="414">
        <f>IFERROR(VLOOKUP($C17,'Proposed Rates'!$B:$J,AE$11,FALSE),0)</f>
        <v>0</v>
      </c>
      <c r="AF17" s="398">
        <f t="shared" si="15"/>
        <v>15000</v>
      </c>
      <c r="AG17" s="400">
        <f t="shared" si="16"/>
        <v>0</v>
      </c>
      <c r="AH17" s="128"/>
      <c r="AI17" s="401">
        <f t="shared" si="17"/>
        <v>0</v>
      </c>
      <c r="AJ17" s="402" t="str">
        <f t="shared" si="18"/>
        <v/>
      </c>
      <c r="AK17" s="52"/>
      <c r="AL17" s="414">
        <f>IFERROR(VLOOKUP($C17,'Proposed Rates'!$B:$J,AL$11,FALSE),0)</f>
        <v>0</v>
      </c>
      <c r="AM17" s="398">
        <f t="shared" si="19"/>
        <v>15000</v>
      </c>
      <c r="AN17" s="400">
        <f t="shared" si="20"/>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&lt; 50 kW.Rate Rider Calculation for Generic</v>
      </c>
      <c r="D18" s="396" t="s">
        <v>306</v>
      </c>
      <c r="E18" s="320"/>
      <c r="F18" s="414">
        <f>IFERROR(VLOOKUP($C18,'Proposed Rates'!$B:$J,F$11,FALSE),0)</f>
        <v>0</v>
      </c>
      <c r="G18" s="398">
        <f t="shared" si="1"/>
        <v>1</v>
      </c>
      <c r="H18" s="400">
        <f t="shared" si="2"/>
        <v>0</v>
      </c>
      <c r="I18" s="128"/>
      <c r="J18" s="414">
        <f>IFERROR(VLOOKUP($C18,'Proposed Rates'!$B:$J,J$11,FALSE),0)</f>
        <v>0</v>
      </c>
      <c r="K18" s="398">
        <f t="shared" si="3"/>
        <v>1</v>
      </c>
      <c r="L18" s="400">
        <f t="shared" si="4"/>
        <v>0</v>
      </c>
      <c r="M18" s="128"/>
      <c r="N18" s="401">
        <f t="shared" si="5"/>
        <v>0</v>
      </c>
      <c r="O18" s="402" t="str">
        <f t="shared" si="6"/>
        <v/>
      </c>
      <c r="P18" s="52"/>
      <c r="Q18" s="414">
        <f>IFERROR(VLOOKUP($C18,'Proposed Rates'!$B:$J,Q$11,FALSE),0)</f>
        <v>0</v>
      </c>
      <c r="R18" s="398">
        <f t="shared" si="7"/>
        <v>1</v>
      </c>
      <c r="S18" s="400">
        <f t="shared" si="8"/>
        <v>0</v>
      </c>
      <c r="T18" s="128"/>
      <c r="U18" s="401">
        <f t="shared" si="9"/>
        <v>0</v>
      </c>
      <c r="V18" s="402" t="str">
        <f t="shared" si="10"/>
        <v/>
      </c>
      <c r="W18" s="52"/>
      <c r="X18" s="414">
        <f>IFERROR(VLOOKUP($C18,'Proposed Rates'!$B:$J,X$11,FALSE),0)</f>
        <v>0</v>
      </c>
      <c r="Y18" s="398">
        <f t="shared" si="11"/>
        <v>1</v>
      </c>
      <c r="Z18" s="400">
        <f t="shared" si="12"/>
        <v>0</v>
      </c>
      <c r="AA18" s="128"/>
      <c r="AB18" s="401">
        <f t="shared" si="13"/>
        <v>0</v>
      </c>
      <c r="AC18" s="402" t="str">
        <f t="shared" si="14"/>
        <v/>
      </c>
      <c r="AD18" s="52"/>
      <c r="AE18" s="414">
        <f>IFERROR(VLOOKUP($C18,'Proposed Rates'!$B:$J,AE$11,FALSE),0)</f>
        <v>0</v>
      </c>
      <c r="AF18" s="398">
        <f t="shared" si="15"/>
        <v>1</v>
      </c>
      <c r="AG18" s="400">
        <f t="shared" si="16"/>
        <v>0</v>
      </c>
      <c r="AH18" s="128"/>
      <c r="AI18" s="401">
        <f t="shared" si="17"/>
        <v>0</v>
      </c>
      <c r="AJ18" s="402" t="str">
        <f t="shared" si="18"/>
        <v/>
      </c>
      <c r="AK18" s="52"/>
      <c r="AL18" s="414">
        <f>IFERROR(VLOOKUP($C18,'Proposed Rates'!$B:$J,AL$11,FALSE),0)</f>
        <v>0</v>
      </c>
      <c r="AM18" s="398">
        <f t="shared" si="19"/>
        <v>1</v>
      </c>
      <c r="AN18" s="400">
        <f t="shared" si="20"/>
        <v>0</v>
      </c>
      <c r="AO18" s="128"/>
      <c r="AP18" s="401">
        <f t="shared" si="21"/>
        <v>0</v>
      </c>
      <c r="AQ18" s="402" t="str">
        <f t="shared" si="22"/>
        <v/>
      </c>
      <c r="AR18" s="403"/>
    </row>
    <row r="19" spans="1:44" ht="12" customHeight="1">
      <c r="A19" s="52"/>
      <c r="B19" s="320" t="s">
        <v>59</v>
      </c>
      <c r="C19" s="395" t="str">
        <f t="shared" si="0"/>
        <v>General Service &lt; 50 kW.Distribution Volumetric Rate</v>
      </c>
      <c r="D19" s="396" t="s">
        <v>308</v>
      </c>
      <c r="E19" s="320"/>
      <c r="F19" s="414">
        <f>IFERROR(VLOOKUP($C19,'Proposed Rates'!$B:$J,F$11,FALSE),0)</f>
        <v>3.0499999999999999E-2</v>
      </c>
      <c r="G19" s="398">
        <f t="shared" si="1"/>
        <v>15000</v>
      </c>
      <c r="H19" s="400">
        <f t="shared" si="2"/>
        <v>457.5</v>
      </c>
      <c r="I19" s="128"/>
      <c r="J19" s="414">
        <f>IFERROR(VLOOKUP($C19,'Proposed Rates'!$B:$J,J$11,FALSE),0)</f>
        <v>3.6400000000000002E-2</v>
      </c>
      <c r="K19" s="398">
        <f t="shared" si="3"/>
        <v>15000</v>
      </c>
      <c r="L19" s="400">
        <f t="shared" si="4"/>
        <v>546</v>
      </c>
      <c r="M19" s="128"/>
      <c r="N19" s="401">
        <f t="shared" si="5"/>
        <v>88.5</v>
      </c>
      <c r="O19" s="402">
        <f t="shared" si="6"/>
        <v>0.19344262295081968</v>
      </c>
      <c r="P19" s="52"/>
      <c r="Q19" s="414">
        <f>IFERROR(VLOOKUP($C19,'Proposed Rates'!$B:$J,Q$11,FALSE),0)</f>
        <v>3.9100000000000003E-2</v>
      </c>
      <c r="R19" s="398">
        <f t="shared" si="7"/>
        <v>15000</v>
      </c>
      <c r="S19" s="400">
        <f t="shared" si="8"/>
        <v>586.5</v>
      </c>
      <c r="T19" s="128"/>
      <c r="U19" s="401">
        <f t="shared" si="9"/>
        <v>40.5</v>
      </c>
      <c r="V19" s="402">
        <f t="shared" si="10"/>
        <v>7.4175824175824176E-2</v>
      </c>
      <c r="W19" s="52"/>
      <c r="X19" s="414">
        <f>IFERROR(VLOOKUP($C19,'Proposed Rates'!$B:$J,X$11,FALSE),0)</f>
        <v>4.2599999999999999E-2</v>
      </c>
      <c r="Y19" s="398">
        <f t="shared" si="11"/>
        <v>15000</v>
      </c>
      <c r="Z19" s="400">
        <f t="shared" si="12"/>
        <v>639</v>
      </c>
      <c r="AA19" s="128"/>
      <c r="AB19" s="401">
        <f t="shared" si="13"/>
        <v>52.5</v>
      </c>
      <c r="AC19" s="402">
        <f t="shared" si="14"/>
        <v>8.9514066496163683E-2</v>
      </c>
      <c r="AD19" s="52"/>
      <c r="AE19" s="414">
        <f>IFERROR(VLOOKUP($C19,'Proposed Rates'!$B:$J,AE$11,FALSE),0)</f>
        <v>4.53E-2</v>
      </c>
      <c r="AF19" s="398">
        <f t="shared" si="15"/>
        <v>15000</v>
      </c>
      <c r="AG19" s="400">
        <f t="shared" si="16"/>
        <v>679.5</v>
      </c>
      <c r="AH19" s="128"/>
      <c r="AI19" s="401">
        <f t="shared" si="17"/>
        <v>40.5</v>
      </c>
      <c r="AJ19" s="402">
        <f t="shared" si="18"/>
        <v>6.3380281690140844E-2</v>
      </c>
      <c r="AK19" s="52"/>
      <c r="AL19" s="414">
        <f>IFERROR(VLOOKUP($C19,'Proposed Rates'!$B:$J,AL$11,FALSE),0)</f>
        <v>4.7899999999999998E-2</v>
      </c>
      <c r="AM19" s="398">
        <f t="shared" si="19"/>
        <v>15000</v>
      </c>
      <c r="AN19" s="400">
        <f t="shared" si="20"/>
        <v>718.5</v>
      </c>
      <c r="AO19" s="128"/>
      <c r="AP19" s="401">
        <f t="shared" si="21"/>
        <v>39</v>
      </c>
      <c r="AQ19" s="402">
        <f t="shared" si="22"/>
        <v>5.7395143487858721E-2</v>
      </c>
      <c r="AR19" s="403"/>
    </row>
    <row r="20" spans="1:44" ht="12" customHeight="1">
      <c r="A20" s="52"/>
      <c r="B20" s="320" t="s">
        <v>309</v>
      </c>
      <c r="C20" s="395" t="str">
        <f t="shared" si="0"/>
        <v>General Service &lt; 50 kW.Smart Meter Disposition Rider</v>
      </c>
      <c r="D20" s="396" t="s">
        <v>308</v>
      </c>
      <c r="E20" s="320"/>
      <c r="F20" s="414">
        <f>IFERROR(VLOOKUP($C20,'Proposed Rates'!$B:$J,F$11,FALSE),0)</f>
        <v>0</v>
      </c>
      <c r="G20" s="398">
        <f t="shared" si="1"/>
        <v>15000</v>
      </c>
      <c r="H20" s="400">
        <f t="shared" si="2"/>
        <v>0</v>
      </c>
      <c r="I20" s="128"/>
      <c r="J20" s="414">
        <f>IFERROR(VLOOKUP($C20,'Proposed Rates'!$B:$J,J$11,FALSE),0)</f>
        <v>0</v>
      </c>
      <c r="K20" s="398">
        <f t="shared" si="3"/>
        <v>15000</v>
      </c>
      <c r="L20" s="400">
        <f t="shared" si="4"/>
        <v>0</v>
      </c>
      <c r="M20" s="128"/>
      <c r="N20" s="401">
        <f t="shared" si="5"/>
        <v>0</v>
      </c>
      <c r="O20" s="402" t="str">
        <f t="shared" si="6"/>
        <v/>
      </c>
      <c r="P20" s="52"/>
      <c r="Q20" s="414">
        <f>IFERROR(VLOOKUP($C20,'Proposed Rates'!$B:$J,Q$11,FALSE),0)</f>
        <v>0</v>
      </c>
      <c r="R20" s="398">
        <f t="shared" si="7"/>
        <v>15000</v>
      </c>
      <c r="S20" s="400">
        <f t="shared" si="8"/>
        <v>0</v>
      </c>
      <c r="T20" s="128"/>
      <c r="U20" s="401">
        <f t="shared" si="9"/>
        <v>0</v>
      </c>
      <c r="V20" s="402" t="str">
        <f t="shared" si="10"/>
        <v/>
      </c>
      <c r="W20" s="52"/>
      <c r="X20" s="414">
        <f>IFERROR(VLOOKUP($C20,'Proposed Rates'!$B:$J,X$11,FALSE),0)</f>
        <v>0</v>
      </c>
      <c r="Y20" s="398">
        <f t="shared" si="11"/>
        <v>15000</v>
      </c>
      <c r="Z20" s="400">
        <f t="shared" si="12"/>
        <v>0</v>
      </c>
      <c r="AA20" s="128"/>
      <c r="AB20" s="401">
        <f t="shared" si="13"/>
        <v>0</v>
      </c>
      <c r="AC20" s="402" t="str">
        <f t="shared" si="14"/>
        <v/>
      </c>
      <c r="AD20" s="52"/>
      <c r="AE20" s="414">
        <f>IFERROR(VLOOKUP($C20,'Proposed Rates'!$B:$J,AE$11,FALSE),0)</f>
        <v>0</v>
      </c>
      <c r="AF20" s="398">
        <f t="shared" si="15"/>
        <v>15000</v>
      </c>
      <c r="AG20" s="400">
        <f t="shared" si="16"/>
        <v>0</v>
      </c>
      <c r="AH20" s="128"/>
      <c r="AI20" s="401">
        <f t="shared" si="17"/>
        <v>0</v>
      </c>
      <c r="AJ20" s="402" t="str">
        <f t="shared" si="18"/>
        <v/>
      </c>
      <c r="AK20" s="52"/>
      <c r="AL20" s="414">
        <f>IFERROR(VLOOKUP($C20,'Proposed Rates'!$B:$J,AL$11,FALSE),0)</f>
        <v>0</v>
      </c>
      <c r="AM20" s="398">
        <f t="shared" si="19"/>
        <v>15000</v>
      </c>
      <c r="AN20" s="400">
        <f t="shared" si="20"/>
        <v>0</v>
      </c>
      <c r="AO20" s="128"/>
      <c r="AP20" s="401">
        <f t="shared" si="21"/>
        <v>0</v>
      </c>
      <c r="AQ20" s="402" t="str">
        <f t="shared" si="22"/>
        <v/>
      </c>
      <c r="AR20" s="403"/>
    </row>
    <row r="21" spans="1:44" ht="12" customHeight="1">
      <c r="A21" s="52"/>
      <c r="B21" s="320" t="s">
        <v>241</v>
      </c>
      <c r="C21" s="395" t="str">
        <f t="shared" si="0"/>
        <v>General Service &lt; 50 kW.LRAM Rate Rider</v>
      </c>
      <c r="D21" s="396" t="s">
        <v>308</v>
      </c>
      <c r="E21" s="320"/>
      <c r="F21" s="414">
        <f>'Proposed Rates'!E78+'Proposed Rates'!E91</f>
        <v>6.9999999999999999E-4</v>
      </c>
      <c r="G21" s="398">
        <f t="shared" si="1"/>
        <v>15000</v>
      </c>
      <c r="H21" s="400">
        <f t="shared" si="2"/>
        <v>10.5</v>
      </c>
      <c r="I21" s="128"/>
      <c r="J21" s="414">
        <f>'Proposed Rates'!F78+'Proposed Rates'!F91</f>
        <v>4.0000000000000002E-4</v>
      </c>
      <c r="K21" s="398">
        <f t="shared" si="3"/>
        <v>15000</v>
      </c>
      <c r="L21" s="400">
        <f t="shared" si="4"/>
        <v>6</v>
      </c>
      <c r="M21" s="128"/>
      <c r="N21" s="401">
        <f t="shared" si="5"/>
        <v>-4.5</v>
      </c>
      <c r="O21" s="402">
        <f t="shared" si="6"/>
        <v>-0.42857142857142855</v>
      </c>
      <c r="P21" s="52"/>
      <c r="Q21" s="414">
        <f>'Proposed Rates'!G78+'Proposed Rates'!G91</f>
        <v>0</v>
      </c>
      <c r="R21" s="398">
        <f t="shared" si="7"/>
        <v>15000</v>
      </c>
      <c r="S21" s="400">
        <f t="shared" si="8"/>
        <v>0</v>
      </c>
      <c r="T21" s="128"/>
      <c r="U21" s="401">
        <f t="shared" si="9"/>
        <v>-6</v>
      </c>
      <c r="V21" s="402">
        <f t="shared" si="10"/>
        <v>-1</v>
      </c>
      <c r="W21" s="52"/>
      <c r="X21" s="414">
        <f>IFERROR(VLOOKUP($C21,'Proposed Rates'!$B:$J,X$11,FALSE),0)</f>
        <v>0</v>
      </c>
      <c r="Y21" s="398">
        <f t="shared" si="11"/>
        <v>15000</v>
      </c>
      <c r="Z21" s="400">
        <f t="shared" si="12"/>
        <v>0</v>
      </c>
      <c r="AA21" s="128"/>
      <c r="AB21" s="401">
        <f t="shared" si="13"/>
        <v>0</v>
      </c>
      <c r="AC21" s="402" t="str">
        <f t="shared" si="14"/>
        <v/>
      </c>
      <c r="AD21" s="52"/>
      <c r="AE21" s="414">
        <f>IFERROR(VLOOKUP($C21,'Proposed Rates'!$B:$J,AE$11,FALSE),0)</f>
        <v>0</v>
      </c>
      <c r="AF21" s="398">
        <f t="shared" si="15"/>
        <v>15000</v>
      </c>
      <c r="AG21" s="400">
        <f t="shared" si="16"/>
        <v>0</v>
      </c>
      <c r="AH21" s="128"/>
      <c r="AI21" s="401">
        <f t="shared" si="17"/>
        <v>0</v>
      </c>
      <c r="AJ21" s="402" t="str">
        <f t="shared" si="18"/>
        <v/>
      </c>
      <c r="AK21" s="52"/>
      <c r="AL21" s="414">
        <f>IFERROR(VLOOKUP($C21,'Proposed Rates'!$B:$J,AL$11,FALSE),0)</f>
        <v>0</v>
      </c>
      <c r="AM21" s="398">
        <f t="shared" si="19"/>
        <v>15000</v>
      </c>
      <c r="AN21" s="400">
        <f t="shared" si="20"/>
        <v>0</v>
      </c>
      <c r="AO21" s="128"/>
      <c r="AP21" s="401">
        <f t="shared" si="21"/>
        <v>0</v>
      </c>
      <c r="AQ21" s="402" t="str">
        <f t="shared" si="22"/>
        <v/>
      </c>
      <c r="AR21" s="403"/>
    </row>
    <row r="22" spans="1:44" ht="12" customHeight="1">
      <c r="A22" s="52"/>
      <c r="B22" s="404" t="s">
        <v>237</v>
      </c>
      <c r="C22" s="395" t="str">
        <f t="shared" si="0"/>
        <v>General Service &lt; 50 kW.Deferral/Variance Account Disposition Rate Rider Group 2</v>
      </c>
      <c r="D22" s="396" t="s">
        <v>308</v>
      </c>
      <c r="E22" s="320"/>
      <c r="F22" s="414">
        <f>IFERROR(VLOOKUP($C22,'Proposed Rates'!$B:$J,F$11,FALSE),0)</f>
        <v>0</v>
      </c>
      <c r="G22" s="398">
        <f t="shared" si="1"/>
        <v>15000</v>
      </c>
      <c r="H22" s="400">
        <f t="shared" si="2"/>
        <v>0</v>
      </c>
      <c r="I22" s="128"/>
      <c r="J22" s="414">
        <f>IFERROR(VLOOKUP($C22,'Proposed Rates'!$B:$J,J$11,FALSE),0)</f>
        <v>-5.9999999999999995E-4</v>
      </c>
      <c r="K22" s="398">
        <f t="shared" si="3"/>
        <v>15000</v>
      </c>
      <c r="L22" s="400">
        <f t="shared" si="4"/>
        <v>-9</v>
      </c>
      <c r="M22" s="128"/>
      <c r="N22" s="401">
        <f t="shared" si="5"/>
        <v>-9</v>
      </c>
      <c r="O22" s="402" t="str">
        <f t="shared" si="6"/>
        <v/>
      </c>
      <c r="P22" s="52"/>
      <c r="Q22" s="414">
        <f>IFERROR(VLOOKUP($C22,'Proposed Rates'!$B:$J,Q$11,FALSE),0)</f>
        <v>0</v>
      </c>
      <c r="R22" s="398">
        <f t="shared" si="7"/>
        <v>15000</v>
      </c>
      <c r="S22" s="400">
        <f t="shared" si="8"/>
        <v>0</v>
      </c>
      <c r="T22" s="128"/>
      <c r="U22" s="401">
        <f t="shared" si="9"/>
        <v>9</v>
      </c>
      <c r="V22" s="402">
        <f t="shared" si="10"/>
        <v>-1</v>
      </c>
      <c r="W22" s="52"/>
      <c r="X22" s="414">
        <f>IFERROR(VLOOKUP($C22,'Proposed Rates'!$B:$J,X$11,FALSE),0)</f>
        <v>0</v>
      </c>
      <c r="Y22" s="398">
        <f t="shared" si="11"/>
        <v>15000</v>
      </c>
      <c r="Z22" s="400">
        <f t="shared" si="12"/>
        <v>0</v>
      </c>
      <c r="AA22" s="128"/>
      <c r="AB22" s="401">
        <f t="shared" si="13"/>
        <v>0</v>
      </c>
      <c r="AC22" s="402" t="str">
        <f t="shared" si="14"/>
        <v/>
      </c>
      <c r="AD22" s="52"/>
      <c r="AE22" s="414">
        <f>IFERROR(VLOOKUP($C22,'Proposed Rates'!$B:$J,AE$11,FALSE),0)</f>
        <v>0</v>
      </c>
      <c r="AF22" s="398">
        <f t="shared" si="15"/>
        <v>15000</v>
      </c>
      <c r="AG22" s="400">
        <f t="shared" si="16"/>
        <v>0</v>
      </c>
      <c r="AH22" s="128"/>
      <c r="AI22" s="401">
        <f t="shared" si="17"/>
        <v>0</v>
      </c>
      <c r="AJ22" s="402" t="str">
        <f t="shared" si="18"/>
        <v/>
      </c>
      <c r="AK22" s="52"/>
      <c r="AL22" s="414">
        <f>IFERROR(VLOOKUP($C22,'Proposed Rates'!$B:$J,AL$11,FALSE),0)</f>
        <v>0</v>
      </c>
      <c r="AM22" s="398">
        <f t="shared" si="19"/>
        <v>15000</v>
      </c>
      <c r="AN22" s="400">
        <f t="shared" si="20"/>
        <v>0</v>
      </c>
      <c r="AO22" s="128"/>
      <c r="AP22" s="401">
        <f t="shared" si="21"/>
        <v>0</v>
      </c>
      <c r="AQ22" s="402" t="str">
        <f t="shared" si="22"/>
        <v/>
      </c>
      <c r="AR22" s="403"/>
    </row>
    <row r="23" spans="1:44" ht="12" customHeight="1">
      <c r="A23" s="52"/>
      <c r="B23" s="404"/>
      <c r="C23" s="395" t="str">
        <f t="shared" si="0"/>
        <v>General Service &lt; 50 kW.</v>
      </c>
      <c r="D23" s="396"/>
      <c r="E23" s="320"/>
      <c r="F23" s="414">
        <f>IFERROR(VLOOKUP($C23,'Proposed Rates'!$B:$J,F$11,FALSE),0)</f>
        <v>0</v>
      </c>
      <c r="G23" s="398">
        <f t="shared" si="1"/>
        <v>0</v>
      </c>
      <c r="H23" s="400">
        <f t="shared" si="2"/>
        <v>0</v>
      </c>
      <c r="I23" s="128"/>
      <c r="J23" s="414">
        <f>IFERROR(VLOOKUP($C23,'Proposed Rates'!$B:$J,J$11,FALSE),0)</f>
        <v>0</v>
      </c>
      <c r="K23" s="398">
        <f t="shared" si="3"/>
        <v>0</v>
      </c>
      <c r="L23" s="400">
        <f t="shared" si="4"/>
        <v>0</v>
      </c>
      <c r="M23" s="128"/>
      <c r="N23" s="401">
        <f t="shared" si="5"/>
        <v>0</v>
      </c>
      <c r="O23" s="402" t="str">
        <f t="shared" si="6"/>
        <v/>
      </c>
      <c r="P23" s="52"/>
      <c r="Q23" s="414">
        <f>IFERROR(VLOOKUP($C23,'Proposed Rates'!$B:$J,Q$11,FALSE),0)</f>
        <v>0</v>
      </c>
      <c r="R23" s="398">
        <f t="shared" si="7"/>
        <v>0</v>
      </c>
      <c r="S23" s="400">
        <f t="shared" si="8"/>
        <v>0</v>
      </c>
      <c r="T23" s="128"/>
      <c r="U23" s="401">
        <f t="shared" si="9"/>
        <v>0</v>
      </c>
      <c r="V23" s="402" t="str">
        <f t="shared" si="10"/>
        <v/>
      </c>
      <c r="W23" s="52"/>
      <c r="X23" s="414">
        <f>IFERROR(VLOOKUP($C23,'Proposed Rates'!$B:$J,X$11,FALSE),0)</f>
        <v>0</v>
      </c>
      <c r="Y23" s="398">
        <f t="shared" si="11"/>
        <v>0</v>
      </c>
      <c r="Z23" s="400">
        <f t="shared" si="12"/>
        <v>0</v>
      </c>
      <c r="AA23" s="128"/>
      <c r="AB23" s="401">
        <f t="shared" si="13"/>
        <v>0</v>
      </c>
      <c r="AC23" s="402" t="str">
        <f t="shared" si="14"/>
        <v/>
      </c>
      <c r="AD23" s="52"/>
      <c r="AE23" s="414">
        <f>IFERROR(VLOOKUP($C23,'Proposed Rates'!$B:$J,AE$11,FALSE),0)</f>
        <v>0</v>
      </c>
      <c r="AF23" s="398">
        <f t="shared" si="15"/>
        <v>0</v>
      </c>
      <c r="AG23" s="400">
        <f t="shared" si="16"/>
        <v>0</v>
      </c>
      <c r="AH23" s="128"/>
      <c r="AI23" s="401">
        <f t="shared" si="17"/>
        <v>0</v>
      </c>
      <c r="AJ23" s="402" t="str">
        <f t="shared" si="18"/>
        <v/>
      </c>
      <c r="AK23" s="52"/>
      <c r="AL23" s="414">
        <f>IFERROR(VLOOKUP($C23,'Proposed Rates'!$B:$J,AL$11,FALSE),0)</f>
        <v>0</v>
      </c>
      <c r="AM23" s="398">
        <f t="shared" si="19"/>
        <v>0</v>
      </c>
      <c r="AN23" s="400">
        <f t="shared" si="20"/>
        <v>0</v>
      </c>
      <c r="AO23" s="128"/>
      <c r="AP23" s="401">
        <f t="shared" si="21"/>
        <v>0</v>
      </c>
      <c r="AQ23" s="402" t="str">
        <f t="shared" si="22"/>
        <v/>
      </c>
      <c r="AR23" s="403"/>
    </row>
    <row r="24" spans="1:44" ht="12" customHeight="1">
      <c r="A24" s="52"/>
      <c r="B24" s="404"/>
      <c r="C24" s="395" t="str">
        <f t="shared" si="0"/>
        <v>General Service &lt; 50 kW.</v>
      </c>
      <c r="D24" s="396"/>
      <c r="E24" s="320"/>
      <c r="F24" s="414">
        <f>IFERROR(VLOOKUP($C24,'Proposed Rates'!$B:$J,F$11,FALSE),0)</f>
        <v>0</v>
      </c>
      <c r="G24" s="398">
        <f t="shared" si="1"/>
        <v>0</v>
      </c>
      <c r="H24" s="400">
        <f t="shared" si="2"/>
        <v>0</v>
      </c>
      <c r="I24" s="128"/>
      <c r="J24" s="414">
        <f>IFERROR(VLOOKUP($C24,'Proposed Rates'!$B:$J,J$11,FALSE),0)</f>
        <v>0</v>
      </c>
      <c r="K24" s="398">
        <f t="shared" si="3"/>
        <v>0</v>
      </c>
      <c r="L24" s="400">
        <f t="shared" si="4"/>
        <v>0</v>
      </c>
      <c r="M24" s="128"/>
      <c r="N24" s="401">
        <f t="shared" si="5"/>
        <v>0</v>
      </c>
      <c r="O24" s="402" t="str">
        <f t="shared" si="6"/>
        <v/>
      </c>
      <c r="P24" s="52"/>
      <c r="Q24" s="414">
        <f>IFERROR(VLOOKUP($C24,'Proposed Rates'!$B:$J,Q$11,FALSE),0)</f>
        <v>0</v>
      </c>
      <c r="R24" s="398">
        <f t="shared" si="7"/>
        <v>0</v>
      </c>
      <c r="S24" s="400">
        <f t="shared" si="8"/>
        <v>0</v>
      </c>
      <c r="T24" s="128"/>
      <c r="U24" s="401">
        <f t="shared" si="9"/>
        <v>0</v>
      </c>
      <c r="V24" s="402" t="str">
        <f t="shared" si="10"/>
        <v/>
      </c>
      <c r="W24" s="52"/>
      <c r="X24" s="414">
        <f>IFERROR(VLOOKUP($C24,'Proposed Rates'!$B:$J,X$11,FALSE),0)</f>
        <v>0</v>
      </c>
      <c r="Y24" s="398">
        <f t="shared" si="11"/>
        <v>0</v>
      </c>
      <c r="Z24" s="400">
        <f t="shared" si="12"/>
        <v>0</v>
      </c>
      <c r="AA24" s="128"/>
      <c r="AB24" s="401">
        <f t="shared" si="13"/>
        <v>0</v>
      </c>
      <c r="AC24" s="402" t="str">
        <f t="shared" si="14"/>
        <v/>
      </c>
      <c r="AD24" s="52"/>
      <c r="AE24" s="414">
        <f>IFERROR(VLOOKUP($C24,'Proposed Rates'!$B:$J,AE$11,FALSE),0)</f>
        <v>0</v>
      </c>
      <c r="AF24" s="398">
        <f t="shared" si="15"/>
        <v>0</v>
      </c>
      <c r="AG24" s="400">
        <f t="shared" si="16"/>
        <v>0</v>
      </c>
      <c r="AH24" s="128"/>
      <c r="AI24" s="401">
        <f t="shared" si="17"/>
        <v>0</v>
      </c>
      <c r="AJ24" s="402" t="str">
        <f t="shared" si="18"/>
        <v/>
      </c>
      <c r="AK24" s="52"/>
      <c r="AL24" s="414">
        <f>IFERROR(VLOOKUP($C24,'Proposed Rates'!$B:$J,AL$11,FALSE),0)</f>
        <v>0</v>
      </c>
      <c r="AM24" s="398">
        <f t="shared" si="19"/>
        <v>0</v>
      </c>
      <c r="AN24" s="400">
        <f t="shared" si="20"/>
        <v>0</v>
      </c>
      <c r="AO24" s="128"/>
      <c r="AP24" s="401">
        <f t="shared" si="21"/>
        <v>0</v>
      </c>
      <c r="AQ24" s="402" t="str">
        <f t="shared" si="22"/>
        <v/>
      </c>
      <c r="AR24" s="403"/>
    </row>
    <row r="25" spans="1:44" ht="12" customHeight="1">
      <c r="A25" s="52"/>
      <c r="B25" s="404"/>
      <c r="C25" s="395" t="str">
        <f t="shared" si="0"/>
        <v>General Service &lt; 50 kW.</v>
      </c>
      <c r="D25" s="396"/>
      <c r="E25" s="320"/>
      <c r="F25" s="414">
        <f>IFERROR(VLOOKUP($C25,'Proposed Rates'!$B:$J,F$11,FALSE),0)</f>
        <v>0</v>
      </c>
      <c r="G25" s="398">
        <f t="shared" si="1"/>
        <v>0</v>
      </c>
      <c r="H25" s="400">
        <f t="shared" si="2"/>
        <v>0</v>
      </c>
      <c r="I25" s="128"/>
      <c r="J25" s="414">
        <f>IFERROR(VLOOKUP($C25,'Proposed Rates'!$B:$J,J$11,FALSE),0)</f>
        <v>0</v>
      </c>
      <c r="K25" s="398">
        <f t="shared" si="3"/>
        <v>0</v>
      </c>
      <c r="L25" s="400">
        <f t="shared" si="4"/>
        <v>0</v>
      </c>
      <c r="M25" s="128"/>
      <c r="N25" s="401">
        <f t="shared" si="5"/>
        <v>0</v>
      </c>
      <c r="O25" s="402" t="str">
        <f t="shared" si="6"/>
        <v/>
      </c>
      <c r="P25" s="52"/>
      <c r="Q25" s="414">
        <f>IFERROR(VLOOKUP($C25,'Proposed Rates'!$B:$J,Q$11,FALSE),0)</f>
        <v>0</v>
      </c>
      <c r="R25" s="398">
        <f t="shared" si="7"/>
        <v>0</v>
      </c>
      <c r="S25" s="400">
        <f t="shared" si="8"/>
        <v>0</v>
      </c>
      <c r="T25" s="128"/>
      <c r="U25" s="401">
        <f t="shared" si="9"/>
        <v>0</v>
      </c>
      <c r="V25" s="402" t="str">
        <f t="shared" si="10"/>
        <v/>
      </c>
      <c r="W25" s="52"/>
      <c r="X25" s="414">
        <f>IFERROR(VLOOKUP($C25,'Proposed Rates'!$B:$J,X$11,FALSE),0)</f>
        <v>0</v>
      </c>
      <c r="Y25" s="398">
        <f t="shared" si="11"/>
        <v>0</v>
      </c>
      <c r="Z25" s="400">
        <f t="shared" si="12"/>
        <v>0</v>
      </c>
      <c r="AA25" s="128"/>
      <c r="AB25" s="401">
        <f t="shared" si="13"/>
        <v>0</v>
      </c>
      <c r="AC25" s="402" t="str">
        <f t="shared" si="14"/>
        <v/>
      </c>
      <c r="AD25" s="52"/>
      <c r="AE25" s="414">
        <f>IFERROR(VLOOKUP($C25,'Proposed Rates'!$B:$J,AE$11,FALSE),0)</f>
        <v>0</v>
      </c>
      <c r="AF25" s="398">
        <f t="shared" si="15"/>
        <v>0</v>
      </c>
      <c r="AG25" s="400">
        <f t="shared" si="16"/>
        <v>0</v>
      </c>
      <c r="AH25" s="128"/>
      <c r="AI25" s="401">
        <f t="shared" si="17"/>
        <v>0</v>
      </c>
      <c r="AJ25" s="402" t="str">
        <f t="shared" si="18"/>
        <v/>
      </c>
      <c r="AK25" s="52"/>
      <c r="AL25" s="414">
        <f>IFERROR(VLOOKUP($C25,'Proposed Rates'!$B:$J,AL$11,FALSE),0)</f>
        <v>0</v>
      </c>
      <c r="AM25" s="398">
        <f t="shared" si="19"/>
        <v>0</v>
      </c>
      <c r="AN25" s="400">
        <f t="shared" si="20"/>
        <v>0</v>
      </c>
      <c r="AO25" s="128"/>
      <c r="AP25" s="401">
        <f t="shared" si="21"/>
        <v>0</v>
      </c>
      <c r="AQ25" s="402" t="str">
        <f t="shared" si="22"/>
        <v/>
      </c>
      <c r="AR25" s="403"/>
    </row>
    <row r="26" spans="1:44" ht="12" customHeight="1">
      <c r="A26" s="52"/>
      <c r="B26" s="404"/>
      <c r="C26" s="395" t="str">
        <f t="shared" si="0"/>
        <v>General Service &lt; 50 kW.</v>
      </c>
      <c r="D26" s="396"/>
      <c r="E26" s="320"/>
      <c r="F26" s="414">
        <f>IFERROR(VLOOKUP($C26,'Proposed Rates'!$B:$J,F$11,FALSE),0)</f>
        <v>0</v>
      </c>
      <c r="G26" s="398">
        <f t="shared" si="1"/>
        <v>0</v>
      </c>
      <c r="H26" s="400">
        <f t="shared" si="2"/>
        <v>0</v>
      </c>
      <c r="I26" s="128"/>
      <c r="J26" s="414">
        <f>IFERROR(VLOOKUP($C26,'Proposed Rates'!$B:$J,J$11,FALSE),0)</f>
        <v>0</v>
      </c>
      <c r="K26" s="398">
        <f t="shared" si="3"/>
        <v>0</v>
      </c>
      <c r="L26" s="400">
        <f t="shared" si="4"/>
        <v>0</v>
      </c>
      <c r="M26" s="128"/>
      <c r="N26" s="401">
        <f t="shared" si="5"/>
        <v>0</v>
      </c>
      <c r="O26" s="402" t="str">
        <f t="shared" si="6"/>
        <v/>
      </c>
      <c r="P26" s="52"/>
      <c r="Q26" s="414">
        <f>IFERROR(VLOOKUP($C26,'Proposed Rates'!$B:$J,Q$11,FALSE),0)</f>
        <v>0</v>
      </c>
      <c r="R26" s="398">
        <f t="shared" si="7"/>
        <v>0</v>
      </c>
      <c r="S26" s="400">
        <f t="shared" si="8"/>
        <v>0</v>
      </c>
      <c r="T26" s="128"/>
      <c r="U26" s="401">
        <f t="shared" si="9"/>
        <v>0</v>
      </c>
      <c r="V26" s="402" t="str">
        <f t="shared" si="10"/>
        <v/>
      </c>
      <c r="W26" s="52"/>
      <c r="X26" s="414">
        <f>IFERROR(VLOOKUP($C26,'Proposed Rates'!$B:$J,X$11,FALSE),0)</f>
        <v>0</v>
      </c>
      <c r="Y26" s="398">
        <f t="shared" si="11"/>
        <v>0</v>
      </c>
      <c r="Z26" s="400">
        <f t="shared" si="12"/>
        <v>0</v>
      </c>
      <c r="AA26" s="128"/>
      <c r="AB26" s="401">
        <f t="shared" si="13"/>
        <v>0</v>
      </c>
      <c r="AC26" s="402" t="str">
        <f t="shared" si="14"/>
        <v/>
      </c>
      <c r="AD26" s="52"/>
      <c r="AE26" s="414">
        <f>IFERROR(VLOOKUP($C26,'Proposed Rates'!$B:$J,AE$11,FALSE),0)</f>
        <v>0</v>
      </c>
      <c r="AF26" s="398">
        <f t="shared" si="15"/>
        <v>0</v>
      </c>
      <c r="AG26" s="400">
        <f t="shared" si="16"/>
        <v>0</v>
      </c>
      <c r="AH26" s="128"/>
      <c r="AI26" s="401">
        <f t="shared" si="17"/>
        <v>0</v>
      </c>
      <c r="AJ26" s="402" t="str">
        <f t="shared" si="18"/>
        <v/>
      </c>
      <c r="AK26" s="52"/>
      <c r="AL26" s="414">
        <f>IFERROR(VLOOKUP($C26,'Proposed Rates'!$B:$J,AL$11,FALSE),0)</f>
        <v>0</v>
      </c>
      <c r="AM26" s="398">
        <f t="shared" si="19"/>
        <v>0</v>
      </c>
      <c r="AN26" s="400">
        <f t="shared" si="20"/>
        <v>0</v>
      </c>
      <c r="AO26" s="128"/>
      <c r="AP26" s="401">
        <f t="shared" si="21"/>
        <v>0</v>
      </c>
      <c r="AQ26" s="402" t="str">
        <f t="shared" si="22"/>
        <v/>
      </c>
      <c r="AR26" s="403"/>
    </row>
    <row r="27" spans="1:44" ht="12" customHeight="1">
      <c r="A27" s="52"/>
      <c r="B27" s="404"/>
      <c r="C27" s="395" t="str">
        <f t="shared" si="0"/>
        <v>General Service &lt; 50 kW.</v>
      </c>
      <c r="D27" s="396"/>
      <c r="E27" s="320"/>
      <c r="F27" s="414">
        <f>IFERROR(VLOOKUP($C27,'Proposed Rates'!$B:$J,F$11,FALSE),0)</f>
        <v>0</v>
      </c>
      <c r="G27" s="398">
        <f t="shared" si="1"/>
        <v>0</v>
      </c>
      <c r="H27" s="400">
        <f t="shared" si="2"/>
        <v>0</v>
      </c>
      <c r="I27" s="128"/>
      <c r="J27" s="414">
        <f>IFERROR(VLOOKUP($C27,'Proposed Rates'!$B:$J,J$11,FALSE),0)</f>
        <v>0</v>
      </c>
      <c r="K27" s="398">
        <f t="shared" si="3"/>
        <v>0</v>
      </c>
      <c r="L27" s="400">
        <f t="shared" si="4"/>
        <v>0</v>
      </c>
      <c r="M27" s="128"/>
      <c r="N27" s="401">
        <f t="shared" si="5"/>
        <v>0</v>
      </c>
      <c r="O27" s="402" t="str">
        <f t="shared" si="6"/>
        <v/>
      </c>
      <c r="P27" s="52"/>
      <c r="Q27" s="414">
        <f>IFERROR(VLOOKUP($C27,'Proposed Rates'!$B:$J,Q$11,FALSE),0)</f>
        <v>0</v>
      </c>
      <c r="R27" s="398">
        <f t="shared" si="7"/>
        <v>0</v>
      </c>
      <c r="S27" s="400">
        <f t="shared" si="8"/>
        <v>0</v>
      </c>
      <c r="T27" s="128"/>
      <c r="U27" s="401">
        <f t="shared" si="9"/>
        <v>0</v>
      </c>
      <c r="V27" s="402" t="str">
        <f t="shared" si="10"/>
        <v/>
      </c>
      <c r="W27" s="52"/>
      <c r="X27" s="414">
        <f>IFERROR(VLOOKUP($C27,'Proposed Rates'!$B:$J,X$11,FALSE),0)</f>
        <v>0</v>
      </c>
      <c r="Y27" s="398">
        <f t="shared" si="11"/>
        <v>0</v>
      </c>
      <c r="Z27" s="400">
        <f t="shared" si="12"/>
        <v>0</v>
      </c>
      <c r="AA27" s="128"/>
      <c r="AB27" s="401">
        <f t="shared" si="13"/>
        <v>0</v>
      </c>
      <c r="AC27" s="402" t="str">
        <f t="shared" si="14"/>
        <v/>
      </c>
      <c r="AD27" s="52"/>
      <c r="AE27" s="414">
        <f>IFERROR(VLOOKUP($C27,'Proposed Rates'!$B:$J,AE$11,FALSE),0)</f>
        <v>0</v>
      </c>
      <c r="AF27" s="398">
        <f t="shared" si="15"/>
        <v>0</v>
      </c>
      <c r="AG27" s="400">
        <f t="shared" si="16"/>
        <v>0</v>
      </c>
      <c r="AH27" s="128"/>
      <c r="AI27" s="401">
        <f t="shared" si="17"/>
        <v>0</v>
      </c>
      <c r="AJ27" s="402" t="str">
        <f t="shared" si="18"/>
        <v/>
      </c>
      <c r="AK27" s="52"/>
      <c r="AL27" s="414">
        <f>IFERROR(VLOOKUP($C27,'Proposed Rates'!$B:$J,AL$11,FALSE),0)</f>
        <v>0</v>
      </c>
      <c r="AM27" s="398">
        <f t="shared" si="19"/>
        <v>0</v>
      </c>
      <c r="AN27" s="400">
        <f t="shared" si="20"/>
        <v>0</v>
      </c>
      <c r="AO27" s="128"/>
      <c r="AP27" s="401">
        <f t="shared" si="21"/>
        <v>0</v>
      </c>
      <c r="AQ27" s="402" t="str">
        <f t="shared" si="22"/>
        <v/>
      </c>
      <c r="AR27" s="403"/>
    </row>
    <row r="28" spans="1:44" ht="12" customHeight="1">
      <c r="A28" s="52"/>
      <c r="B28" s="404"/>
      <c r="C28" s="395" t="str">
        <f t="shared" si="0"/>
        <v>General Service &lt; 50 kW.</v>
      </c>
      <c r="D28" s="396"/>
      <c r="E28" s="320"/>
      <c r="F28" s="414">
        <f>IFERROR(VLOOKUP($C28,'Proposed Rates'!$B:$J,F$11,FALSE),0)</f>
        <v>0</v>
      </c>
      <c r="G28" s="398">
        <f t="shared" si="1"/>
        <v>0</v>
      </c>
      <c r="H28" s="400">
        <f t="shared" si="2"/>
        <v>0</v>
      </c>
      <c r="I28" s="128"/>
      <c r="J28" s="414">
        <f>IFERROR(VLOOKUP($C28,'Proposed Rates'!$B:$J,J$11,FALSE),0)</f>
        <v>0</v>
      </c>
      <c r="K28" s="398">
        <f t="shared" si="3"/>
        <v>0</v>
      </c>
      <c r="L28" s="400">
        <f t="shared" si="4"/>
        <v>0</v>
      </c>
      <c r="M28" s="128"/>
      <c r="N28" s="401">
        <f t="shared" si="5"/>
        <v>0</v>
      </c>
      <c r="O28" s="402" t="str">
        <f t="shared" si="6"/>
        <v/>
      </c>
      <c r="P28" s="52"/>
      <c r="Q28" s="414">
        <f>IFERROR(VLOOKUP($C28,'Proposed Rates'!$B:$J,Q$11,FALSE),0)</f>
        <v>0</v>
      </c>
      <c r="R28" s="398">
        <f t="shared" si="7"/>
        <v>0</v>
      </c>
      <c r="S28" s="400">
        <f t="shared" si="8"/>
        <v>0</v>
      </c>
      <c r="T28" s="128"/>
      <c r="U28" s="401">
        <f t="shared" si="9"/>
        <v>0</v>
      </c>
      <c r="V28" s="402" t="str">
        <f t="shared" si="10"/>
        <v/>
      </c>
      <c r="W28" s="52"/>
      <c r="X28" s="414">
        <f>IFERROR(VLOOKUP($C28,'Proposed Rates'!$B:$J,X$11,FALSE),0)</f>
        <v>0</v>
      </c>
      <c r="Y28" s="398">
        <f t="shared" si="11"/>
        <v>0</v>
      </c>
      <c r="Z28" s="400">
        <f t="shared" si="12"/>
        <v>0</v>
      </c>
      <c r="AA28" s="128"/>
      <c r="AB28" s="401">
        <f t="shared" si="13"/>
        <v>0</v>
      </c>
      <c r="AC28" s="402" t="str">
        <f t="shared" si="14"/>
        <v/>
      </c>
      <c r="AD28" s="52"/>
      <c r="AE28" s="414">
        <f>IFERROR(VLOOKUP($C28,'Proposed Rates'!$B:$J,AE$11,FALSE),0)</f>
        <v>0</v>
      </c>
      <c r="AF28" s="398">
        <f t="shared" si="15"/>
        <v>0</v>
      </c>
      <c r="AG28" s="400">
        <f t="shared" si="16"/>
        <v>0</v>
      </c>
      <c r="AH28" s="128"/>
      <c r="AI28" s="401">
        <f t="shared" si="17"/>
        <v>0</v>
      </c>
      <c r="AJ28" s="402" t="str">
        <f t="shared" si="18"/>
        <v/>
      </c>
      <c r="AK28" s="52"/>
      <c r="AL28" s="414">
        <f>IFERROR(VLOOKUP($C28,'Proposed Rates'!$B:$J,AL$11,FALSE),0)</f>
        <v>0</v>
      </c>
      <c r="AM28" s="398">
        <f t="shared" si="19"/>
        <v>0</v>
      </c>
      <c r="AN28" s="400">
        <f t="shared" si="20"/>
        <v>0</v>
      </c>
      <c r="AO28" s="128"/>
      <c r="AP28" s="401">
        <f t="shared" si="21"/>
        <v>0</v>
      </c>
      <c r="AQ28" s="402" t="str">
        <f t="shared" si="22"/>
        <v/>
      </c>
      <c r="AR28" s="403"/>
    </row>
    <row r="29" spans="1:44" ht="12" customHeight="1">
      <c r="A29" s="306"/>
      <c r="B29" s="405" t="s">
        <v>310</v>
      </c>
      <c r="C29" s="406"/>
      <c r="D29" s="406"/>
      <c r="E29" s="406"/>
      <c r="F29" s="407"/>
      <c r="G29" s="500"/>
      <c r="H29" s="409">
        <f>SUM(H15:H28)</f>
        <v>491.53</v>
      </c>
      <c r="I29" s="410"/>
      <c r="J29" s="407"/>
      <c r="K29" s="500"/>
      <c r="L29" s="409">
        <f>SUM(L15:L28)</f>
        <v>571.08000000000004</v>
      </c>
      <c r="M29" s="410"/>
      <c r="N29" s="411">
        <f t="shared" si="5"/>
        <v>79.550000000000068</v>
      </c>
      <c r="O29" s="412">
        <f t="shared" si="6"/>
        <v>0.16184159664720377</v>
      </c>
      <c r="P29" s="306"/>
      <c r="Q29" s="407"/>
      <c r="R29" s="500"/>
      <c r="S29" s="409">
        <f>SUM(S15:S28)</f>
        <v>616.70000000000005</v>
      </c>
      <c r="T29" s="410"/>
      <c r="U29" s="411">
        <f t="shared" si="9"/>
        <v>45.620000000000005</v>
      </c>
      <c r="V29" s="412">
        <f t="shared" si="10"/>
        <v>7.9883729074735593E-2</v>
      </c>
      <c r="W29" s="306"/>
      <c r="X29" s="407"/>
      <c r="Y29" s="500"/>
      <c r="Z29" s="409">
        <f>SUM(Z15:Z28)</f>
        <v>671.9</v>
      </c>
      <c r="AA29" s="410"/>
      <c r="AB29" s="411">
        <f t="shared" si="13"/>
        <v>55.199999999999932</v>
      </c>
      <c r="AC29" s="412">
        <f t="shared" si="14"/>
        <v>8.9508675206745464E-2</v>
      </c>
      <c r="AD29" s="306"/>
      <c r="AE29" s="407"/>
      <c r="AF29" s="500"/>
      <c r="AG29" s="409">
        <f>SUM(AG15:AG28)</f>
        <v>714.5</v>
      </c>
      <c r="AH29" s="410"/>
      <c r="AI29" s="411">
        <f t="shared" si="17"/>
        <v>42.600000000000023</v>
      </c>
      <c r="AJ29" s="412">
        <f t="shared" si="18"/>
        <v>6.340229200773928E-2</v>
      </c>
      <c r="AK29" s="306"/>
      <c r="AL29" s="407"/>
      <c r="AM29" s="500"/>
      <c r="AN29" s="409">
        <f>SUM(AN15:AN28)</f>
        <v>755.5</v>
      </c>
      <c r="AO29" s="410"/>
      <c r="AP29" s="411">
        <f t="shared" si="21"/>
        <v>41</v>
      </c>
      <c r="AQ29" s="412">
        <f t="shared" si="22"/>
        <v>5.7382785164450667E-2</v>
      </c>
      <c r="AR29" s="413"/>
    </row>
    <row r="30" spans="1:44" ht="12" customHeight="1">
      <c r="A30" s="52"/>
      <c r="B30" s="404" t="s">
        <v>234</v>
      </c>
      <c r="C30" s="395" t="str">
        <f t="shared" ref="C30:C36" si="23">D$6&amp;"."&amp;B30</f>
        <v>General Service &lt; 50 kW.DVA Disposition Rate Rider Group 1 -2025</v>
      </c>
      <c r="D30" s="396" t="s">
        <v>308</v>
      </c>
      <c r="E30" s="320"/>
      <c r="F30" s="414">
        <f>IFERROR(VLOOKUP($C30,'Proposed Rates'!$B:$J,F$11,FALSE),0)</f>
        <v>0</v>
      </c>
      <c r="G30" s="398">
        <f t="shared" ref="G30:G33" si="24">IF($D30="Monthly",1,IF($D30="per KWH",$F$10,0))</f>
        <v>15000</v>
      </c>
      <c r="H30" s="400">
        <f t="shared" ref="H30:H36" si="25">G30*F30</f>
        <v>0</v>
      </c>
      <c r="I30" s="128"/>
      <c r="J30" s="414">
        <f>IFERROR(VLOOKUP($C30,'Proposed Rates'!$B:$J,J$11,FALSE),0)</f>
        <v>-5.0000000000000001E-4</v>
      </c>
      <c r="K30" s="398">
        <f t="shared" ref="K30:K33" si="26">IF($D30="Monthly",1,IF($D30="per KWH",$F$10,0))</f>
        <v>15000</v>
      </c>
      <c r="L30" s="400">
        <f t="shared" ref="L30:L36" si="27">K30*J30</f>
        <v>-7.5</v>
      </c>
      <c r="M30" s="128"/>
      <c r="N30" s="401">
        <f t="shared" si="5"/>
        <v>-7.5</v>
      </c>
      <c r="O30" s="402" t="str">
        <f t="shared" si="6"/>
        <v/>
      </c>
      <c r="P30" s="52"/>
      <c r="Q30" s="414">
        <f>IFERROR(VLOOKUP($C30,'Proposed Rates'!$B:$J,Q$11,FALSE),0)</f>
        <v>0</v>
      </c>
      <c r="R30" s="398">
        <f t="shared" ref="R30:R33" si="28">IF($D30="Monthly",1,IF($D30="per KWH",$F$10,0))</f>
        <v>15000</v>
      </c>
      <c r="S30" s="400">
        <f t="shared" ref="S30:S36" si="29">R30*Q30</f>
        <v>0</v>
      </c>
      <c r="T30" s="128"/>
      <c r="U30" s="401">
        <f t="shared" si="9"/>
        <v>7.5</v>
      </c>
      <c r="V30" s="402">
        <f t="shared" si="10"/>
        <v>-1</v>
      </c>
      <c r="W30" s="52"/>
      <c r="X30" s="414">
        <f>IFERROR(VLOOKUP($C30,'Proposed Rates'!$B:$J,X$11,FALSE),0)</f>
        <v>0</v>
      </c>
      <c r="Y30" s="398">
        <f t="shared" ref="Y30:Y33" si="30">IF($D30="Monthly",1,IF($D30="per KWH",$F$10,0))</f>
        <v>15000</v>
      </c>
      <c r="Z30" s="400">
        <f t="shared" ref="Z30:Z36" si="31">Y30*X30</f>
        <v>0</v>
      </c>
      <c r="AA30" s="128"/>
      <c r="AB30" s="401">
        <f t="shared" si="13"/>
        <v>0</v>
      </c>
      <c r="AC30" s="402" t="str">
        <f t="shared" si="14"/>
        <v/>
      </c>
      <c r="AD30" s="52"/>
      <c r="AE30" s="414">
        <f>IFERROR(VLOOKUP($C30,'Proposed Rates'!$B:$J,AE$11,FALSE),0)</f>
        <v>0</v>
      </c>
      <c r="AF30" s="398">
        <f t="shared" ref="AF30:AF33" si="32">IF($D30="Monthly",1,IF($D30="per KWH",$F$10,0))</f>
        <v>15000</v>
      </c>
      <c r="AG30" s="400">
        <f t="shared" ref="AG30:AG36" si="33">AF30*AE30</f>
        <v>0</v>
      </c>
      <c r="AH30" s="128"/>
      <c r="AI30" s="401">
        <f t="shared" si="17"/>
        <v>0</v>
      </c>
      <c r="AJ30" s="402" t="str">
        <f t="shared" si="18"/>
        <v/>
      </c>
      <c r="AK30" s="52"/>
      <c r="AL30" s="414">
        <f>IFERROR(VLOOKUP($C30,'Proposed Rates'!$B:$J,AL$11,FALSE),0)</f>
        <v>0</v>
      </c>
      <c r="AM30" s="398">
        <f t="shared" ref="AM30:AM33" si="34">IF($D30="Monthly",1,IF($D30="per KWH",$F$10,0))</f>
        <v>15000</v>
      </c>
      <c r="AN30" s="400">
        <f t="shared" ref="AN30:AN36" si="35">AM30*AL30</f>
        <v>0</v>
      </c>
      <c r="AO30" s="128"/>
      <c r="AP30" s="401">
        <f t="shared" si="21"/>
        <v>0</v>
      </c>
      <c r="AQ30" s="402" t="str">
        <f t="shared" si="22"/>
        <v/>
      </c>
      <c r="AR30" s="403"/>
    </row>
    <row r="31" spans="1:44" ht="12" customHeight="1">
      <c r="A31" s="52"/>
      <c r="B31" s="404" t="s">
        <v>236</v>
      </c>
      <c r="C31" s="395" t="str">
        <f t="shared" si="23"/>
        <v>General Service &lt; 50 kW.DVA Disposition Rate Rider Group 1 - 2024</v>
      </c>
      <c r="D31" s="396" t="s">
        <v>308</v>
      </c>
      <c r="E31" s="320"/>
      <c r="F31" s="414">
        <f>IFERROR(VLOOKUP($C31,'Proposed Rates'!$B:$J,F$11,FALSE),0)</f>
        <v>0</v>
      </c>
      <c r="G31" s="398">
        <f t="shared" si="24"/>
        <v>15000</v>
      </c>
      <c r="H31" s="400">
        <f t="shared" si="25"/>
        <v>0</v>
      </c>
      <c r="I31" s="485"/>
      <c r="J31" s="414">
        <f>IFERROR(VLOOKUP($C31,'Proposed Rates'!$B:$J,J$11,FALSE),0)</f>
        <v>0</v>
      </c>
      <c r="K31" s="398">
        <f t="shared" si="26"/>
        <v>15000</v>
      </c>
      <c r="L31" s="400">
        <f t="shared" si="27"/>
        <v>0</v>
      </c>
      <c r="M31" s="417"/>
      <c r="N31" s="401">
        <f t="shared" si="5"/>
        <v>0</v>
      </c>
      <c r="O31" s="402" t="str">
        <f t="shared" si="6"/>
        <v/>
      </c>
      <c r="P31" s="52"/>
      <c r="Q31" s="414">
        <f>IFERROR(VLOOKUP($C31,'Proposed Rates'!$B:$J,Q$11,FALSE),0)</f>
        <v>0</v>
      </c>
      <c r="R31" s="398">
        <f t="shared" si="28"/>
        <v>15000</v>
      </c>
      <c r="S31" s="400">
        <f t="shared" si="29"/>
        <v>0</v>
      </c>
      <c r="T31" s="417"/>
      <c r="U31" s="401">
        <f t="shared" si="9"/>
        <v>0</v>
      </c>
      <c r="V31" s="402" t="str">
        <f t="shared" si="10"/>
        <v/>
      </c>
      <c r="W31" s="52"/>
      <c r="X31" s="414">
        <f>IFERROR(VLOOKUP($C31,'Proposed Rates'!$B:$J,X$11,FALSE),0)</f>
        <v>0</v>
      </c>
      <c r="Y31" s="398">
        <f t="shared" si="30"/>
        <v>15000</v>
      </c>
      <c r="Z31" s="400">
        <f t="shared" si="31"/>
        <v>0</v>
      </c>
      <c r="AA31" s="417"/>
      <c r="AB31" s="401">
        <f t="shared" si="13"/>
        <v>0</v>
      </c>
      <c r="AC31" s="402" t="str">
        <f t="shared" si="14"/>
        <v/>
      </c>
      <c r="AD31" s="52"/>
      <c r="AE31" s="414">
        <f>IFERROR(VLOOKUP($C31,'Proposed Rates'!$B:$J,AE$11,FALSE),0)</f>
        <v>0</v>
      </c>
      <c r="AF31" s="398">
        <f t="shared" si="32"/>
        <v>15000</v>
      </c>
      <c r="AG31" s="400">
        <f t="shared" si="33"/>
        <v>0</v>
      </c>
      <c r="AH31" s="417"/>
      <c r="AI31" s="401">
        <f t="shared" si="17"/>
        <v>0</v>
      </c>
      <c r="AJ31" s="402" t="str">
        <f t="shared" si="18"/>
        <v/>
      </c>
      <c r="AK31" s="52"/>
      <c r="AL31" s="414">
        <f>IFERROR(VLOOKUP($C31,'Proposed Rates'!$B:$J,AL$11,FALSE),0)</f>
        <v>0</v>
      </c>
      <c r="AM31" s="398">
        <f t="shared" si="34"/>
        <v>15000</v>
      </c>
      <c r="AN31" s="400">
        <f t="shared" si="35"/>
        <v>0</v>
      </c>
      <c r="AO31" s="417"/>
      <c r="AP31" s="401">
        <f t="shared" si="21"/>
        <v>0</v>
      </c>
      <c r="AQ31" s="402" t="str">
        <f t="shared" si="22"/>
        <v/>
      </c>
      <c r="AR31" s="403"/>
    </row>
    <row r="32" spans="1:44" ht="12" customHeight="1">
      <c r="A32" s="52"/>
      <c r="B32" s="404" t="s">
        <v>244</v>
      </c>
      <c r="C32" s="395" t="str">
        <f t="shared" si="23"/>
        <v>General Service &lt; 50 kW.CBR Class B Rate Riders</v>
      </c>
      <c r="D32" s="396" t="s">
        <v>308</v>
      </c>
      <c r="E32" s="320"/>
      <c r="F32" s="414">
        <f>IFERROR(VLOOKUP($C32,'Proposed Rates'!$B:$J,F$11,FALSE),0)</f>
        <v>2.0000000000000001E-4</v>
      </c>
      <c r="G32" s="398">
        <f t="shared" si="24"/>
        <v>15000</v>
      </c>
      <c r="H32" s="400">
        <f t="shared" si="25"/>
        <v>3</v>
      </c>
      <c r="I32" s="485"/>
      <c r="J32" s="414">
        <f>IFERROR(VLOOKUP($C32,'Proposed Rates'!$B:$J,J$11,FALSE),0)</f>
        <v>4.0000000000000002E-4</v>
      </c>
      <c r="K32" s="398">
        <f t="shared" si="26"/>
        <v>15000</v>
      </c>
      <c r="L32" s="400">
        <f t="shared" si="27"/>
        <v>6</v>
      </c>
      <c r="M32" s="417"/>
      <c r="N32" s="401">
        <f t="shared" si="5"/>
        <v>3</v>
      </c>
      <c r="O32" s="402">
        <f t="shared" si="6"/>
        <v>1</v>
      </c>
      <c r="P32" s="52"/>
      <c r="Q32" s="414">
        <f>IFERROR(VLOOKUP($C32,'Proposed Rates'!$B:$J,Q$11,FALSE),0)</f>
        <v>0</v>
      </c>
      <c r="R32" s="398">
        <f t="shared" si="28"/>
        <v>15000</v>
      </c>
      <c r="S32" s="400">
        <f t="shared" si="29"/>
        <v>0</v>
      </c>
      <c r="T32" s="417"/>
      <c r="U32" s="401">
        <f t="shared" si="9"/>
        <v>-6</v>
      </c>
      <c r="V32" s="402">
        <f t="shared" si="10"/>
        <v>-1</v>
      </c>
      <c r="W32" s="52"/>
      <c r="X32" s="414">
        <f>IFERROR(VLOOKUP($C32,'Proposed Rates'!$B:$J,X$11,FALSE),0)</f>
        <v>0</v>
      </c>
      <c r="Y32" s="398">
        <f t="shared" si="30"/>
        <v>15000</v>
      </c>
      <c r="Z32" s="400">
        <f t="shared" si="31"/>
        <v>0</v>
      </c>
      <c r="AA32" s="417"/>
      <c r="AB32" s="401">
        <f t="shared" si="13"/>
        <v>0</v>
      </c>
      <c r="AC32" s="402" t="str">
        <f t="shared" si="14"/>
        <v/>
      </c>
      <c r="AD32" s="52"/>
      <c r="AE32" s="414">
        <f>IFERROR(VLOOKUP($C32,'Proposed Rates'!$B:$J,AE$11,FALSE),0)</f>
        <v>0</v>
      </c>
      <c r="AF32" s="398">
        <f t="shared" si="32"/>
        <v>15000</v>
      </c>
      <c r="AG32" s="400">
        <f t="shared" si="33"/>
        <v>0</v>
      </c>
      <c r="AH32" s="417"/>
      <c r="AI32" s="401">
        <f t="shared" si="17"/>
        <v>0</v>
      </c>
      <c r="AJ32" s="402" t="str">
        <f t="shared" si="18"/>
        <v/>
      </c>
      <c r="AK32" s="52"/>
      <c r="AL32" s="414">
        <f>IFERROR(VLOOKUP($C32,'Proposed Rates'!$B:$J,AL$11,FALSE),0)</f>
        <v>0</v>
      </c>
      <c r="AM32" s="398">
        <f t="shared" si="34"/>
        <v>15000</v>
      </c>
      <c r="AN32" s="400">
        <f t="shared" si="35"/>
        <v>0</v>
      </c>
      <c r="AO32" s="417"/>
      <c r="AP32" s="401">
        <f t="shared" si="21"/>
        <v>0</v>
      </c>
      <c r="AQ32" s="402" t="str">
        <f t="shared" si="22"/>
        <v/>
      </c>
      <c r="AR32" s="403"/>
    </row>
    <row r="33" spans="1:44" ht="12" customHeight="1">
      <c r="A33" s="52"/>
      <c r="B33" s="404" t="s">
        <v>311</v>
      </c>
      <c r="C33" s="395" t="str">
        <f t="shared" si="23"/>
        <v>General Service &lt; 50 kW.GA Disposition Rate Rider-NonRPP</v>
      </c>
      <c r="D33" s="396" t="s">
        <v>308</v>
      </c>
      <c r="E33" s="320"/>
      <c r="F33" s="414">
        <f>IFERROR(VLOOKUP($C33,'Proposed Rates'!$B:$J,F$11,FALSE),0)</f>
        <v>0</v>
      </c>
      <c r="G33" s="398">
        <f t="shared" si="24"/>
        <v>15000</v>
      </c>
      <c r="H33" s="400">
        <f t="shared" si="25"/>
        <v>0</v>
      </c>
      <c r="I33" s="485"/>
      <c r="J33" s="414">
        <f>IFERROR(VLOOKUP($C33,'Proposed Rates'!$B:$J,J$11,FALSE),0)</f>
        <v>0</v>
      </c>
      <c r="K33" s="398">
        <f t="shared" si="26"/>
        <v>15000</v>
      </c>
      <c r="L33" s="400">
        <f t="shared" si="27"/>
        <v>0</v>
      </c>
      <c r="M33" s="417"/>
      <c r="N33" s="401">
        <f t="shared" si="5"/>
        <v>0</v>
      </c>
      <c r="O33" s="402" t="str">
        <f t="shared" si="6"/>
        <v/>
      </c>
      <c r="P33" s="52"/>
      <c r="Q33" s="414">
        <f>IFERROR(VLOOKUP($C33,'Proposed Rates'!$B:$J,Q$11,FALSE),0)</f>
        <v>0</v>
      </c>
      <c r="R33" s="398">
        <f t="shared" si="28"/>
        <v>15000</v>
      </c>
      <c r="S33" s="400">
        <f t="shared" si="29"/>
        <v>0</v>
      </c>
      <c r="T33" s="417"/>
      <c r="U33" s="401">
        <f t="shared" si="9"/>
        <v>0</v>
      </c>
      <c r="V33" s="402" t="str">
        <f t="shared" si="10"/>
        <v/>
      </c>
      <c r="W33" s="52"/>
      <c r="X33" s="414">
        <f>IFERROR(VLOOKUP($C33,'Proposed Rates'!$B:$J,X$11,FALSE),0)</f>
        <v>0</v>
      </c>
      <c r="Y33" s="398">
        <f t="shared" si="30"/>
        <v>15000</v>
      </c>
      <c r="Z33" s="400">
        <f t="shared" si="31"/>
        <v>0</v>
      </c>
      <c r="AA33" s="417"/>
      <c r="AB33" s="401">
        <f t="shared" si="13"/>
        <v>0</v>
      </c>
      <c r="AC33" s="402" t="str">
        <f t="shared" si="14"/>
        <v/>
      </c>
      <c r="AD33" s="52"/>
      <c r="AE33" s="414">
        <f>IFERROR(VLOOKUP($C33,'Proposed Rates'!$B:$J,AE$11,FALSE),0)</f>
        <v>0</v>
      </c>
      <c r="AF33" s="398">
        <f t="shared" si="32"/>
        <v>15000</v>
      </c>
      <c r="AG33" s="400">
        <f t="shared" si="33"/>
        <v>0</v>
      </c>
      <c r="AH33" s="417"/>
      <c r="AI33" s="401">
        <f t="shared" si="17"/>
        <v>0</v>
      </c>
      <c r="AJ33" s="402" t="str">
        <f t="shared" si="18"/>
        <v/>
      </c>
      <c r="AK33" s="52"/>
      <c r="AL33" s="414">
        <f>IFERROR(VLOOKUP($C33,'Proposed Rates'!$B:$J,AL$11,FALSE),0)</f>
        <v>0</v>
      </c>
      <c r="AM33" s="398">
        <f t="shared" si="34"/>
        <v>15000</v>
      </c>
      <c r="AN33" s="400">
        <f t="shared" si="35"/>
        <v>0</v>
      </c>
      <c r="AO33" s="417"/>
      <c r="AP33" s="401">
        <f t="shared" si="21"/>
        <v>0</v>
      </c>
      <c r="AQ33" s="402" t="str">
        <f t="shared" si="22"/>
        <v/>
      </c>
      <c r="AR33" s="403"/>
    </row>
    <row r="34" spans="1:44" ht="12" customHeight="1">
      <c r="A34" s="52"/>
      <c r="B34" s="320" t="s">
        <v>269</v>
      </c>
      <c r="C34" s="395" t="str">
        <f t="shared" si="23"/>
        <v>General Service &lt; 50 kW.Low Voltage Service Charge</v>
      </c>
      <c r="D34" s="396" t="s">
        <v>308</v>
      </c>
      <c r="E34" s="320"/>
      <c r="F34" s="418">
        <f>IFERROR(VLOOKUP($C34,'Proposed Rates'!$B:$J,F$11,FALSE),0)</f>
        <v>5.0000000000000002E-5</v>
      </c>
      <c r="G34" s="419">
        <f>$F$10*(1+F$63)</f>
        <v>15507</v>
      </c>
      <c r="H34" s="400">
        <f t="shared" si="25"/>
        <v>0.77534999999999998</v>
      </c>
      <c r="I34" s="128"/>
      <c r="J34" s="418">
        <f>IFERROR(VLOOKUP($C34,'Proposed Rates'!$B:$J,J$11,FALSE),0)</f>
        <v>6.0000000000000002E-5</v>
      </c>
      <c r="K34" s="419">
        <f>$F$10*(1+J$63)</f>
        <v>15497.999999999998</v>
      </c>
      <c r="L34" s="400">
        <f t="shared" si="27"/>
        <v>0.92987999999999993</v>
      </c>
      <c r="M34" s="128"/>
      <c r="N34" s="401">
        <f t="shared" si="5"/>
        <v>0.15452999999999995</v>
      </c>
      <c r="O34" s="402">
        <f t="shared" si="6"/>
        <v>0.19930354033662209</v>
      </c>
      <c r="P34" s="52"/>
      <c r="Q34" s="418">
        <f>IFERROR(VLOOKUP($C34,'Proposed Rates'!$B:$J,Q$11,FALSE),0)</f>
        <v>6.0000000000000002E-5</v>
      </c>
      <c r="R34" s="419">
        <f>$F$10*(1+Q$63)</f>
        <v>15497.999999999998</v>
      </c>
      <c r="S34" s="400">
        <f t="shared" si="29"/>
        <v>0.92987999999999993</v>
      </c>
      <c r="T34" s="128"/>
      <c r="U34" s="401">
        <f t="shared" si="9"/>
        <v>0</v>
      </c>
      <c r="V34" s="402">
        <f t="shared" si="10"/>
        <v>0</v>
      </c>
      <c r="W34" s="52"/>
      <c r="X34" s="418">
        <f>IFERROR(VLOOKUP($C34,'Proposed Rates'!$B:$J,X$11,FALSE),0)</f>
        <v>6.0000000000000002E-5</v>
      </c>
      <c r="Y34" s="419">
        <f>$F$10*(1+X$63)</f>
        <v>15497.999999999998</v>
      </c>
      <c r="Z34" s="400">
        <f t="shared" si="31"/>
        <v>0.92987999999999993</v>
      </c>
      <c r="AA34" s="128"/>
      <c r="AB34" s="401">
        <f t="shared" si="13"/>
        <v>0</v>
      </c>
      <c r="AC34" s="402">
        <f t="shared" si="14"/>
        <v>0</v>
      </c>
      <c r="AD34" s="52"/>
      <c r="AE34" s="418">
        <f>IFERROR(VLOOKUP($C34,'Proposed Rates'!$B:$J,AE$11,FALSE),0)</f>
        <v>6.0000000000000002E-5</v>
      </c>
      <c r="AF34" s="419">
        <f>$F$10*(1+AE$63)</f>
        <v>15497.999999999998</v>
      </c>
      <c r="AG34" s="400">
        <f t="shared" si="33"/>
        <v>0.92987999999999993</v>
      </c>
      <c r="AH34" s="128"/>
      <c r="AI34" s="401">
        <f t="shared" si="17"/>
        <v>0</v>
      </c>
      <c r="AJ34" s="402">
        <f t="shared" si="18"/>
        <v>0</v>
      </c>
      <c r="AK34" s="52"/>
      <c r="AL34" s="418">
        <f>IFERROR(VLOOKUP($C34,'Proposed Rates'!$B:$J,AL$11,FALSE),0)</f>
        <v>6.0000000000000002E-5</v>
      </c>
      <c r="AM34" s="419">
        <f>$F$10*(1+AL$63)</f>
        <v>15497.999999999998</v>
      </c>
      <c r="AN34" s="400">
        <f t="shared" si="35"/>
        <v>0.92987999999999993</v>
      </c>
      <c r="AO34" s="128"/>
      <c r="AP34" s="401">
        <f t="shared" si="21"/>
        <v>0</v>
      </c>
      <c r="AQ34" s="402">
        <f t="shared" si="22"/>
        <v>0</v>
      </c>
      <c r="AR34" s="403"/>
    </row>
    <row r="35" spans="1:44" ht="12" customHeight="1">
      <c r="A35" s="52"/>
      <c r="B35" s="320" t="s">
        <v>312</v>
      </c>
      <c r="C35" s="395" t="str">
        <f t="shared" si="23"/>
        <v>General Service &lt; 50 kW.Line Losses on Cost of Power</v>
      </c>
      <c r="D35" s="396" t="s">
        <v>308</v>
      </c>
      <c r="E35" s="320"/>
      <c r="F35" s="420">
        <f>'Proposed Rates'!$K$249*F$44+'Proposed Rates'!$K$250*F$45+'Proposed Rates'!$K$251*F$46</f>
        <v>0.12752000000000002</v>
      </c>
      <c r="G35" s="507">
        <f>$F$10*(1+F$63)-$F$10</f>
        <v>507</v>
      </c>
      <c r="H35" s="400">
        <f t="shared" si="25"/>
        <v>64.652640000000005</v>
      </c>
      <c r="I35" s="128"/>
      <c r="J35" s="420">
        <f>'Proposed Rates'!$K$249*J$44+'Proposed Rates'!$K$250*J$45+'Proposed Rates'!$K$251*J$46</f>
        <v>0.12752000000000002</v>
      </c>
      <c r="K35" s="507">
        <f>$F$10*(1+J$63)-$F$10</f>
        <v>497.99999999999818</v>
      </c>
      <c r="L35" s="400">
        <f t="shared" si="27"/>
        <v>63.504959999999777</v>
      </c>
      <c r="M35" s="128"/>
      <c r="N35" s="401">
        <f t="shared" si="5"/>
        <v>-1.1476800000002285</v>
      </c>
      <c r="O35" s="402">
        <f t="shared" si="6"/>
        <v>-1.7751479289944361E-2</v>
      </c>
      <c r="P35" s="52"/>
      <c r="Q35" s="420">
        <f>'Proposed Rates'!$K$249*Q$44+'Proposed Rates'!$K$250*Q$45+'Proposed Rates'!$K$251*Q$46</f>
        <v>0.12752000000000002</v>
      </c>
      <c r="R35" s="507">
        <f>$F$10*(1+Q$63)-$F$10</f>
        <v>497.99999999999818</v>
      </c>
      <c r="S35" s="400">
        <f t="shared" si="29"/>
        <v>63.504959999999777</v>
      </c>
      <c r="T35" s="128"/>
      <c r="U35" s="401">
        <f t="shared" si="9"/>
        <v>0</v>
      </c>
      <c r="V35" s="402">
        <f t="shared" si="10"/>
        <v>0</v>
      </c>
      <c r="W35" s="52"/>
      <c r="X35" s="420">
        <f>'Proposed Rates'!$K$249*X$44+'Proposed Rates'!$K$250*X$45+'Proposed Rates'!$K$251*X$46</f>
        <v>0.12752000000000002</v>
      </c>
      <c r="Y35" s="507">
        <f>$F$10*(1+X$63)-$F$10</f>
        <v>497.99999999999818</v>
      </c>
      <c r="Z35" s="400">
        <f t="shared" si="31"/>
        <v>63.504959999999777</v>
      </c>
      <c r="AA35" s="128"/>
      <c r="AB35" s="401">
        <f t="shared" si="13"/>
        <v>0</v>
      </c>
      <c r="AC35" s="402">
        <f t="shared" si="14"/>
        <v>0</v>
      </c>
      <c r="AD35" s="52"/>
      <c r="AE35" s="420">
        <f>'Proposed Rates'!$K$249*AE$44+'Proposed Rates'!$K$250*AE$45+'Proposed Rates'!$K$251*AE$46</f>
        <v>0.12752000000000002</v>
      </c>
      <c r="AF35" s="507">
        <f>$F$10*(1+AE$63)-$F$10</f>
        <v>497.99999999999818</v>
      </c>
      <c r="AG35" s="400">
        <f t="shared" si="33"/>
        <v>63.504959999999777</v>
      </c>
      <c r="AH35" s="128"/>
      <c r="AI35" s="401">
        <f t="shared" si="17"/>
        <v>0</v>
      </c>
      <c r="AJ35" s="402">
        <f t="shared" si="18"/>
        <v>0</v>
      </c>
      <c r="AK35" s="52"/>
      <c r="AL35" s="420">
        <f>'Proposed Rates'!$K$249*AL$44+'Proposed Rates'!$K$250*AL$45+'Proposed Rates'!$K$251*AL$46</f>
        <v>0.12752000000000002</v>
      </c>
      <c r="AM35" s="507">
        <f>$F$10*(1+AL$63)-$F$10</f>
        <v>497.99999999999818</v>
      </c>
      <c r="AN35" s="400">
        <f t="shared" si="35"/>
        <v>63.504959999999777</v>
      </c>
      <c r="AO35" s="128"/>
      <c r="AP35" s="401">
        <f t="shared" si="21"/>
        <v>0</v>
      </c>
      <c r="AQ35" s="402">
        <f t="shared" si="22"/>
        <v>0</v>
      </c>
      <c r="AR35" s="403"/>
    </row>
    <row r="36" spans="1:44" ht="12" customHeight="1">
      <c r="A36" s="52"/>
      <c r="B36" s="320" t="s">
        <v>271</v>
      </c>
      <c r="C36" s="395" t="str">
        <f t="shared" si="23"/>
        <v>General Service &lt; 50 kW.Smart Meter Entity Charge</v>
      </c>
      <c r="D36" s="396" t="s">
        <v>306</v>
      </c>
      <c r="E36" s="320"/>
      <c r="F36" s="397">
        <f>IFERROR(VLOOKUP($C36,'Proposed Rates'!$B:$J,F$11,FALSE),0)</f>
        <v>0.42</v>
      </c>
      <c r="G36" s="398">
        <f>IF($D36="Monthly",1,IF($D36="per KWH",$F$10,0))</f>
        <v>1</v>
      </c>
      <c r="H36" s="400">
        <f t="shared" si="25"/>
        <v>0.42</v>
      </c>
      <c r="I36" s="128"/>
      <c r="J36" s="397">
        <f>IFERROR(VLOOKUP($C36,'Proposed Rates'!$B:$J,J$11,FALSE),0)</f>
        <v>0.42</v>
      </c>
      <c r="K36" s="398">
        <f>IF($D36="Monthly",1,IF($D36="per KWH",$F$10,0))</f>
        <v>1</v>
      </c>
      <c r="L36" s="400">
        <f t="shared" si="27"/>
        <v>0.42</v>
      </c>
      <c r="M36" s="128"/>
      <c r="N36" s="401">
        <f t="shared" si="5"/>
        <v>0</v>
      </c>
      <c r="O36" s="402">
        <f t="shared" si="6"/>
        <v>0</v>
      </c>
      <c r="P36" s="52"/>
      <c r="Q36" s="397">
        <f>IFERROR(VLOOKUP($C36,'Proposed Rates'!$B:$J,Q$11,FALSE),0)</f>
        <v>0.42</v>
      </c>
      <c r="R36" s="398">
        <f>IF($D36="Monthly",1,IF($D36="per KWH",$F$10,0))</f>
        <v>1</v>
      </c>
      <c r="S36" s="400">
        <f t="shared" si="29"/>
        <v>0.42</v>
      </c>
      <c r="T36" s="128"/>
      <c r="U36" s="401">
        <f t="shared" si="9"/>
        <v>0</v>
      </c>
      <c r="V36" s="402">
        <f t="shared" si="10"/>
        <v>0</v>
      </c>
      <c r="W36" s="52"/>
      <c r="X36" s="397">
        <f>IFERROR(VLOOKUP($C36,'Proposed Rates'!$B:$J,X$11,FALSE),0)</f>
        <v>0.43</v>
      </c>
      <c r="Y36" s="398">
        <f>IF($D36="Monthly",1,IF($D36="per KWH",$F$10,0))</f>
        <v>1</v>
      </c>
      <c r="Z36" s="400">
        <f t="shared" si="31"/>
        <v>0.43</v>
      </c>
      <c r="AA36" s="128"/>
      <c r="AB36" s="401">
        <f t="shared" si="13"/>
        <v>1.0000000000000009E-2</v>
      </c>
      <c r="AC36" s="402">
        <f t="shared" si="14"/>
        <v>2.3809523809523832E-2</v>
      </c>
      <c r="AD36" s="52"/>
      <c r="AE36" s="397">
        <f>IFERROR(VLOOKUP($C36,'Proposed Rates'!$B:$J,AE$11,FALSE),0)</f>
        <v>0.44</v>
      </c>
      <c r="AF36" s="398">
        <f>IF($D36="Monthly",1,IF($D36="per KWH",$F$10,0))</f>
        <v>1</v>
      </c>
      <c r="AG36" s="400">
        <f t="shared" si="33"/>
        <v>0.44</v>
      </c>
      <c r="AH36" s="128"/>
      <c r="AI36" s="401">
        <f t="shared" si="17"/>
        <v>1.0000000000000009E-2</v>
      </c>
      <c r="AJ36" s="402">
        <f t="shared" si="18"/>
        <v>2.3255813953488393E-2</v>
      </c>
      <c r="AK36" s="52"/>
      <c r="AL36" s="397">
        <f>IFERROR(VLOOKUP($C36,'Proposed Rates'!$B:$J,AL$11,FALSE),0)</f>
        <v>0.45</v>
      </c>
      <c r="AM36" s="398">
        <f>IF($D36="Monthly",1,IF($D36="per KWH",$F$10,0))</f>
        <v>1</v>
      </c>
      <c r="AN36" s="400">
        <f t="shared" si="35"/>
        <v>0.45</v>
      </c>
      <c r="AO36" s="128"/>
      <c r="AP36" s="401">
        <f t="shared" si="21"/>
        <v>1.0000000000000009E-2</v>
      </c>
      <c r="AQ36" s="402">
        <f t="shared" si="22"/>
        <v>2.2727272727272749E-2</v>
      </c>
      <c r="AR36" s="403"/>
    </row>
    <row r="37" spans="1:44" ht="12" customHeight="1">
      <c r="A37" s="52"/>
      <c r="B37" s="405" t="s">
        <v>313</v>
      </c>
      <c r="C37" s="422"/>
      <c r="D37" s="422"/>
      <c r="E37" s="422"/>
      <c r="F37" s="423"/>
      <c r="G37" s="501"/>
      <c r="H37" s="409">
        <f>SUM(H30:H36)+H29</f>
        <v>560.37798999999995</v>
      </c>
      <c r="I37" s="425"/>
      <c r="J37" s="423"/>
      <c r="K37" s="501"/>
      <c r="L37" s="409">
        <f>SUM(L30:L36)+L29</f>
        <v>634.43483999999978</v>
      </c>
      <c r="M37" s="425"/>
      <c r="N37" s="411">
        <f t="shared" si="5"/>
        <v>74.056849999999827</v>
      </c>
      <c r="O37" s="412">
        <f t="shared" si="6"/>
        <v>0.13215517261839607</v>
      </c>
      <c r="P37" s="52"/>
      <c r="Q37" s="423"/>
      <c r="R37" s="501"/>
      <c r="S37" s="409">
        <f>SUM(S30:S36)+S29</f>
        <v>681.55483999999979</v>
      </c>
      <c r="T37" s="425"/>
      <c r="U37" s="411">
        <f t="shared" si="9"/>
        <v>47.120000000000005</v>
      </c>
      <c r="V37" s="412">
        <f t="shared" si="10"/>
        <v>7.42708266147553E-2</v>
      </c>
      <c r="W37" s="52"/>
      <c r="X37" s="423"/>
      <c r="Y37" s="501"/>
      <c r="Z37" s="409">
        <f>SUM(Z30:Z36)+Z29</f>
        <v>736.76483999999982</v>
      </c>
      <c r="AA37" s="425"/>
      <c r="AB37" s="411">
        <f t="shared" si="13"/>
        <v>55.210000000000036</v>
      </c>
      <c r="AC37" s="412">
        <f t="shared" si="14"/>
        <v>8.1005953974298023E-2</v>
      </c>
      <c r="AD37" s="52"/>
      <c r="AE37" s="423"/>
      <c r="AF37" s="501"/>
      <c r="AG37" s="409">
        <f>SUM(AG30:AG36)+AG29</f>
        <v>779.37483999999972</v>
      </c>
      <c r="AH37" s="425"/>
      <c r="AI37" s="411">
        <f t="shared" si="17"/>
        <v>42.6099999999999</v>
      </c>
      <c r="AJ37" s="412">
        <f t="shared" si="18"/>
        <v>5.7833921607876822E-2</v>
      </c>
      <c r="AK37" s="52"/>
      <c r="AL37" s="423"/>
      <c r="AM37" s="501"/>
      <c r="AN37" s="409">
        <f>SUM(AN30:AN36)+AN29</f>
        <v>820.38483999999983</v>
      </c>
      <c r="AO37" s="425"/>
      <c r="AP37" s="411">
        <f t="shared" si="21"/>
        <v>41.010000000000105</v>
      </c>
      <c r="AQ37" s="412">
        <f t="shared" si="22"/>
        <v>5.261909660825094E-2</v>
      </c>
      <c r="AR37" s="413"/>
    </row>
    <row r="38" spans="1:44" ht="12" customHeight="1">
      <c r="A38" s="52"/>
      <c r="B38" s="128" t="s">
        <v>255</v>
      </c>
      <c r="C38" s="395" t="str">
        <f t="shared" ref="C38:C39" si="36">D$6&amp;"."&amp;B38</f>
        <v>General Service &lt; 50 kW.RTSR - Network</v>
      </c>
      <c r="D38" s="426" t="s">
        <v>308</v>
      </c>
      <c r="E38" s="128"/>
      <c r="F38" s="414">
        <f>IFERROR(VLOOKUP($C38,'Proposed Rates'!$B:$J,F$11,FALSE),0)</f>
        <v>1.18E-2</v>
      </c>
      <c r="G38" s="508">
        <f t="shared" ref="G38:G39" si="37">$F$10*(1+F$63)</f>
        <v>15507</v>
      </c>
      <c r="H38" s="400">
        <f t="shared" ref="H38:H39" si="38">G38*F38</f>
        <v>182.98259999999999</v>
      </c>
      <c r="I38" s="128"/>
      <c r="J38" s="414">
        <f>IFERROR(VLOOKUP($C38,'Proposed Rates'!$B:$J,J$11,FALSE),0)</f>
        <v>1.0699999999999999E-2</v>
      </c>
      <c r="K38" s="508">
        <f t="shared" ref="K38:K39" si="39">$F$10*(1+J$63)</f>
        <v>15497.999999999998</v>
      </c>
      <c r="L38" s="400">
        <f t="shared" ref="L38:L39" si="40">K38*J38</f>
        <v>165.82859999999997</v>
      </c>
      <c r="M38" s="128"/>
      <c r="N38" s="401">
        <f t="shared" si="5"/>
        <v>-17.154000000000025</v>
      </c>
      <c r="O38" s="402">
        <f t="shared" si="6"/>
        <v>-9.3746618530942433E-2</v>
      </c>
      <c r="P38" s="52"/>
      <c r="Q38" s="414">
        <f>IFERROR(VLOOKUP($C38,'Proposed Rates'!$B:$J,Q$11,FALSE),0)</f>
        <v>1.0699999999999999E-2</v>
      </c>
      <c r="R38" s="508">
        <f t="shared" ref="R38:R39" si="41">$F$10*(1+Q$63)</f>
        <v>15497.999999999998</v>
      </c>
      <c r="S38" s="400">
        <f t="shared" ref="S38:S39" si="42">R38*Q38</f>
        <v>165.82859999999997</v>
      </c>
      <c r="T38" s="128"/>
      <c r="U38" s="401">
        <f t="shared" si="9"/>
        <v>0</v>
      </c>
      <c r="V38" s="402">
        <f t="shared" si="10"/>
        <v>0</v>
      </c>
      <c r="W38" s="52"/>
      <c r="X38" s="414">
        <f>IFERROR(VLOOKUP($C38,'Proposed Rates'!$B:$J,X$11,FALSE),0)</f>
        <v>1.0699999999999999E-2</v>
      </c>
      <c r="Y38" s="508">
        <f t="shared" ref="Y38:Y39" si="43">$F$10*(1+X$63)</f>
        <v>15497.999999999998</v>
      </c>
      <c r="Z38" s="400">
        <f t="shared" ref="Z38:Z39" si="44">Y38*X38</f>
        <v>165.82859999999997</v>
      </c>
      <c r="AA38" s="128"/>
      <c r="AB38" s="401">
        <f t="shared" si="13"/>
        <v>0</v>
      </c>
      <c r="AC38" s="402">
        <f t="shared" si="14"/>
        <v>0</v>
      </c>
      <c r="AD38" s="52"/>
      <c r="AE38" s="414">
        <f>IFERROR(VLOOKUP($C38,'Proposed Rates'!$B:$J,AE$11,FALSE),0)</f>
        <v>1.0699999999999999E-2</v>
      </c>
      <c r="AF38" s="508">
        <f t="shared" ref="AF38:AF39" si="45">$F$10*(1+AE$63)</f>
        <v>15497.999999999998</v>
      </c>
      <c r="AG38" s="400">
        <f t="shared" ref="AG38:AG39" si="46">AF38*AE38</f>
        <v>165.82859999999997</v>
      </c>
      <c r="AH38" s="128"/>
      <c r="AI38" s="401">
        <f t="shared" si="17"/>
        <v>0</v>
      </c>
      <c r="AJ38" s="402">
        <f t="shared" si="18"/>
        <v>0</v>
      </c>
      <c r="AK38" s="52"/>
      <c r="AL38" s="414">
        <f>IFERROR(VLOOKUP($C38,'Proposed Rates'!$B:$J,AL$11,FALSE),0)</f>
        <v>1.0699999999999999E-2</v>
      </c>
      <c r="AM38" s="508">
        <f t="shared" ref="AM38:AM39" si="47">$F$10*(1+AL$63)</f>
        <v>15497.999999999998</v>
      </c>
      <c r="AN38" s="400">
        <f t="shared" ref="AN38:AN39" si="48">AM38*AL38</f>
        <v>165.82859999999997</v>
      </c>
      <c r="AO38" s="128"/>
      <c r="AP38" s="401">
        <f t="shared" si="21"/>
        <v>0</v>
      </c>
      <c r="AQ38" s="402">
        <f t="shared" si="22"/>
        <v>0</v>
      </c>
      <c r="AR38" s="403"/>
    </row>
    <row r="39" spans="1:44" ht="12" customHeight="1">
      <c r="A39" s="52"/>
      <c r="B39" s="128" t="s">
        <v>256</v>
      </c>
      <c r="C39" s="395" t="str">
        <f t="shared" si="36"/>
        <v>General Service &lt; 50 kW.RTSR - Line and Transformation Connection</v>
      </c>
      <c r="D39" s="426" t="s">
        <v>308</v>
      </c>
      <c r="E39" s="128"/>
      <c r="F39" s="414">
        <f>IFERROR(VLOOKUP($C39,'Proposed Rates'!$B:$J,F$11,FALSE),0)</f>
        <v>7.0000000000000001E-3</v>
      </c>
      <c r="G39" s="508">
        <f t="shared" si="37"/>
        <v>15507</v>
      </c>
      <c r="H39" s="400">
        <f t="shared" si="38"/>
        <v>108.54900000000001</v>
      </c>
      <c r="I39" s="128"/>
      <c r="J39" s="414">
        <f>IFERROR(VLOOKUP($C39,'Proposed Rates'!$B:$J,J$11,FALSE),0)</f>
        <v>6.1000000000000004E-3</v>
      </c>
      <c r="K39" s="508">
        <f t="shared" si="39"/>
        <v>15497.999999999998</v>
      </c>
      <c r="L39" s="400">
        <f t="shared" si="40"/>
        <v>94.53779999999999</v>
      </c>
      <c r="M39" s="128"/>
      <c r="N39" s="401">
        <f t="shared" si="5"/>
        <v>-14.011200000000017</v>
      </c>
      <c r="O39" s="402">
        <f t="shared" si="6"/>
        <v>-0.12907719094602452</v>
      </c>
      <c r="P39" s="52"/>
      <c r="Q39" s="414">
        <f>IFERROR(VLOOKUP($C39,'Proposed Rates'!$B:$J,Q$11,FALSE),0)</f>
        <v>6.1000000000000004E-3</v>
      </c>
      <c r="R39" s="508">
        <f t="shared" si="41"/>
        <v>15497.999999999998</v>
      </c>
      <c r="S39" s="400">
        <f t="shared" si="42"/>
        <v>94.53779999999999</v>
      </c>
      <c r="T39" s="128"/>
      <c r="U39" s="401">
        <f t="shared" si="9"/>
        <v>0</v>
      </c>
      <c r="V39" s="402">
        <f t="shared" si="10"/>
        <v>0</v>
      </c>
      <c r="W39" s="52"/>
      <c r="X39" s="414">
        <f>IFERROR(VLOOKUP($C39,'Proposed Rates'!$B:$J,X$11,FALSE),0)</f>
        <v>6.1000000000000004E-3</v>
      </c>
      <c r="Y39" s="508">
        <f t="shared" si="43"/>
        <v>15497.999999999998</v>
      </c>
      <c r="Z39" s="400">
        <f t="shared" si="44"/>
        <v>94.53779999999999</v>
      </c>
      <c r="AA39" s="128"/>
      <c r="AB39" s="401">
        <f t="shared" si="13"/>
        <v>0</v>
      </c>
      <c r="AC39" s="402">
        <f t="shared" si="14"/>
        <v>0</v>
      </c>
      <c r="AD39" s="52"/>
      <c r="AE39" s="414">
        <f>IFERROR(VLOOKUP($C39,'Proposed Rates'!$B:$J,AE$11,FALSE),0)</f>
        <v>6.1000000000000004E-3</v>
      </c>
      <c r="AF39" s="508">
        <f t="shared" si="45"/>
        <v>15497.999999999998</v>
      </c>
      <c r="AG39" s="400">
        <f t="shared" si="46"/>
        <v>94.53779999999999</v>
      </c>
      <c r="AH39" s="128"/>
      <c r="AI39" s="401">
        <f t="shared" si="17"/>
        <v>0</v>
      </c>
      <c r="AJ39" s="402">
        <f t="shared" si="18"/>
        <v>0</v>
      </c>
      <c r="AK39" s="52"/>
      <c r="AL39" s="414">
        <f>IFERROR(VLOOKUP($C39,'Proposed Rates'!$B:$J,AL$11,FALSE),0)</f>
        <v>6.1000000000000004E-3</v>
      </c>
      <c r="AM39" s="508">
        <f t="shared" si="47"/>
        <v>15497.999999999998</v>
      </c>
      <c r="AN39" s="400">
        <f t="shared" si="48"/>
        <v>94.53779999999999</v>
      </c>
      <c r="AO39" s="128"/>
      <c r="AP39" s="401">
        <f t="shared" si="21"/>
        <v>0</v>
      </c>
      <c r="AQ39" s="402">
        <f t="shared" si="22"/>
        <v>0</v>
      </c>
      <c r="AR39" s="403"/>
    </row>
    <row r="40" spans="1:44" ht="12" customHeight="1">
      <c r="A40" s="52"/>
      <c r="B40" s="405" t="s">
        <v>314</v>
      </c>
      <c r="C40" s="427"/>
      <c r="D40" s="427"/>
      <c r="E40" s="427"/>
      <c r="F40" s="428"/>
      <c r="G40" s="501"/>
      <c r="H40" s="409">
        <f>SUM(H37:H39)</f>
        <v>851.90958999999998</v>
      </c>
      <c r="I40" s="410"/>
      <c r="J40" s="428"/>
      <c r="K40" s="501"/>
      <c r="L40" s="409">
        <f>SUM(L37:L39)</f>
        <v>894.80123999999967</v>
      </c>
      <c r="M40" s="410"/>
      <c r="N40" s="411">
        <f t="shared" si="5"/>
        <v>42.891649999999686</v>
      </c>
      <c r="O40" s="412">
        <f t="shared" si="6"/>
        <v>5.034765484914859E-2</v>
      </c>
      <c r="P40" s="52"/>
      <c r="Q40" s="428"/>
      <c r="R40" s="501"/>
      <c r="S40" s="409">
        <f>SUM(S37:S39)</f>
        <v>941.92123999999967</v>
      </c>
      <c r="T40" s="410"/>
      <c r="U40" s="411">
        <f t="shared" si="9"/>
        <v>47.120000000000005</v>
      </c>
      <c r="V40" s="412">
        <f t="shared" si="10"/>
        <v>5.2659739273494995E-2</v>
      </c>
      <c r="W40" s="52"/>
      <c r="X40" s="428"/>
      <c r="Y40" s="501"/>
      <c r="Z40" s="409">
        <f>SUM(Z37:Z39)</f>
        <v>997.13123999999971</v>
      </c>
      <c r="AA40" s="410"/>
      <c r="AB40" s="411">
        <f t="shared" si="13"/>
        <v>55.210000000000036</v>
      </c>
      <c r="AC40" s="412">
        <f t="shared" si="14"/>
        <v>5.8614242524141463E-2</v>
      </c>
      <c r="AD40" s="52"/>
      <c r="AE40" s="428"/>
      <c r="AF40" s="501"/>
      <c r="AG40" s="409">
        <f>SUM(AG37:AG39)</f>
        <v>1039.7412399999996</v>
      </c>
      <c r="AH40" s="410"/>
      <c r="AI40" s="411">
        <f t="shared" si="17"/>
        <v>42.6099999999999</v>
      </c>
      <c r="AJ40" s="412">
        <f t="shared" si="18"/>
        <v>4.2732589543578947E-2</v>
      </c>
      <c r="AK40" s="52"/>
      <c r="AL40" s="428"/>
      <c r="AM40" s="501"/>
      <c r="AN40" s="409">
        <f>SUM(AN37:AN39)</f>
        <v>1080.7512399999998</v>
      </c>
      <c r="AO40" s="410"/>
      <c r="AP40" s="411">
        <f t="shared" si="21"/>
        <v>41.010000000000218</v>
      </c>
      <c r="AQ40" s="412">
        <f t="shared" si="22"/>
        <v>3.9442505906565978E-2</v>
      </c>
      <c r="AR40" s="413"/>
    </row>
    <row r="41" spans="1:44" ht="12" customHeight="1">
      <c r="A41" s="52"/>
      <c r="B41" s="320" t="s">
        <v>257</v>
      </c>
      <c r="C41" s="395" t="str">
        <f t="shared" ref="C41:C48" si="49">D$6&amp;"."&amp;B41</f>
        <v>General Service &lt; 50 kW.Wholesale Market Service Charge (WMSC)</v>
      </c>
      <c r="D41" s="396" t="s">
        <v>308</v>
      </c>
      <c r="E41" s="320"/>
      <c r="F41" s="414">
        <f>IFERROR(VLOOKUP($C41,'Proposed Rates'!$B:$J,F$11,FALSE),0)</f>
        <v>4.4999999999999997E-3</v>
      </c>
      <c r="G41" s="508">
        <f t="shared" ref="G41:G42" si="50">$F$10*(1+F$63)</f>
        <v>15507</v>
      </c>
      <c r="H41" s="400">
        <f t="shared" ref="H41:H48" si="51">G41*F41</f>
        <v>69.781499999999994</v>
      </c>
      <c r="I41" s="128"/>
      <c r="J41" s="414">
        <f>IFERROR(VLOOKUP($C41,'Proposed Rates'!$B:$J,J$11,FALSE),0)</f>
        <v>4.4999999999999997E-3</v>
      </c>
      <c r="K41" s="508">
        <f t="shared" ref="K41:K42" si="52">$F$10*(1+J$63)</f>
        <v>15497.999999999998</v>
      </c>
      <c r="L41" s="400">
        <f t="shared" ref="L41:L48" si="53">K41*J41</f>
        <v>69.740999999999985</v>
      </c>
      <c r="M41" s="128"/>
      <c r="N41" s="401">
        <f t="shared" si="5"/>
        <v>-4.050000000000864E-2</v>
      </c>
      <c r="O41" s="402">
        <f t="shared" si="6"/>
        <v>-5.8038305281498163E-4</v>
      </c>
      <c r="P41" s="52"/>
      <c r="Q41" s="414">
        <f>IFERROR(VLOOKUP($C41,'Proposed Rates'!$B:$J,Q$11,FALSE),0)</f>
        <v>4.4999999999999997E-3</v>
      </c>
      <c r="R41" s="508">
        <f t="shared" ref="R41:R42" si="54">$F$10*(1+Q$63)</f>
        <v>15497.999999999998</v>
      </c>
      <c r="S41" s="400">
        <f t="shared" ref="S41:S48" si="55">R41*Q41</f>
        <v>69.740999999999985</v>
      </c>
      <c r="T41" s="128"/>
      <c r="U41" s="401">
        <f t="shared" si="9"/>
        <v>0</v>
      </c>
      <c r="V41" s="402">
        <f t="shared" si="10"/>
        <v>0</v>
      </c>
      <c r="W41" s="52"/>
      <c r="X41" s="414">
        <f>IFERROR(VLOOKUP($C41,'Proposed Rates'!$B:$J,X$11,FALSE),0)</f>
        <v>4.4999999999999997E-3</v>
      </c>
      <c r="Y41" s="508">
        <f t="shared" ref="Y41:Y42" si="56">$F$10*(1+X$63)</f>
        <v>15497.999999999998</v>
      </c>
      <c r="Z41" s="400">
        <f t="shared" ref="Z41:Z48" si="57">Y41*X41</f>
        <v>69.740999999999985</v>
      </c>
      <c r="AA41" s="128"/>
      <c r="AB41" s="401">
        <f t="shared" si="13"/>
        <v>0</v>
      </c>
      <c r="AC41" s="402">
        <f t="shared" si="14"/>
        <v>0</v>
      </c>
      <c r="AD41" s="52"/>
      <c r="AE41" s="414">
        <f>IFERROR(VLOOKUP($C41,'Proposed Rates'!$B:$J,AE$11,FALSE),0)</f>
        <v>4.4999999999999997E-3</v>
      </c>
      <c r="AF41" s="508">
        <f t="shared" ref="AF41:AF42" si="58">$F$10*(1+AE$63)</f>
        <v>15497.999999999998</v>
      </c>
      <c r="AG41" s="400">
        <f t="shared" ref="AG41:AG48" si="59">AF41*AE41</f>
        <v>69.740999999999985</v>
      </c>
      <c r="AH41" s="128"/>
      <c r="AI41" s="401">
        <f t="shared" si="17"/>
        <v>0</v>
      </c>
      <c r="AJ41" s="402">
        <f t="shared" si="18"/>
        <v>0</v>
      </c>
      <c r="AK41" s="52"/>
      <c r="AL41" s="414">
        <f>IFERROR(VLOOKUP($C41,'Proposed Rates'!$B:$J,AL$11,FALSE),0)</f>
        <v>4.4999999999999997E-3</v>
      </c>
      <c r="AM41" s="508">
        <f t="shared" ref="AM41:AM42" si="60">$F$10*(1+AL$63)</f>
        <v>15497.999999999998</v>
      </c>
      <c r="AN41" s="400">
        <f t="shared" ref="AN41:AN48" si="61">AM41*AL41</f>
        <v>69.740999999999985</v>
      </c>
      <c r="AO41" s="128"/>
      <c r="AP41" s="401">
        <f t="shared" si="21"/>
        <v>0</v>
      </c>
      <c r="AQ41" s="402">
        <f t="shared" si="22"/>
        <v>0</v>
      </c>
      <c r="AR41" s="403"/>
    </row>
    <row r="42" spans="1:44" ht="12" customHeight="1">
      <c r="A42" s="52"/>
      <c r="B42" s="320" t="s">
        <v>258</v>
      </c>
      <c r="C42" s="395" t="str">
        <f t="shared" si="49"/>
        <v>General Service &lt; 50 kW.Rural and Remote Rate Protection (RRRP)</v>
      </c>
      <c r="D42" s="396" t="s">
        <v>308</v>
      </c>
      <c r="E42" s="320"/>
      <c r="F42" s="414">
        <f>IFERROR(VLOOKUP($C42,'Proposed Rates'!$B:$J,F$11,FALSE),0)</f>
        <v>1.5E-3</v>
      </c>
      <c r="G42" s="508">
        <f t="shared" si="50"/>
        <v>15507</v>
      </c>
      <c r="H42" s="400">
        <f t="shared" si="51"/>
        <v>23.2605</v>
      </c>
      <c r="I42" s="128"/>
      <c r="J42" s="414">
        <f>IFERROR(VLOOKUP($C42,'Proposed Rates'!$B:$J,J$11,FALSE),0)</f>
        <v>1.5E-3</v>
      </c>
      <c r="K42" s="508">
        <f t="shared" si="52"/>
        <v>15497.999999999998</v>
      </c>
      <c r="L42" s="400">
        <f t="shared" si="53"/>
        <v>23.246999999999996</v>
      </c>
      <c r="M42" s="128"/>
      <c r="N42" s="401">
        <f t="shared" si="5"/>
        <v>-1.3500000000004064E-2</v>
      </c>
      <c r="O42" s="402">
        <f t="shared" si="6"/>
        <v>-5.8038305281503247E-4</v>
      </c>
      <c r="P42" s="52"/>
      <c r="Q42" s="414">
        <f>IFERROR(VLOOKUP($C42,'Proposed Rates'!$B:$J,Q$11,FALSE),0)</f>
        <v>1.5E-3</v>
      </c>
      <c r="R42" s="508">
        <f t="shared" si="54"/>
        <v>15497.999999999998</v>
      </c>
      <c r="S42" s="400">
        <f t="shared" si="55"/>
        <v>23.246999999999996</v>
      </c>
      <c r="T42" s="128"/>
      <c r="U42" s="401">
        <f t="shared" si="9"/>
        <v>0</v>
      </c>
      <c r="V42" s="402">
        <f t="shared" si="10"/>
        <v>0</v>
      </c>
      <c r="W42" s="52"/>
      <c r="X42" s="414">
        <f>IFERROR(VLOOKUP($C42,'Proposed Rates'!$B:$J,X$11,FALSE),0)</f>
        <v>1.5E-3</v>
      </c>
      <c r="Y42" s="508">
        <f t="shared" si="56"/>
        <v>15497.999999999998</v>
      </c>
      <c r="Z42" s="400">
        <f t="shared" si="57"/>
        <v>23.246999999999996</v>
      </c>
      <c r="AA42" s="128"/>
      <c r="AB42" s="401">
        <f t="shared" si="13"/>
        <v>0</v>
      </c>
      <c r="AC42" s="402">
        <f t="shared" si="14"/>
        <v>0</v>
      </c>
      <c r="AD42" s="52"/>
      <c r="AE42" s="414">
        <f>IFERROR(VLOOKUP($C42,'Proposed Rates'!$B:$J,AE$11,FALSE),0)</f>
        <v>1.5E-3</v>
      </c>
      <c r="AF42" s="508">
        <f t="shared" si="58"/>
        <v>15497.999999999998</v>
      </c>
      <c r="AG42" s="400">
        <f t="shared" si="59"/>
        <v>23.246999999999996</v>
      </c>
      <c r="AH42" s="128"/>
      <c r="AI42" s="401">
        <f t="shared" si="17"/>
        <v>0</v>
      </c>
      <c r="AJ42" s="402">
        <f t="shared" si="18"/>
        <v>0</v>
      </c>
      <c r="AK42" s="52"/>
      <c r="AL42" s="414">
        <f>IFERROR(VLOOKUP($C42,'Proposed Rates'!$B:$J,AL$11,FALSE),0)</f>
        <v>1.5E-3</v>
      </c>
      <c r="AM42" s="508">
        <f t="shared" si="60"/>
        <v>15497.999999999998</v>
      </c>
      <c r="AN42" s="400">
        <f t="shared" si="61"/>
        <v>23.246999999999996</v>
      </c>
      <c r="AO42" s="128"/>
      <c r="AP42" s="401">
        <f t="shared" si="21"/>
        <v>0</v>
      </c>
      <c r="AQ42" s="402">
        <f t="shared" si="22"/>
        <v>0</v>
      </c>
      <c r="AR42" s="403"/>
    </row>
    <row r="43" spans="1:44" ht="12" customHeight="1">
      <c r="A43" s="52"/>
      <c r="B43" s="320" t="s">
        <v>260</v>
      </c>
      <c r="C43" s="395" t="str">
        <f t="shared" si="49"/>
        <v>General Service &lt; 50 kW.Standard Supply Service Charge</v>
      </c>
      <c r="D43" s="396" t="s">
        <v>306</v>
      </c>
      <c r="E43" s="320"/>
      <c r="F43" s="397">
        <f>IFERROR(VLOOKUP($C43,'Proposed Rates'!$B:$J,F$11,FALSE),0)</f>
        <v>0.25</v>
      </c>
      <c r="G43" s="398">
        <f>IF($D43="Monthly",1,IF($D43="per KWH",$F$10,0))</f>
        <v>1</v>
      </c>
      <c r="H43" s="400">
        <f t="shared" si="51"/>
        <v>0.25</v>
      </c>
      <c r="I43" s="128"/>
      <c r="J43" s="397">
        <f>IFERROR(VLOOKUP($C43,'Proposed Rates'!$B:$J,J$11,FALSE),0)</f>
        <v>1.51</v>
      </c>
      <c r="K43" s="398">
        <f>IF($D43="Monthly",1,IF($D43="per KWH",$F$10,0))</f>
        <v>1</v>
      </c>
      <c r="L43" s="400">
        <f t="shared" si="53"/>
        <v>1.51</v>
      </c>
      <c r="M43" s="128"/>
      <c r="N43" s="401">
        <f t="shared" si="5"/>
        <v>1.26</v>
      </c>
      <c r="O43" s="402">
        <f t="shared" si="6"/>
        <v>5.04</v>
      </c>
      <c r="P43" s="52"/>
      <c r="Q43" s="397">
        <f>IFERROR(VLOOKUP($C43,'Proposed Rates'!$B:$J,Q$11,FALSE),0)</f>
        <v>1.54</v>
      </c>
      <c r="R43" s="398">
        <f>IF($D43="Monthly",1,IF($D43="per KWH",$F$10,0))</f>
        <v>1</v>
      </c>
      <c r="S43" s="400">
        <f t="shared" si="55"/>
        <v>1.54</v>
      </c>
      <c r="T43" s="128"/>
      <c r="U43" s="401">
        <f t="shared" si="9"/>
        <v>3.0000000000000027E-2</v>
      </c>
      <c r="V43" s="402">
        <f t="shared" si="10"/>
        <v>1.986754966887419E-2</v>
      </c>
      <c r="W43" s="52"/>
      <c r="X43" s="397">
        <f>IFERROR(VLOOKUP($C43,'Proposed Rates'!$B:$J,X$11,FALSE),0)</f>
        <v>1.57</v>
      </c>
      <c r="Y43" s="398">
        <f>IF($D43="Monthly",1,IF($D43="per KWH",$F$10,0))</f>
        <v>1</v>
      </c>
      <c r="Z43" s="400">
        <f t="shared" si="57"/>
        <v>1.57</v>
      </c>
      <c r="AA43" s="128"/>
      <c r="AB43" s="401">
        <f t="shared" si="13"/>
        <v>3.0000000000000027E-2</v>
      </c>
      <c r="AC43" s="402">
        <f t="shared" si="14"/>
        <v>1.9480519480519497E-2</v>
      </c>
      <c r="AD43" s="52"/>
      <c r="AE43" s="397">
        <f>IFERROR(VLOOKUP($C43,'Proposed Rates'!$B:$J,AE$11,FALSE),0)</f>
        <v>1.6</v>
      </c>
      <c r="AF43" s="398">
        <f>IF($D43="Monthly",1,IF($D43="per KWH",$F$10,0))</f>
        <v>1</v>
      </c>
      <c r="AG43" s="400">
        <f t="shared" si="59"/>
        <v>1.6</v>
      </c>
      <c r="AH43" s="128"/>
      <c r="AI43" s="401">
        <f t="shared" si="17"/>
        <v>3.0000000000000027E-2</v>
      </c>
      <c r="AJ43" s="402">
        <f t="shared" si="18"/>
        <v>1.9108280254777087E-2</v>
      </c>
      <c r="AK43" s="52"/>
      <c r="AL43" s="397">
        <f>IFERROR(VLOOKUP($C43,'Proposed Rates'!$B:$J,AL$11,FALSE),0)</f>
        <v>1.63</v>
      </c>
      <c r="AM43" s="398">
        <f>IF($D43="Monthly",1,IF($D43="per KWH",$F$10,0))</f>
        <v>1</v>
      </c>
      <c r="AN43" s="400">
        <f t="shared" si="61"/>
        <v>1.63</v>
      </c>
      <c r="AO43" s="128"/>
      <c r="AP43" s="401">
        <f t="shared" si="21"/>
        <v>2.9999999999999805E-2</v>
      </c>
      <c r="AQ43" s="402">
        <f t="shared" si="22"/>
        <v>1.8749999999999878E-2</v>
      </c>
      <c r="AR43" s="403"/>
    </row>
    <row r="44" spans="1:44" ht="12" customHeight="1">
      <c r="A44" s="52"/>
      <c r="B44" s="320" t="s">
        <v>262</v>
      </c>
      <c r="C44" s="395" t="str">
        <f t="shared" si="49"/>
        <v>General Service &lt; 50 kW.TOU - Off Peak</v>
      </c>
      <c r="D44" s="396" t="s">
        <v>308</v>
      </c>
      <c r="E44" s="320"/>
      <c r="F44" s="430">
        <f>VLOOKUP($B44,'Proposed Rates'!$D$248:$J$254,+F$11-2,FALSE)</f>
        <v>9.8000000000000004E-2</v>
      </c>
      <c r="G44" s="508">
        <f>'Proposed Rates'!$K$249*$F$10</f>
        <v>9600</v>
      </c>
      <c r="H44" s="400">
        <f t="shared" si="51"/>
        <v>940.80000000000007</v>
      </c>
      <c r="I44" s="128"/>
      <c r="J44" s="430">
        <f>VLOOKUP($B44,'Proposed Rates'!$D$248:$J$254,+J$11-2,FALSE)</f>
        <v>9.8000000000000004E-2</v>
      </c>
      <c r="K44" s="508">
        <f>'Proposed Rates'!$K$249*$F$10</f>
        <v>9600</v>
      </c>
      <c r="L44" s="400">
        <f t="shared" si="53"/>
        <v>940.80000000000007</v>
      </c>
      <c r="M44" s="128"/>
      <c r="N44" s="401">
        <f t="shared" si="5"/>
        <v>0</v>
      </c>
      <c r="O44" s="402">
        <f t="shared" si="6"/>
        <v>0</v>
      </c>
      <c r="P44" s="52"/>
      <c r="Q44" s="430">
        <f>VLOOKUP($B44,'Proposed Rates'!$D$248:$J$254,+Q$11-2,FALSE)</f>
        <v>9.8000000000000004E-2</v>
      </c>
      <c r="R44" s="508">
        <f>'Proposed Rates'!$K$249*$F$10</f>
        <v>9600</v>
      </c>
      <c r="S44" s="400">
        <f t="shared" si="55"/>
        <v>940.80000000000007</v>
      </c>
      <c r="T44" s="128"/>
      <c r="U44" s="401">
        <f t="shared" si="9"/>
        <v>0</v>
      </c>
      <c r="V44" s="402">
        <f t="shared" si="10"/>
        <v>0</v>
      </c>
      <c r="W44" s="52"/>
      <c r="X44" s="430">
        <f>VLOOKUP($B44,'Proposed Rates'!$D$248:$J$254,+X$11-2,FALSE)</f>
        <v>9.8000000000000004E-2</v>
      </c>
      <c r="Y44" s="508">
        <f>'Proposed Rates'!$K$249*$F$10</f>
        <v>9600</v>
      </c>
      <c r="Z44" s="400">
        <f t="shared" si="57"/>
        <v>940.80000000000007</v>
      </c>
      <c r="AA44" s="128"/>
      <c r="AB44" s="401">
        <f t="shared" si="13"/>
        <v>0</v>
      </c>
      <c r="AC44" s="402">
        <f t="shared" si="14"/>
        <v>0</v>
      </c>
      <c r="AD44" s="52"/>
      <c r="AE44" s="430">
        <f>VLOOKUP($B44,'Proposed Rates'!$D$248:$J$254,+AE$11-2,FALSE)</f>
        <v>9.8000000000000004E-2</v>
      </c>
      <c r="AF44" s="508">
        <f>'Proposed Rates'!$K$249*$F$10</f>
        <v>9600</v>
      </c>
      <c r="AG44" s="400">
        <f t="shared" si="59"/>
        <v>940.80000000000007</v>
      </c>
      <c r="AH44" s="128"/>
      <c r="AI44" s="401">
        <f t="shared" si="17"/>
        <v>0</v>
      </c>
      <c r="AJ44" s="402">
        <f t="shared" si="18"/>
        <v>0</v>
      </c>
      <c r="AK44" s="52"/>
      <c r="AL44" s="430">
        <f>VLOOKUP($B44,'Proposed Rates'!$D$248:$J$254,+AL$11-2,FALSE)</f>
        <v>9.8000000000000004E-2</v>
      </c>
      <c r="AM44" s="508">
        <f>'Proposed Rates'!$K$249*$F$10</f>
        <v>9600</v>
      </c>
      <c r="AN44" s="400">
        <f t="shared" si="61"/>
        <v>940.80000000000007</v>
      </c>
      <c r="AO44" s="128"/>
      <c r="AP44" s="401">
        <f t="shared" si="21"/>
        <v>0</v>
      </c>
      <c r="AQ44" s="402">
        <f t="shared" si="22"/>
        <v>0</v>
      </c>
      <c r="AR44" s="403"/>
    </row>
    <row r="45" spans="1:44" ht="12" customHeight="1">
      <c r="A45" s="52"/>
      <c r="B45" s="320" t="s">
        <v>263</v>
      </c>
      <c r="C45" s="395" t="str">
        <f t="shared" si="49"/>
        <v>General Service &lt; 50 kW.TOU - Mid Peak</v>
      </c>
      <c r="D45" s="396" t="s">
        <v>308</v>
      </c>
      <c r="E45" s="320"/>
      <c r="F45" s="430">
        <f>VLOOKUP($B45,'Proposed Rates'!$D$248:$J$254,+F$11-2,FALSE)</f>
        <v>0.157</v>
      </c>
      <c r="G45" s="508">
        <f>'Proposed Rates'!$K$250*$F$10</f>
        <v>2700</v>
      </c>
      <c r="H45" s="400">
        <f t="shared" si="51"/>
        <v>423.9</v>
      </c>
      <c r="I45" s="128"/>
      <c r="J45" s="430">
        <f>VLOOKUP($B45,'Proposed Rates'!$D$248:$J$254,+J$11-2,FALSE)</f>
        <v>0.157</v>
      </c>
      <c r="K45" s="508">
        <f>'Proposed Rates'!$K$250*$F$10</f>
        <v>2700</v>
      </c>
      <c r="L45" s="400">
        <f t="shared" si="53"/>
        <v>423.9</v>
      </c>
      <c r="M45" s="128"/>
      <c r="N45" s="401">
        <f t="shared" si="5"/>
        <v>0</v>
      </c>
      <c r="O45" s="402">
        <f t="shared" si="6"/>
        <v>0</v>
      </c>
      <c r="P45" s="52"/>
      <c r="Q45" s="430">
        <f>VLOOKUP($B45,'Proposed Rates'!$D$248:$J$254,+Q$11-2,FALSE)</f>
        <v>0.157</v>
      </c>
      <c r="R45" s="508">
        <f>'Proposed Rates'!$K$250*$F$10</f>
        <v>2700</v>
      </c>
      <c r="S45" s="400">
        <f t="shared" si="55"/>
        <v>423.9</v>
      </c>
      <c r="T45" s="128"/>
      <c r="U45" s="401">
        <f t="shared" si="9"/>
        <v>0</v>
      </c>
      <c r="V45" s="402">
        <f t="shared" si="10"/>
        <v>0</v>
      </c>
      <c r="W45" s="52"/>
      <c r="X45" s="430">
        <f>VLOOKUP($B45,'Proposed Rates'!$D$248:$J$254,+X$11-2,FALSE)</f>
        <v>0.157</v>
      </c>
      <c r="Y45" s="508">
        <f>'Proposed Rates'!$K$250*$F$10</f>
        <v>2700</v>
      </c>
      <c r="Z45" s="400">
        <f t="shared" si="57"/>
        <v>423.9</v>
      </c>
      <c r="AA45" s="128"/>
      <c r="AB45" s="401">
        <f t="shared" si="13"/>
        <v>0</v>
      </c>
      <c r="AC45" s="402">
        <f t="shared" si="14"/>
        <v>0</v>
      </c>
      <c r="AD45" s="52"/>
      <c r="AE45" s="430">
        <f>VLOOKUP($B45,'Proposed Rates'!$D$248:$J$254,+AE$11-2,FALSE)</f>
        <v>0.157</v>
      </c>
      <c r="AF45" s="508">
        <f>'Proposed Rates'!$K$250*$F$10</f>
        <v>2700</v>
      </c>
      <c r="AG45" s="400">
        <f t="shared" si="59"/>
        <v>423.9</v>
      </c>
      <c r="AH45" s="128"/>
      <c r="AI45" s="401">
        <f t="shared" si="17"/>
        <v>0</v>
      </c>
      <c r="AJ45" s="402">
        <f t="shared" si="18"/>
        <v>0</v>
      </c>
      <c r="AK45" s="52"/>
      <c r="AL45" s="430">
        <f>VLOOKUP($B45,'Proposed Rates'!$D$248:$J$254,+AL$11-2,FALSE)</f>
        <v>0.157</v>
      </c>
      <c r="AM45" s="508">
        <f>'Proposed Rates'!$K$250*$F$10</f>
        <v>2700</v>
      </c>
      <c r="AN45" s="400">
        <f t="shared" si="61"/>
        <v>423.9</v>
      </c>
      <c r="AO45" s="128"/>
      <c r="AP45" s="401">
        <f t="shared" si="21"/>
        <v>0</v>
      </c>
      <c r="AQ45" s="402">
        <f t="shared" si="22"/>
        <v>0</v>
      </c>
      <c r="AR45" s="403"/>
    </row>
    <row r="46" spans="1:44" ht="12" customHeight="1">
      <c r="A46" s="52"/>
      <c r="B46" s="52" t="s">
        <v>264</v>
      </c>
      <c r="C46" s="395" t="str">
        <f t="shared" si="49"/>
        <v>General Service &lt; 50 kW.TOU - On Peak</v>
      </c>
      <c r="D46" s="396" t="s">
        <v>308</v>
      </c>
      <c r="E46" s="320"/>
      <c r="F46" s="430">
        <f>VLOOKUP($B46,'Proposed Rates'!$D$248:$J$254,+F$11-2,FALSE)</f>
        <v>0.20300000000000001</v>
      </c>
      <c r="G46" s="508">
        <f>'Proposed Rates'!$K$251*$F$10</f>
        <v>2700</v>
      </c>
      <c r="H46" s="400">
        <f t="shared" si="51"/>
        <v>548.1</v>
      </c>
      <c r="I46" s="128"/>
      <c r="J46" s="430">
        <f>VLOOKUP($B46,'Proposed Rates'!$D$248:$J$254,+J$11-2,FALSE)</f>
        <v>0.20300000000000001</v>
      </c>
      <c r="K46" s="508">
        <f>'Proposed Rates'!$K$251*$F$10</f>
        <v>2700</v>
      </c>
      <c r="L46" s="400">
        <f t="shared" si="53"/>
        <v>548.1</v>
      </c>
      <c r="M46" s="128"/>
      <c r="N46" s="401">
        <f t="shared" si="5"/>
        <v>0</v>
      </c>
      <c r="O46" s="402">
        <f t="shared" si="6"/>
        <v>0</v>
      </c>
      <c r="P46" s="52"/>
      <c r="Q46" s="430">
        <f>VLOOKUP($B46,'Proposed Rates'!$D$248:$J$254,+Q$11-2,FALSE)</f>
        <v>0.20300000000000001</v>
      </c>
      <c r="R46" s="508">
        <f>'Proposed Rates'!$K$251*$F$10</f>
        <v>2700</v>
      </c>
      <c r="S46" s="400">
        <f t="shared" si="55"/>
        <v>548.1</v>
      </c>
      <c r="T46" s="128"/>
      <c r="U46" s="401">
        <f t="shared" si="9"/>
        <v>0</v>
      </c>
      <c r="V46" s="402">
        <f t="shared" si="10"/>
        <v>0</v>
      </c>
      <c r="W46" s="52"/>
      <c r="X46" s="430">
        <f>VLOOKUP($B46,'Proposed Rates'!$D$248:$J$254,+X$11-2,FALSE)</f>
        <v>0.20300000000000001</v>
      </c>
      <c r="Y46" s="508">
        <f>'Proposed Rates'!$K$251*$F$10</f>
        <v>2700</v>
      </c>
      <c r="Z46" s="400">
        <f t="shared" si="57"/>
        <v>548.1</v>
      </c>
      <c r="AA46" s="128"/>
      <c r="AB46" s="401">
        <f t="shared" si="13"/>
        <v>0</v>
      </c>
      <c r="AC46" s="402">
        <f t="shared" si="14"/>
        <v>0</v>
      </c>
      <c r="AD46" s="52"/>
      <c r="AE46" s="430">
        <f>VLOOKUP($B46,'Proposed Rates'!$D$248:$J$254,+AE$11-2,FALSE)</f>
        <v>0.20300000000000001</v>
      </c>
      <c r="AF46" s="508">
        <f>'Proposed Rates'!$K$251*$F$10</f>
        <v>2700</v>
      </c>
      <c r="AG46" s="400">
        <f t="shared" si="59"/>
        <v>548.1</v>
      </c>
      <c r="AH46" s="128"/>
      <c r="AI46" s="401">
        <f t="shared" si="17"/>
        <v>0</v>
      </c>
      <c r="AJ46" s="402">
        <f t="shared" si="18"/>
        <v>0</v>
      </c>
      <c r="AK46" s="52"/>
      <c r="AL46" s="430">
        <f>VLOOKUP($B46,'Proposed Rates'!$D$248:$J$254,+AL$11-2,FALSE)</f>
        <v>0.20300000000000001</v>
      </c>
      <c r="AM46" s="508">
        <f>'Proposed Rates'!$K$251*$F$10</f>
        <v>2700</v>
      </c>
      <c r="AN46" s="400">
        <f t="shared" si="61"/>
        <v>548.1</v>
      </c>
      <c r="AO46" s="128"/>
      <c r="AP46" s="401">
        <f t="shared" si="21"/>
        <v>0</v>
      </c>
      <c r="AQ46" s="402">
        <f t="shared" si="22"/>
        <v>0</v>
      </c>
      <c r="AR46" s="403"/>
    </row>
    <row r="47" spans="1:44" ht="12" customHeight="1">
      <c r="A47" s="52"/>
      <c r="B47" s="320" t="s">
        <v>265</v>
      </c>
      <c r="C47" s="395" t="str">
        <f t="shared" si="49"/>
        <v>General Service &lt; 50 kW.Energy - RPP - Tier 1</v>
      </c>
      <c r="D47" s="396" t="s">
        <v>308</v>
      </c>
      <c r="E47" s="320"/>
      <c r="F47" s="430">
        <f>VLOOKUP($B47,'Proposed Rates'!$D$248:$J$254,+F$11-2,FALSE)</f>
        <v>0.12</v>
      </c>
      <c r="G47" s="508">
        <f>IF(AND($S$2=1, $F$10&gt;=750), 750, IF(AND($S$2=1, AND($F$10&lt;750, $F$10&gt;=0)), $F$10, IF(AND($S$2=2, $F$10&gt;=1000), 1000, IF(AND($S$2=2, AND($F$10&lt;1000, $F$10&gt;=0)), $F$10))))</f>
        <v>750</v>
      </c>
      <c r="H47" s="400">
        <f t="shared" si="51"/>
        <v>90</v>
      </c>
      <c r="I47" s="128"/>
      <c r="J47" s="430">
        <f>VLOOKUP($B47,'Proposed Rates'!$D$248:$J$254,+J$11-2,FALSE)</f>
        <v>0.12</v>
      </c>
      <c r="K47" s="508">
        <f>IF(AND($S$2=1, $F$10&gt;=750), 750, IF(AND($S$2=1, AND($F$10&lt;750, $F$10&gt;=0)), $F$10, IF(AND($S$2=2, $F$10&gt;=1000), 1000, IF(AND($S$2=2, AND($F$10&lt;1000, $F$10&gt;=0)), $F$10))))</f>
        <v>750</v>
      </c>
      <c r="L47" s="400">
        <f t="shared" si="53"/>
        <v>90</v>
      </c>
      <c r="M47" s="128"/>
      <c r="N47" s="401">
        <f t="shared" si="5"/>
        <v>0</v>
      </c>
      <c r="O47" s="402">
        <f t="shared" si="6"/>
        <v>0</v>
      </c>
      <c r="P47" s="52"/>
      <c r="Q47" s="430">
        <f>VLOOKUP($B47,'Proposed Rates'!$D$248:$J$254,+Q$11-2,FALSE)</f>
        <v>0.12</v>
      </c>
      <c r="R47" s="508">
        <f>IF(AND($S$2=1, $F$10&gt;=750), 750, IF(AND($S$2=1, AND($F$10&lt;750, $F$10&gt;=0)), $F$10, IF(AND($S$2=2, $F$10&gt;=1000), 1000, IF(AND($S$2=2, AND($F$10&lt;1000, $F$10&gt;=0)), $F$10))))</f>
        <v>750</v>
      </c>
      <c r="S47" s="400">
        <f t="shared" si="55"/>
        <v>90</v>
      </c>
      <c r="T47" s="128"/>
      <c r="U47" s="401">
        <f t="shared" si="9"/>
        <v>0</v>
      </c>
      <c r="V47" s="402">
        <f t="shared" si="10"/>
        <v>0</v>
      </c>
      <c r="W47" s="52"/>
      <c r="X47" s="430">
        <f>VLOOKUP($B47,'Proposed Rates'!$D$248:$J$254,+X$11-2,FALSE)</f>
        <v>0.12</v>
      </c>
      <c r="Y47" s="508">
        <f>IF(AND($S$2=1, $F$10&gt;=750), 750, IF(AND($S$2=1, AND($F$10&lt;750, $F$10&gt;=0)), $F$10, IF(AND($S$2=2, $F$10&gt;=1000), 1000, IF(AND($S$2=2, AND($F$10&lt;1000, $F$10&gt;=0)), $F$10))))</f>
        <v>750</v>
      </c>
      <c r="Z47" s="400">
        <f t="shared" si="57"/>
        <v>90</v>
      </c>
      <c r="AA47" s="128"/>
      <c r="AB47" s="401">
        <f t="shared" si="13"/>
        <v>0</v>
      </c>
      <c r="AC47" s="402">
        <f t="shared" si="14"/>
        <v>0</v>
      </c>
      <c r="AD47" s="52"/>
      <c r="AE47" s="430">
        <f>VLOOKUP($B47,'Proposed Rates'!$D$248:$J$254,+AE$11-2,FALSE)</f>
        <v>0.12</v>
      </c>
      <c r="AF47" s="508">
        <f>IF(AND($S$2=1, $F$10&gt;=750), 750, IF(AND($S$2=1, AND($F$10&lt;750, $F$10&gt;=0)), $F$10, IF(AND($S$2=2, $F$10&gt;=1000), 1000, IF(AND($S$2=2, AND($F$10&lt;1000, $F$10&gt;=0)), $F$10))))</f>
        <v>750</v>
      </c>
      <c r="AG47" s="400">
        <f t="shared" si="59"/>
        <v>90</v>
      </c>
      <c r="AH47" s="128"/>
      <c r="AI47" s="401">
        <f t="shared" si="17"/>
        <v>0</v>
      </c>
      <c r="AJ47" s="402">
        <f t="shared" si="18"/>
        <v>0</v>
      </c>
      <c r="AK47" s="52"/>
      <c r="AL47" s="430">
        <f>VLOOKUP($B47,'Proposed Rates'!$D$248:$J$254,+AL$11-2,FALSE)</f>
        <v>0.12</v>
      </c>
      <c r="AM47" s="508">
        <f>IF(AND($S$2=1, $F$10&gt;=750), 750, IF(AND($S$2=1, AND($F$10&lt;750, $F$10&gt;=0)), $F$10, IF(AND($S$2=2, $F$10&gt;=1000), 1000, IF(AND($S$2=2, AND($F$10&lt;1000, $F$10&gt;=0)), $F$10))))</f>
        <v>750</v>
      </c>
      <c r="AN47" s="400">
        <f t="shared" si="61"/>
        <v>90</v>
      </c>
      <c r="AO47" s="128"/>
      <c r="AP47" s="401">
        <f t="shared" si="21"/>
        <v>0</v>
      </c>
      <c r="AQ47" s="402">
        <f t="shared" si="22"/>
        <v>0</v>
      </c>
      <c r="AR47" s="403"/>
    </row>
    <row r="48" spans="1:44" ht="12" customHeight="1">
      <c r="A48" s="52"/>
      <c r="B48" s="320" t="s">
        <v>266</v>
      </c>
      <c r="C48" s="395" t="str">
        <f t="shared" si="49"/>
        <v>General Service &lt; 50 kW.Energy - RPP - Tier 2</v>
      </c>
      <c r="D48" s="396" t="s">
        <v>308</v>
      </c>
      <c r="E48" s="320"/>
      <c r="F48" s="430">
        <f>VLOOKUP($B48,'Proposed Rates'!$D$248:$J$254,+F$11-2,FALSE)</f>
        <v>0.14199999999999999</v>
      </c>
      <c r="G48" s="508">
        <f>IF(AND($S$2=1, $F$10&gt;=750), $F$10-750, IF(AND($S$2=1, AND($F$10&lt;750, $F$10&gt;=0)), 0, IF(AND($S$2=2, $F$10&gt;=1000), $F$10-1000, IF(AND($S$2=2, AND($F$10&lt;1000, $F$10&gt;=0)), 0))))</f>
        <v>14250</v>
      </c>
      <c r="H48" s="400">
        <f t="shared" si="51"/>
        <v>2023.4999999999998</v>
      </c>
      <c r="I48" s="128"/>
      <c r="J48" s="430">
        <f>VLOOKUP($B48,'Proposed Rates'!$D$248:$J$254,+J$11-2,FALSE)</f>
        <v>0.14199999999999999</v>
      </c>
      <c r="K48" s="508">
        <f>IF(AND($S$2=1, $F$10&gt;=750), $F$10-750, IF(AND($S$2=1, AND($F$10&lt;750, $F$10&gt;=0)), 0, IF(AND($S$2=2, $F$10&gt;=1000), $F$10-1000, IF(AND($S$2=2, AND($F$10&lt;1000, $F$10&gt;=0)), 0))))</f>
        <v>14250</v>
      </c>
      <c r="L48" s="400">
        <f t="shared" si="53"/>
        <v>2023.4999999999998</v>
      </c>
      <c r="M48" s="128"/>
      <c r="N48" s="401">
        <f t="shared" si="5"/>
        <v>0</v>
      </c>
      <c r="O48" s="402">
        <f t="shared" si="6"/>
        <v>0</v>
      </c>
      <c r="P48" s="52"/>
      <c r="Q48" s="430">
        <f>VLOOKUP($B48,'Proposed Rates'!$D$248:$J$254,+Q$11-2,FALSE)</f>
        <v>0.14199999999999999</v>
      </c>
      <c r="R48" s="508">
        <f>IF(AND($S$2=1, $F$10&gt;=750), $F$10-750, IF(AND($S$2=1, AND($F$10&lt;750, $F$10&gt;=0)), 0, IF(AND($S$2=2, $F$10&gt;=1000), $F$10-1000, IF(AND($S$2=2, AND($F$10&lt;1000, $F$10&gt;=0)), 0))))</f>
        <v>14250</v>
      </c>
      <c r="S48" s="400">
        <f t="shared" si="55"/>
        <v>2023.4999999999998</v>
      </c>
      <c r="T48" s="128"/>
      <c r="U48" s="401">
        <f t="shared" si="9"/>
        <v>0</v>
      </c>
      <c r="V48" s="402">
        <f t="shared" si="10"/>
        <v>0</v>
      </c>
      <c r="W48" s="52"/>
      <c r="X48" s="430">
        <f>VLOOKUP($B48,'Proposed Rates'!$D$248:$J$254,+X$11-2,FALSE)</f>
        <v>0.14199999999999999</v>
      </c>
      <c r="Y48" s="508">
        <f>IF(AND($S$2=1, $F$10&gt;=750), $F$10-750, IF(AND($S$2=1, AND($F$10&lt;750, $F$10&gt;=0)), 0, IF(AND($S$2=2, $F$10&gt;=1000), $F$10-1000, IF(AND($S$2=2, AND($F$10&lt;1000, $F$10&gt;=0)), 0))))</f>
        <v>14250</v>
      </c>
      <c r="Z48" s="400">
        <f t="shared" si="57"/>
        <v>2023.4999999999998</v>
      </c>
      <c r="AA48" s="128"/>
      <c r="AB48" s="401">
        <f t="shared" si="13"/>
        <v>0</v>
      </c>
      <c r="AC48" s="402">
        <f t="shared" si="14"/>
        <v>0</v>
      </c>
      <c r="AD48" s="52"/>
      <c r="AE48" s="430">
        <f>VLOOKUP($B48,'Proposed Rates'!$D$248:$J$254,+AE$11-2,FALSE)</f>
        <v>0.14199999999999999</v>
      </c>
      <c r="AF48" s="508">
        <f>IF(AND($S$2=1, $F$10&gt;=750), $F$10-750, IF(AND($S$2=1, AND($F$10&lt;750, $F$10&gt;=0)), 0, IF(AND($S$2=2, $F$10&gt;=1000), $F$10-1000, IF(AND($S$2=2, AND($F$10&lt;1000, $F$10&gt;=0)), 0))))</f>
        <v>14250</v>
      </c>
      <c r="AG48" s="400">
        <f t="shared" si="59"/>
        <v>2023.4999999999998</v>
      </c>
      <c r="AH48" s="128"/>
      <c r="AI48" s="401">
        <f t="shared" si="17"/>
        <v>0</v>
      </c>
      <c r="AJ48" s="402">
        <f t="shared" si="18"/>
        <v>0</v>
      </c>
      <c r="AK48" s="52"/>
      <c r="AL48" s="430">
        <f>VLOOKUP($B48,'Proposed Rates'!$D$248:$J$254,+AL$11-2,FALSE)</f>
        <v>0.14199999999999999</v>
      </c>
      <c r="AM48" s="508">
        <f>IF(AND($S$2=1, $F$10&gt;=750), $F$10-750, IF(AND($S$2=1, AND($F$10&lt;750, $F$10&gt;=0)), 0, IF(AND($S$2=2, $F$10&gt;=1000), $F$10-1000, IF(AND($S$2=2, AND($F$10&lt;1000, $F$10&gt;=0)), 0))))</f>
        <v>14250</v>
      </c>
      <c r="AN48" s="400">
        <f t="shared" si="61"/>
        <v>2023.4999999999998</v>
      </c>
      <c r="AO48" s="128"/>
      <c r="AP48" s="401">
        <f t="shared" si="21"/>
        <v>0</v>
      </c>
      <c r="AQ48" s="402">
        <f t="shared" si="22"/>
        <v>0</v>
      </c>
      <c r="AR48" s="403"/>
    </row>
    <row r="49" spans="1:44" ht="12" customHeight="1">
      <c r="A49" s="52"/>
      <c r="B49" s="434"/>
      <c r="C49" s="435"/>
      <c r="D49" s="435"/>
      <c r="E49" s="435"/>
      <c r="F49" s="436"/>
      <c r="G49" s="437"/>
      <c r="H49" s="438"/>
      <c r="I49" s="440"/>
      <c r="J49" s="436"/>
      <c r="K49" s="437"/>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52"/>
      <c r="AL49" s="436"/>
      <c r="AM49" s="437"/>
      <c r="AN49" s="438"/>
      <c r="AO49" s="440"/>
      <c r="AP49" s="441"/>
      <c r="AQ49" s="442"/>
      <c r="AR49" s="443"/>
    </row>
    <row r="50" spans="1:44" ht="12" customHeight="1">
      <c r="A50" s="52"/>
      <c r="B50" s="444" t="s">
        <v>315</v>
      </c>
      <c r="C50" s="320"/>
      <c r="D50" s="320"/>
      <c r="E50" s="320"/>
      <c r="F50" s="445"/>
      <c r="G50" s="489"/>
      <c r="H50" s="447">
        <f>SUM(H41:H46,H40)</f>
        <v>2858.0015899999999</v>
      </c>
      <c r="I50" s="482"/>
      <c r="J50" s="445"/>
      <c r="K50" s="446"/>
      <c r="L50" s="448">
        <f>SUM(L41:L46,L40)</f>
        <v>2902.0992399999996</v>
      </c>
      <c r="M50" s="449"/>
      <c r="N50" s="448">
        <f t="shared" ref="N50:N54" si="62">L50-H50</f>
        <v>44.097649999999703</v>
      </c>
      <c r="O50" s="450">
        <f t="shared" ref="O50:O54" si="63">IF((H50)=0,"",(N50/H50))</f>
        <v>1.5429540051445425E-2</v>
      </c>
      <c r="P50" s="52"/>
      <c r="Q50" s="445"/>
      <c r="R50" s="446"/>
      <c r="S50" s="448">
        <f>SUM(S41:S46,S40)</f>
        <v>2949.2492399999996</v>
      </c>
      <c r="T50" s="449"/>
      <c r="U50" s="448">
        <f t="shared" ref="U50:U54" si="64">S50-L50</f>
        <v>47.150000000000091</v>
      </c>
      <c r="V50" s="450">
        <f t="shared" ref="V50:V54" si="65">IF((L50)=0,"",(U50/L50))</f>
        <v>1.6246859979881356E-2</v>
      </c>
      <c r="W50" s="52"/>
      <c r="X50" s="445"/>
      <c r="Y50" s="446"/>
      <c r="Z50" s="448">
        <f>SUM(Z41:Z46,Z40)</f>
        <v>3004.4892399999994</v>
      </c>
      <c r="AA50" s="449"/>
      <c r="AB50" s="448">
        <f t="shared" ref="AB50:AB54" si="66">Z50-S50</f>
        <v>55.239999999999782</v>
      </c>
      <c r="AC50" s="450">
        <f t="shared" ref="AC50:AC54" si="67">IF((S50)=0,"",(AB50/S50))</f>
        <v>1.8730190467049095E-2</v>
      </c>
      <c r="AD50" s="52"/>
      <c r="AE50" s="445"/>
      <c r="AF50" s="446"/>
      <c r="AG50" s="448">
        <f>SUM(AG41:AG46,AG40)</f>
        <v>3047.1292399999993</v>
      </c>
      <c r="AH50" s="449"/>
      <c r="AI50" s="448">
        <f t="shared" ref="AI50:AI54" si="68">AG50-Z50</f>
        <v>42.639999999999873</v>
      </c>
      <c r="AJ50" s="450">
        <f t="shared" ref="AJ50:AJ54" si="69">IF((Z50)=0,"",(AI50/Z50))</f>
        <v>1.4192096091514004E-2</v>
      </c>
      <c r="AK50" s="52"/>
      <c r="AL50" s="445"/>
      <c r="AM50" s="446"/>
      <c r="AN50" s="448">
        <f>SUM(AN41:AN46,AN40)</f>
        <v>3088.1692400000002</v>
      </c>
      <c r="AO50" s="449"/>
      <c r="AP50" s="448">
        <f t="shared" ref="AP50:AP54" si="70">AN50-AG50</f>
        <v>41.040000000000873</v>
      </c>
      <c r="AQ50" s="450">
        <f t="shared" ref="AQ50:AQ54" si="71">IF((AG50)=0,"",(AP50/AG50))</f>
        <v>1.3468414618344473E-2</v>
      </c>
      <c r="AR50" s="451"/>
    </row>
    <row r="51" spans="1:44" ht="12" customHeight="1">
      <c r="A51" s="52"/>
      <c r="B51" s="452" t="s">
        <v>316</v>
      </c>
      <c r="C51" s="320"/>
      <c r="D51" s="320"/>
      <c r="E51" s="320"/>
      <c r="F51" s="445">
        <v>0.13</v>
      </c>
      <c r="G51" s="128"/>
      <c r="H51" s="490">
        <f>H50*F51</f>
        <v>371.5402067</v>
      </c>
      <c r="I51" s="417"/>
      <c r="J51" s="445">
        <v>0.13</v>
      </c>
      <c r="K51" s="417"/>
      <c r="L51" s="400">
        <f>L50*J51</f>
        <v>377.27290119999998</v>
      </c>
      <c r="M51" s="128"/>
      <c r="N51" s="401">
        <f t="shared" si="62"/>
        <v>5.7326944999999796</v>
      </c>
      <c r="O51" s="402">
        <f t="shared" si="63"/>
        <v>1.5429540051445473E-2</v>
      </c>
      <c r="P51" s="52"/>
      <c r="Q51" s="445">
        <v>0.13</v>
      </c>
      <c r="R51" s="417"/>
      <c r="S51" s="400">
        <f>S50*Q51</f>
        <v>383.40240119999999</v>
      </c>
      <c r="T51" s="128"/>
      <c r="U51" s="401">
        <f t="shared" si="64"/>
        <v>6.1295000000000073</v>
      </c>
      <c r="V51" s="402">
        <f t="shared" si="65"/>
        <v>1.6246859979881342E-2</v>
      </c>
      <c r="W51" s="52"/>
      <c r="X51" s="445">
        <v>0.13</v>
      </c>
      <c r="Y51" s="417"/>
      <c r="Z51" s="400">
        <f>Z50*X51</f>
        <v>390.58360119999992</v>
      </c>
      <c r="AA51" s="128"/>
      <c r="AB51" s="401">
        <f t="shared" si="66"/>
        <v>7.181199999999933</v>
      </c>
      <c r="AC51" s="402">
        <f t="shared" si="67"/>
        <v>1.8730190467048994E-2</v>
      </c>
      <c r="AD51" s="52"/>
      <c r="AE51" s="445">
        <v>0.13</v>
      </c>
      <c r="AF51" s="417"/>
      <c r="AG51" s="400">
        <f>AG50*AE51</f>
        <v>396.12680119999993</v>
      </c>
      <c r="AH51" s="128"/>
      <c r="AI51" s="401">
        <f t="shared" si="68"/>
        <v>5.543200000000013</v>
      </c>
      <c r="AJ51" s="402">
        <f t="shared" si="69"/>
        <v>1.4192096091514081E-2</v>
      </c>
      <c r="AK51" s="52"/>
      <c r="AL51" s="445">
        <v>0.13</v>
      </c>
      <c r="AM51" s="417"/>
      <c r="AN51" s="400">
        <f>AN50*AL51</f>
        <v>401.46200120000003</v>
      </c>
      <c r="AO51" s="128"/>
      <c r="AP51" s="401">
        <f t="shared" si="70"/>
        <v>5.3352000000000999</v>
      </c>
      <c r="AQ51" s="402">
        <f t="shared" si="71"/>
        <v>1.3468414618344438E-2</v>
      </c>
      <c r="AR51" s="403"/>
    </row>
    <row r="52" spans="1:44" ht="12" customHeight="1">
      <c r="A52" s="52"/>
      <c r="B52" s="454" t="s">
        <v>373</v>
      </c>
      <c r="C52" s="320"/>
      <c r="D52" s="320"/>
      <c r="E52" s="320"/>
      <c r="F52" s="455"/>
      <c r="G52" s="128"/>
      <c r="H52" s="490">
        <f>H50+H51</f>
        <v>3229.5417966999998</v>
      </c>
      <c r="I52" s="417"/>
      <c r="J52" s="455"/>
      <c r="K52" s="417"/>
      <c r="L52" s="400">
        <f>L50+L51</f>
        <v>3279.3721411999995</v>
      </c>
      <c r="M52" s="128"/>
      <c r="N52" s="401">
        <f t="shared" si="62"/>
        <v>49.830344499999683</v>
      </c>
      <c r="O52" s="402">
        <f t="shared" si="63"/>
        <v>1.542954005144543E-2</v>
      </c>
      <c r="P52" s="52"/>
      <c r="Q52" s="455"/>
      <c r="R52" s="417"/>
      <c r="S52" s="400">
        <f>S50+S51</f>
        <v>3332.6516411999996</v>
      </c>
      <c r="T52" s="128"/>
      <c r="U52" s="401">
        <f t="shared" si="64"/>
        <v>53.279500000000098</v>
      </c>
      <c r="V52" s="402">
        <f t="shared" si="65"/>
        <v>1.6246859979881356E-2</v>
      </c>
      <c r="W52" s="52"/>
      <c r="X52" s="455"/>
      <c r="Y52" s="417"/>
      <c r="Z52" s="400">
        <f>Z50+Z51</f>
        <v>3395.0728411999994</v>
      </c>
      <c r="AA52" s="128"/>
      <c r="AB52" s="401">
        <f t="shared" si="66"/>
        <v>62.421199999999772</v>
      </c>
      <c r="AC52" s="402">
        <f t="shared" si="67"/>
        <v>1.8730190467049102E-2</v>
      </c>
      <c r="AD52" s="52"/>
      <c r="AE52" s="455"/>
      <c r="AF52" s="417"/>
      <c r="AG52" s="400">
        <f>AG50+AG51</f>
        <v>3443.2560411999993</v>
      </c>
      <c r="AH52" s="128"/>
      <c r="AI52" s="401">
        <f t="shared" si="68"/>
        <v>48.183199999999943</v>
      </c>
      <c r="AJ52" s="402">
        <f t="shared" si="69"/>
        <v>1.419209609151403E-2</v>
      </c>
      <c r="AK52" s="52"/>
      <c r="AL52" s="455"/>
      <c r="AM52" s="417"/>
      <c r="AN52" s="400">
        <f>AN50+AN51</f>
        <v>3489.6312412000002</v>
      </c>
      <c r="AO52" s="128"/>
      <c r="AP52" s="401">
        <f t="shared" si="70"/>
        <v>46.375200000000859</v>
      </c>
      <c r="AQ52" s="402">
        <f t="shared" si="71"/>
        <v>1.3468414618344434E-2</v>
      </c>
      <c r="AR52" s="403"/>
    </row>
    <row r="53" spans="1:44" ht="12" customHeight="1">
      <c r="A53" s="52"/>
      <c r="B53" s="628" t="s">
        <v>273</v>
      </c>
      <c r="C53" s="615"/>
      <c r="D53" s="615"/>
      <c r="E53" s="320"/>
      <c r="F53" s="456">
        <f>'Proposed Rates'!E287</f>
        <v>0.23499999999999999</v>
      </c>
      <c r="G53" s="128"/>
      <c r="H53" s="492">
        <f>F53*H50</f>
        <v>671.63037364999991</v>
      </c>
      <c r="I53" s="417"/>
      <c r="J53" s="456">
        <f>'Proposed Rates'!I287</f>
        <v>0.23499999999999999</v>
      </c>
      <c r="K53" s="417"/>
      <c r="L53" s="457">
        <f>J53*L50</f>
        <v>681.9933213999999</v>
      </c>
      <c r="M53" s="128"/>
      <c r="N53" s="457">
        <f t="shared" si="62"/>
        <v>10.362947749999989</v>
      </c>
      <c r="O53" s="459">
        <f t="shared" si="63"/>
        <v>1.5429540051445515E-2</v>
      </c>
      <c r="P53" s="52"/>
      <c r="Q53" s="456">
        <f>J53</f>
        <v>0.23499999999999999</v>
      </c>
      <c r="R53" s="417"/>
      <c r="S53" s="457">
        <f>Q53*S50</f>
        <v>693.07357139999988</v>
      </c>
      <c r="T53" s="128"/>
      <c r="U53" s="457">
        <f t="shared" si="64"/>
        <v>11.080249999999978</v>
      </c>
      <c r="V53" s="459">
        <f t="shared" si="65"/>
        <v>1.6246859979881293E-2</v>
      </c>
      <c r="W53" s="52"/>
      <c r="X53" s="456">
        <f>Q53</f>
        <v>0.23499999999999999</v>
      </c>
      <c r="Y53" s="417"/>
      <c r="Z53" s="457">
        <f>X53*Z50</f>
        <v>706.05497139999977</v>
      </c>
      <c r="AA53" s="128"/>
      <c r="AB53" s="457">
        <f t="shared" si="66"/>
        <v>12.981399999999894</v>
      </c>
      <c r="AC53" s="459">
        <f t="shared" si="67"/>
        <v>1.8730190467049018E-2</v>
      </c>
      <c r="AD53" s="52"/>
      <c r="AE53" s="456">
        <f>X53</f>
        <v>0.23499999999999999</v>
      </c>
      <c r="AF53" s="417"/>
      <c r="AG53" s="457">
        <f>AE53*AG50</f>
        <v>716.07537139999977</v>
      </c>
      <c r="AH53" s="128"/>
      <c r="AI53" s="457">
        <f t="shared" si="68"/>
        <v>10.020399999999995</v>
      </c>
      <c r="AJ53" s="459">
        <f t="shared" si="69"/>
        <v>1.4192096091514041E-2</v>
      </c>
      <c r="AK53" s="52"/>
      <c r="AL53" s="456">
        <f>AE53</f>
        <v>0.23499999999999999</v>
      </c>
      <c r="AM53" s="417"/>
      <c r="AN53" s="457">
        <f>AL53*AN50</f>
        <v>725.71977140000001</v>
      </c>
      <c r="AO53" s="128"/>
      <c r="AP53" s="457">
        <f t="shared" si="70"/>
        <v>9.6444000000002461</v>
      </c>
      <c r="AQ53" s="459">
        <f t="shared" si="71"/>
        <v>1.3468414618344532E-2</v>
      </c>
      <c r="AR53" s="460"/>
    </row>
    <row r="54" spans="1:44" ht="13.5" customHeight="1">
      <c r="A54" s="52"/>
      <c r="B54" s="627" t="s">
        <v>318</v>
      </c>
      <c r="C54" s="613"/>
      <c r="D54" s="613"/>
      <c r="E54" s="461"/>
      <c r="F54" s="462"/>
      <c r="G54" s="493"/>
      <c r="H54" s="494">
        <f>H52-H53</f>
        <v>2557.9114230499999</v>
      </c>
      <c r="I54" s="463"/>
      <c r="J54" s="462"/>
      <c r="K54" s="463"/>
      <c r="L54" s="464">
        <f>L52-L53</f>
        <v>2597.3788197999997</v>
      </c>
      <c r="M54" s="465"/>
      <c r="N54" s="466">
        <f t="shared" si="62"/>
        <v>39.467396749999807</v>
      </c>
      <c r="O54" s="467">
        <f t="shared" si="63"/>
        <v>1.5429540051445452E-2</v>
      </c>
      <c r="P54" s="52"/>
      <c r="Q54" s="462"/>
      <c r="R54" s="463"/>
      <c r="S54" s="464">
        <f>S52-S53</f>
        <v>2639.5780697999999</v>
      </c>
      <c r="T54" s="465"/>
      <c r="U54" s="466">
        <f t="shared" si="64"/>
        <v>42.19925000000012</v>
      </c>
      <c r="V54" s="467">
        <f t="shared" si="65"/>
        <v>1.6246859979881369E-2</v>
      </c>
      <c r="W54" s="52"/>
      <c r="X54" s="462"/>
      <c r="Y54" s="463"/>
      <c r="Z54" s="464">
        <f>Z52-Z53</f>
        <v>2689.0178697999995</v>
      </c>
      <c r="AA54" s="465"/>
      <c r="AB54" s="466">
        <f t="shared" si="66"/>
        <v>49.43979999999965</v>
      </c>
      <c r="AC54" s="467">
        <f t="shared" si="67"/>
        <v>1.8730190467049036E-2</v>
      </c>
      <c r="AD54" s="52"/>
      <c r="AE54" s="462"/>
      <c r="AF54" s="463"/>
      <c r="AG54" s="464">
        <f>AG52-AG53</f>
        <v>2727.1806697999996</v>
      </c>
      <c r="AH54" s="465"/>
      <c r="AI54" s="466">
        <f t="shared" si="68"/>
        <v>38.162800000000061</v>
      </c>
      <c r="AJ54" s="467">
        <f t="shared" si="69"/>
        <v>1.4192096091514068E-2</v>
      </c>
      <c r="AK54" s="52"/>
      <c r="AL54" s="462"/>
      <c r="AM54" s="463"/>
      <c r="AN54" s="464">
        <f>AN52-AN53</f>
        <v>2763.9114698000003</v>
      </c>
      <c r="AO54" s="465"/>
      <c r="AP54" s="466">
        <f t="shared" si="70"/>
        <v>36.730800000000727</v>
      </c>
      <c r="AQ54" s="467">
        <f t="shared" si="71"/>
        <v>1.3468414618344452E-2</v>
      </c>
      <c r="AR54" s="468"/>
    </row>
    <row r="55" spans="1:44" ht="12" customHeight="1">
      <c r="A55" s="52"/>
      <c r="B55" s="434"/>
      <c r="C55" s="435"/>
      <c r="D55" s="435"/>
      <c r="E55" s="435"/>
      <c r="F55" s="436"/>
      <c r="G55" s="476"/>
      <c r="H55" s="438"/>
      <c r="I55" s="440"/>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52"/>
      <c r="AL55" s="436"/>
      <c r="AM55" s="437"/>
      <c r="AN55" s="438"/>
      <c r="AO55" s="440"/>
      <c r="AP55" s="441"/>
      <c r="AQ55" s="442"/>
      <c r="AR55" s="443"/>
    </row>
    <row r="56" spans="1:44" ht="12" customHeight="1">
      <c r="A56" s="52"/>
      <c r="B56" s="444" t="s">
        <v>319</v>
      </c>
      <c r="C56" s="320"/>
      <c r="D56" s="320"/>
      <c r="E56" s="320"/>
      <c r="F56" s="445"/>
      <c r="G56" s="489"/>
      <c r="H56" s="447">
        <f>SUM(H47:H48,H40,H41:H43)</f>
        <v>3058.7015900000001</v>
      </c>
      <c r="I56" s="482"/>
      <c r="J56" s="445"/>
      <c r="K56" s="446"/>
      <c r="L56" s="448">
        <f>SUM(L47:L48,L40,L41:L43)</f>
        <v>3102.7992399999998</v>
      </c>
      <c r="M56" s="449"/>
      <c r="N56" s="448">
        <f t="shared" ref="N56:N60" si="72">L56-H56</f>
        <v>44.097649999999703</v>
      </c>
      <c r="O56" s="450">
        <f t="shared" ref="O56:O60" si="73">IF((H56)=0,"",(N56/H56))</f>
        <v>1.4417114158560234E-2</v>
      </c>
      <c r="P56" s="52"/>
      <c r="Q56" s="445"/>
      <c r="R56" s="446"/>
      <c r="S56" s="448">
        <f>SUM(S47:S48,S40,S41:S43)</f>
        <v>3149.9492399999995</v>
      </c>
      <c r="T56" s="449"/>
      <c r="U56" s="448">
        <f t="shared" ref="U56:U60" si="74">S56-L56</f>
        <v>47.149999999999636</v>
      </c>
      <c r="V56" s="450">
        <f t="shared" ref="V56:V60" si="75">IF((L56)=0,"",(U56/L56))</f>
        <v>1.5195955765413827E-2</v>
      </c>
      <c r="W56" s="52"/>
      <c r="X56" s="445"/>
      <c r="Y56" s="446"/>
      <c r="Z56" s="448">
        <f>SUM(Z47:Z48,Z40,Z41:Z43)</f>
        <v>3205.1892399999997</v>
      </c>
      <c r="AA56" s="449"/>
      <c r="AB56" s="448">
        <f t="shared" ref="AB56:AB60" si="76">Z56-S56</f>
        <v>55.240000000000236</v>
      </c>
      <c r="AC56" s="450">
        <f t="shared" ref="AC56:AC60" si="77">IF((S56)=0,"",(AB56/S56))</f>
        <v>1.7536790529361117E-2</v>
      </c>
      <c r="AD56" s="52"/>
      <c r="AE56" s="445"/>
      <c r="AF56" s="446"/>
      <c r="AG56" s="448">
        <f>SUM(AG47:AG48,AG40,AG41:AG43)</f>
        <v>3247.8292399999991</v>
      </c>
      <c r="AH56" s="449"/>
      <c r="AI56" s="448">
        <f t="shared" ref="AI56:AI60" si="78">AG56-Z56</f>
        <v>42.639999999999418</v>
      </c>
      <c r="AJ56" s="450">
        <f t="shared" ref="AJ56:AJ60" si="79">IF((Z56)=0,"",(AI56/Z56))</f>
        <v>1.330342666444226E-2</v>
      </c>
      <c r="AK56" s="52"/>
      <c r="AL56" s="445"/>
      <c r="AM56" s="446"/>
      <c r="AN56" s="448">
        <f>SUM(AN47:AN48,AN40,AN41:AN43)</f>
        <v>3288.8692399999995</v>
      </c>
      <c r="AO56" s="449"/>
      <c r="AP56" s="448">
        <f t="shared" ref="AP56:AP60" si="80">AN56-AG56</f>
        <v>41.040000000000418</v>
      </c>
      <c r="AQ56" s="450">
        <f t="shared" ref="AQ56:AQ60" si="81">IF((AG56)=0,"",(AP56/AG56))</f>
        <v>1.2636132310946381E-2</v>
      </c>
      <c r="AR56" s="451"/>
    </row>
    <row r="57" spans="1:44" ht="12" customHeight="1">
      <c r="A57" s="52"/>
      <c r="B57" s="452" t="s">
        <v>316</v>
      </c>
      <c r="C57" s="320"/>
      <c r="D57" s="320"/>
      <c r="E57" s="320"/>
      <c r="F57" s="445">
        <v>0.13</v>
      </c>
      <c r="G57" s="489"/>
      <c r="H57" s="490">
        <f>H56*F57</f>
        <v>397.63120670000001</v>
      </c>
      <c r="I57" s="417"/>
      <c r="J57" s="445">
        <v>0.13</v>
      </c>
      <c r="K57" s="453"/>
      <c r="L57" s="401">
        <f>L56*J57</f>
        <v>403.36390119999999</v>
      </c>
      <c r="M57" s="128"/>
      <c r="N57" s="401">
        <f t="shared" si="72"/>
        <v>5.7326944999999796</v>
      </c>
      <c r="O57" s="402">
        <f t="shared" si="73"/>
        <v>1.4417114158560281E-2</v>
      </c>
      <c r="P57" s="52"/>
      <c r="Q57" s="445">
        <v>0.13</v>
      </c>
      <c r="R57" s="453"/>
      <c r="S57" s="400">
        <f>S56*Q57</f>
        <v>409.49340119999994</v>
      </c>
      <c r="T57" s="128"/>
      <c r="U57" s="401">
        <f t="shared" si="74"/>
        <v>6.1294999999999504</v>
      </c>
      <c r="V57" s="402">
        <f t="shared" si="75"/>
        <v>1.519595576541382E-2</v>
      </c>
      <c r="W57" s="52"/>
      <c r="X57" s="445">
        <v>0.13</v>
      </c>
      <c r="Y57" s="453"/>
      <c r="Z57" s="400">
        <f>Z56*X57</f>
        <v>416.67460119999998</v>
      </c>
      <c r="AA57" s="128"/>
      <c r="AB57" s="401">
        <f t="shared" si="76"/>
        <v>7.1812000000000467</v>
      </c>
      <c r="AC57" s="402">
        <f t="shared" si="77"/>
        <v>1.7536790529361156E-2</v>
      </c>
      <c r="AD57" s="52"/>
      <c r="AE57" s="445">
        <v>0.13</v>
      </c>
      <c r="AF57" s="453"/>
      <c r="AG57" s="401">
        <f>AG56*AE57</f>
        <v>422.21780119999988</v>
      </c>
      <c r="AH57" s="128"/>
      <c r="AI57" s="401">
        <f t="shared" si="78"/>
        <v>5.5431999999998993</v>
      </c>
      <c r="AJ57" s="402">
        <f t="shared" si="79"/>
        <v>1.3303426664442199E-2</v>
      </c>
      <c r="AK57" s="52"/>
      <c r="AL57" s="445">
        <v>0.13</v>
      </c>
      <c r="AM57" s="453"/>
      <c r="AN57" s="400">
        <f>AN56*AL57</f>
        <v>427.55300119999993</v>
      </c>
      <c r="AO57" s="128"/>
      <c r="AP57" s="401">
        <f t="shared" si="80"/>
        <v>5.335200000000043</v>
      </c>
      <c r="AQ57" s="402">
        <f t="shared" si="81"/>
        <v>1.2636132310946355E-2</v>
      </c>
      <c r="AR57" s="403"/>
    </row>
    <row r="58" spans="1:44" ht="12" customHeight="1">
      <c r="A58" s="52"/>
      <c r="B58" s="454" t="s">
        <v>374</v>
      </c>
      <c r="C58" s="320"/>
      <c r="D58" s="320"/>
      <c r="E58" s="320"/>
      <c r="F58" s="455"/>
      <c r="G58" s="128"/>
      <c r="H58" s="490">
        <f>H56+H57</f>
        <v>3456.3327967</v>
      </c>
      <c r="I58" s="417"/>
      <c r="J58" s="455"/>
      <c r="K58" s="417"/>
      <c r="L58" s="400">
        <f>L56+L57</f>
        <v>3506.1631411999997</v>
      </c>
      <c r="M58" s="128"/>
      <c r="N58" s="401">
        <f t="shared" si="72"/>
        <v>49.830344499999683</v>
      </c>
      <c r="O58" s="402">
        <f t="shared" si="73"/>
        <v>1.441711415856024E-2</v>
      </c>
      <c r="P58" s="52"/>
      <c r="Q58" s="455"/>
      <c r="R58" s="417"/>
      <c r="S58" s="400">
        <f>S56+S57</f>
        <v>3559.4426411999993</v>
      </c>
      <c r="T58" s="128"/>
      <c r="U58" s="401">
        <f t="shared" si="74"/>
        <v>53.279499999999643</v>
      </c>
      <c r="V58" s="402">
        <f t="shared" si="75"/>
        <v>1.5195955765413842E-2</v>
      </c>
      <c r="W58" s="52"/>
      <c r="X58" s="455"/>
      <c r="Y58" s="417"/>
      <c r="Z58" s="400">
        <f>Z56+Z57</f>
        <v>3621.8638411999996</v>
      </c>
      <c r="AA58" s="128"/>
      <c r="AB58" s="401">
        <f t="shared" si="76"/>
        <v>62.421200000000226</v>
      </c>
      <c r="AC58" s="402">
        <f t="shared" si="77"/>
        <v>1.7536790529361104E-2</v>
      </c>
      <c r="AD58" s="52"/>
      <c r="AE58" s="455"/>
      <c r="AF58" s="417"/>
      <c r="AG58" s="400">
        <f>AG56+AG57</f>
        <v>3670.0470411999991</v>
      </c>
      <c r="AH58" s="128"/>
      <c r="AI58" s="401">
        <f t="shared" si="78"/>
        <v>48.183199999999488</v>
      </c>
      <c r="AJ58" s="402">
        <f t="shared" si="79"/>
        <v>1.33034266644423E-2</v>
      </c>
      <c r="AK58" s="52"/>
      <c r="AL58" s="455"/>
      <c r="AM58" s="417"/>
      <c r="AN58" s="400">
        <f>AN56+AN57</f>
        <v>3716.4222411999995</v>
      </c>
      <c r="AO58" s="128"/>
      <c r="AP58" s="401">
        <f t="shared" si="80"/>
        <v>46.375200000000405</v>
      </c>
      <c r="AQ58" s="402">
        <f t="shared" si="81"/>
        <v>1.2636132310946362E-2</v>
      </c>
      <c r="AR58" s="403"/>
    </row>
    <row r="59" spans="1:44" ht="12" customHeight="1">
      <c r="A59" s="52"/>
      <c r="B59" s="628" t="s">
        <v>273</v>
      </c>
      <c r="C59" s="615"/>
      <c r="D59" s="615"/>
      <c r="E59" s="320"/>
      <c r="F59" s="456">
        <f>F53</f>
        <v>0.23499999999999999</v>
      </c>
      <c r="G59" s="128"/>
      <c r="H59" s="492">
        <f>F59*H56</f>
        <v>718.79487365</v>
      </c>
      <c r="I59" s="417"/>
      <c r="J59" s="456">
        <f>J53</f>
        <v>0.23499999999999999</v>
      </c>
      <c r="K59" s="417"/>
      <c r="L59" s="457">
        <f>J59*L56</f>
        <v>729.15782139999988</v>
      </c>
      <c r="M59" s="128"/>
      <c r="N59" s="457">
        <f t="shared" si="72"/>
        <v>10.362947749999876</v>
      </c>
      <c r="O59" s="459">
        <f t="shared" si="73"/>
        <v>1.441711415856016E-2</v>
      </c>
      <c r="P59" s="52"/>
      <c r="Q59" s="456">
        <f>Q53</f>
        <v>0.23499999999999999</v>
      </c>
      <c r="R59" s="417"/>
      <c r="S59" s="457">
        <f>Q59*S56</f>
        <v>740.23807139999985</v>
      </c>
      <c r="T59" s="128"/>
      <c r="U59" s="457">
        <f t="shared" si="74"/>
        <v>11.080249999999978</v>
      </c>
      <c r="V59" s="459">
        <f t="shared" si="75"/>
        <v>1.5195955765413915E-2</v>
      </c>
      <c r="W59" s="52"/>
      <c r="X59" s="456">
        <f>X53</f>
        <v>0.23499999999999999</v>
      </c>
      <c r="Y59" s="417"/>
      <c r="Z59" s="457">
        <f>X59*Z56</f>
        <v>753.21947139999986</v>
      </c>
      <c r="AA59" s="128"/>
      <c r="AB59" s="457">
        <f t="shared" si="76"/>
        <v>12.981400000000008</v>
      </c>
      <c r="AC59" s="459">
        <f t="shared" si="77"/>
        <v>1.7536790529361052E-2</v>
      </c>
      <c r="AD59" s="52"/>
      <c r="AE59" s="456">
        <f>AE53</f>
        <v>0.23499999999999999</v>
      </c>
      <c r="AF59" s="417"/>
      <c r="AG59" s="457">
        <f>AE59*AG56</f>
        <v>763.23987139999974</v>
      </c>
      <c r="AH59" s="128"/>
      <c r="AI59" s="457">
        <f t="shared" si="78"/>
        <v>10.020399999999881</v>
      </c>
      <c r="AJ59" s="459">
        <f t="shared" si="79"/>
        <v>1.3303426664442286E-2</v>
      </c>
      <c r="AK59" s="52"/>
      <c r="AL59" s="456">
        <f>AL53</f>
        <v>0.23499999999999999</v>
      </c>
      <c r="AM59" s="417"/>
      <c r="AN59" s="457">
        <f>AL59*AN56</f>
        <v>772.88427139999988</v>
      </c>
      <c r="AO59" s="128"/>
      <c r="AP59" s="457">
        <f t="shared" si="80"/>
        <v>9.6444000000001324</v>
      </c>
      <c r="AQ59" s="459">
        <f t="shared" si="81"/>
        <v>1.2636132310946426E-2</v>
      </c>
      <c r="AR59" s="460"/>
    </row>
    <row r="60" spans="1:44" ht="13.5" customHeight="1">
      <c r="A60" s="52"/>
      <c r="B60" s="627" t="s">
        <v>321</v>
      </c>
      <c r="C60" s="613"/>
      <c r="D60" s="613"/>
      <c r="E60" s="461"/>
      <c r="F60" s="469"/>
      <c r="G60" s="495"/>
      <c r="H60" s="496">
        <f>H58-H59</f>
        <v>2737.5379230500002</v>
      </c>
      <c r="I60" s="470"/>
      <c r="J60" s="469"/>
      <c r="K60" s="470"/>
      <c r="L60" s="471">
        <f>L58-L59</f>
        <v>2777.0053197999996</v>
      </c>
      <c r="M60" s="472"/>
      <c r="N60" s="473">
        <f t="shared" si="72"/>
        <v>39.467396749999352</v>
      </c>
      <c r="O60" s="474">
        <f t="shared" si="73"/>
        <v>1.4417114158560094E-2</v>
      </c>
      <c r="P60" s="52"/>
      <c r="Q60" s="469"/>
      <c r="R60" s="470"/>
      <c r="S60" s="471">
        <f>S58-S59</f>
        <v>2819.2045697999993</v>
      </c>
      <c r="T60" s="472"/>
      <c r="U60" s="473">
        <f t="shared" si="74"/>
        <v>42.199249999999665</v>
      </c>
      <c r="V60" s="474">
        <f t="shared" si="75"/>
        <v>1.5195955765413825E-2</v>
      </c>
      <c r="W60" s="52"/>
      <c r="X60" s="469"/>
      <c r="Y60" s="470"/>
      <c r="Z60" s="471">
        <f>Z58-Z59</f>
        <v>2868.6443697999998</v>
      </c>
      <c r="AA60" s="472"/>
      <c r="AB60" s="473">
        <f t="shared" si="76"/>
        <v>49.43980000000056</v>
      </c>
      <c r="AC60" s="474">
        <f t="shared" si="77"/>
        <v>1.7536790529361242E-2</v>
      </c>
      <c r="AD60" s="52"/>
      <c r="AE60" s="469"/>
      <c r="AF60" s="470"/>
      <c r="AG60" s="471">
        <f>AG58-AG59</f>
        <v>2906.8071697999994</v>
      </c>
      <c r="AH60" s="472"/>
      <c r="AI60" s="473">
        <f t="shared" si="78"/>
        <v>38.162799999999606</v>
      </c>
      <c r="AJ60" s="474">
        <f t="shared" si="79"/>
        <v>1.3303426664442303E-2</v>
      </c>
      <c r="AK60" s="52"/>
      <c r="AL60" s="469"/>
      <c r="AM60" s="470"/>
      <c r="AN60" s="471">
        <f>AN58-AN59</f>
        <v>2943.5379697999997</v>
      </c>
      <c r="AO60" s="472"/>
      <c r="AP60" s="473">
        <f t="shared" si="80"/>
        <v>36.730800000000272</v>
      </c>
      <c r="AQ60" s="474">
        <f t="shared" si="81"/>
        <v>1.2636132310946345E-2</v>
      </c>
      <c r="AR60" s="468"/>
    </row>
    <row r="61" spans="1:44" ht="12" customHeight="1">
      <c r="A61" s="52"/>
      <c r="B61" s="434"/>
      <c r="C61" s="435"/>
      <c r="D61" s="435"/>
      <c r="E61" s="435"/>
      <c r="F61" s="475"/>
      <c r="G61" s="440"/>
      <c r="H61" s="497"/>
      <c r="I61" s="476"/>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52"/>
      <c r="AL61" s="475"/>
      <c r="AM61" s="476"/>
      <c r="AN61" s="441"/>
      <c r="AO61" s="440"/>
      <c r="AP61" s="477"/>
      <c r="AQ61" s="442"/>
      <c r="AR61" s="443"/>
    </row>
    <row r="62" spans="1:44" ht="12" customHeight="1">
      <c r="A62" s="52"/>
      <c r="B62" s="52"/>
      <c r="C62" s="52"/>
      <c r="D62" s="52"/>
      <c r="E62" s="52"/>
      <c r="F62" s="52"/>
      <c r="G62" s="52"/>
      <c r="H62" s="52"/>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c r="AR62" s="52"/>
    </row>
    <row r="63" spans="1:44"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c r="AR63" s="52"/>
    </row>
    <row r="64" spans="1:44"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12" customHeight="1">
      <c r="A65" s="52" t="s">
        <v>327</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52" t="s">
        <v>328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t="s">
        <v>329</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330</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331</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t="s">
        <v>332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480"/>
      <c r="B73" s="52" t="s">
        <v>333</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t="s">
        <v>334</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700-000000000000}">
      <formula1>"TOU,non-TOU"</formula1>
    </dataValidation>
    <dataValidation type="list" allowBlank="1" showErrorMessage="1" sqref="E15:E28 E30:E36 E38:E39 E41:E49 E55 E61" xr:uid="{00000000-0002-0000-1700-000001000000}">
      <formula1>#REF!</formula1>
    </dataValidation>
    <dataValidation type="list" allowBlank="1" showInputMessage="1" showErrorMessage="1" prompt="Select Charge Unit - monthly, per kWh, per kW" sqref="D15:D28 D30:D36 D38:D39 D41:D49 D55 D61" xr:uid="{00000000-0002-0000-1700-000002000000}">
      <formula1>"Monthly,per kWh,per kW"</formula1>
    </dataValidation>
  </dataValidations>
  <pageMargins left="0.74803149606299213" right="0.74803149606299213" top="0.98425196850393704" bottom="0.98425196850393704"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T1000"/>
  <sheetViews>
    <sheetView showGridLines="0" workbookViewId="0">
      <pane ySplit="14" topLeftCell="A24" activePane="bottomLeft" state="frozen"/>
      <selection pane="bottomLeft" activeCell="O60" sqref="O60"/>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9.42578125" customWidth="1"/>
    <col min="7" max="7" width="8.85546875" customWidth="1"/>
    <col min="8" max="8" width="11" customWidth="1"/>
    <col min="9" max="9" width="0.42578125" customWidth="1"/>
    <col min="10" max="10" width="10.710937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9.28515625" customWidth="1"/>
    <col min="18" max="18" width="8.85546875" customWidth="1"/>
    <col min="19" max="19" width="11.28515625" customWidth="1"/>
    <col min="20" max="20" width="0.42578125" customWidth="1"/>
    <col min="21" max="21" width="9.42578125" customWidth="1"/>
    <col min="22" max="22" width="10" customWidth="1"/>
    <col min="23" max="23" width="2" customWidth="1"/>
    <col min="24" max="24" width="9.28515625" customWidth="1"/>
    <col min="25" max="25" width="8.85546875" customWidth="1"/>
    <col min="26" max="26" width="11" customWidth="1"/>
    <col min="27" max="27" width="0.42578125" customWidth="1"/>
    <col min="28" max="28" width="9.42578125" customWidth="1"/>
    <col min="29" max="29" width="10" customWidth="1"/>
    <col min="30" max="30" width="2.1406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2.42578125" customWidth="1"/>
    <col min="38" max="38" width="10.42578125" customWidth="1"/>
    <col min="39" max="39" width="8.85546875" customWidth="1"/>
    <col min="40" max="40" width="11" customWidth="1"/>
    <col min="41" max="41" width="1.28515625" customWidth="1"/>
    <col min="42" max="42" width="9.42578125" customWidth="1"/>
    <col min="43" max="43" width="10" customWidth="1"/>
    <col min="44" max="44" width="1.28515625" customWidth="1"/>
    <col min="45" max="46" width="12.42578125" customWidth="1"/>
  </cols>
  <sheetData>
    <row r="1" spans="1:46" ht="12" customHeight="1">
      <c r="A1" s="52"/>
      <c r="B1" s="52"/>
      <c r="C1" s="52"/>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6" ht="12" customHeight="1">
      <c r="A2" s="52"/>
      <c r="B2" s="52"/>
      <c r="C2" s="379"/>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6"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6"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6"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6" ht="12"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row>
    <row r="7" spans="1:46"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6" ht="12"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6" ht="12" customHeight="1">
      <c r="A9" s="52"/>
      <c r="B9" s="383"/>
      <c r="C9" s="52"/>
      <c r="D9" s="306" t="s">
        <v>297</v>
      </c>
      <c r="E9" s="306"/>
      <c r="F9" s="386">
        <f>51000*1</f>
        <v>51000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6" ht="12" customHeight="1">
      <c r="A10" s="52"/>
      <c r="B10" s="52"/>
      <c r="C10" s="52"/>
      <c r="D10" s="52"/>
      <c r="E10" s="52"/>
      <c r="F10" s="386">
        <v>100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6" ht="12" customHeight="1">
      <c r="A11" s="52"/>
      <c r="B11" s="52"/>
      <c r="C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6"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6" ht="12"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6"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6" ht="12" customHeight="1">
      <c r="A15" s="52"/>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46" si="13">Z15-S15</f>
        <v>0</v>
      </c>
      <c r="AC15" s="402">
        <f t="shared" ref="AC15:AC46"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row>
    <row r="16" spans="1:46" ht="12" customHeight="1">
      <c r="A16" s="52"/>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 customHeight="1">
      <c r="A17" s="52"/>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100</v>
      </c>
      <c r="H17" s="400">
        <f t="shared" si="2"/>
        <v>0</v>
      </c>
      <c r="I17" s="128"/>
      <c r="J17" s="397">
        <f>IFERROR(VLOOKUP($C17,'Proposed Rates'!$B:$J,J$11,FALSE),0)</f>
        <v>0</v>
      </c>
      <c r="K17" s="415">
        <f t="shared" si="3"/>
        <v>100</v>
      </c>
      <c r="L17" s="400">
        <f t="shared" si="4"/>
        <v>0</v>
      </c>
      <c r="M17" s="128"/>
      <c r="N17" s="401">
        <f t="shared" si="5"/>
        <v>0</v>
      </c>
      <c r="O17" s="402" t="str">
        <f t="shared" si="6"/>
        <v/>
      </c>
      <c r="P17" s="52"/>
      <c r="Q17" s="397">
        <f>IFERROR(VLOOKUP($C17,'Proposed Rates'!$B:$J,Q$11,FALSE),0)</f>
        <v>0</v>
      </c>
      <c r="R17" s="415">
        <f t="shared" si="7"/>
        <v>100</v>
      </c>
      <c r="S17" s="400">
        <f t="shared" si="8"/>
        <v>0</v>
      </c>
      <c r="T17" s="128"/>
      <c r="U17" s="401">
        <f t="shared" si="9"/>
        <v>0</v>
      </c>
      <c r="V17" s="402" t="str">
        <f t="shared" si="10"/>
        <v/>
      </c>
      <c r="W17" s="52"/>
      <c r="X17" s="397">
        <f>IFERROR(VLOOKUP($C17,'Proposed Rates'!$B:$J,X$11,FALSE),0)</f>
        <v>0</v>
      </c>
      <c r="Y17" s="415">
        <f t="shared" si="11"/>
        <v>100</v>
      </c>
      <c r="Z17" s="400">
        <f t="shared" si="12"/>
        <v>0</v>
      </c>
      <c r="AA17" s="128"/>
      <c r="AB17" s="401">
        <f t="shared" si="13"/>
        <v>0</v>
      </c>
      <c r="AC17" s="402" t="str">
        <f t="shared" si="14"/>
        <v/>
      </c>
      <c r="AD17" s="52"/>
      <c r="AE17" s="397">
        <f>IFERROR(VLOOKUP($C17,'Proposed Rates'!$B:$J,AE$11,FALSE),0)</f>
        <v>0</v>
      </c>
      <c r="AF17" s="415">
        <f t="shared" si="15"/>
        <v>100</v>
      </c>
      <c r="AG17" s="400">
        <f t="shared" si="16"/>
        <v>0</v>
      </c>
      <c r="AH17" s="128"/>
      <c r="AI17" s="401">
        <f t="shared" si="17"/>
        <v>0</v>
      </c>
      <c r="AJ17" s="402" t="str">
        <f t="shared" si="18"/>
        <v/>
      </c>
      <c r="AK17" s="52"/>
      <c r="AL17" s="397">
        <f>IFERROR(VLOOKUP($C17,'Proposed Rates'!$B:$J,AL$11,FALSE),0)</f>
        <v>0</v>
      </c>
      <c r="AM17" s="415">
        <f t="shared" si="19"/>
        <v>100</v>
      </c>
      <c r="AN17" s="400">
        <f t="shared" si="20"/>
        <v>0</v>
      </c>
      <c r="AO17" s="128"/>
      <c r="AP17" s="401">
        <f t="shared" si="21"/>
        <v>0</v>
      </c>
      <c r="AQ17" s="402" t="str">
        <f t="shared" si="22"/>
        <v/>
      </c>
      <c r="AR17" s="403"/>
    </row>
    <row r="18" spans="1:44" ht="12" customHeight="1">
      <c r="A18" s="52"/>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100</v>
      </c>
      <c r="H18" s="400">
        <f t="shared" si="2"/>
        <v>0</v>
      </c>
      <c r="I18" s="128"/>
      <c r="J18" s="397">
        <f>IFERROR(VLOOKUP($C18,'Proposed Rates'!$B:$J,J$11,FALSE),0)</f>
        <v>0</v>
      </c>
      <c r="K18" s="415">
        <f t="shared" si="3"/>
        <v>100</v>
      </c>
      <c r="L18" s="400">
        <f t="shared" si="4"/>
        <v>0</v>
      </c>
      <c r="M18" s="128"/>
      <c r="N18" s="401">
        <f t="shared" si="5"/>
        <v>0</v>
      </c>
      <c r="O18" s="402" t="str">
        <f t="shared" si="6"/>
        <v/>
      </c>
      <c r="P18" s="52"/>
      <c r="Q18" s="397">
        <f>IFERROR(VLOOKUP($C18,'Proposed Rates'!$B:$J,Q$11,FALSE),0)</f>
        <v>0</v>
      </c>
      <c r="R18" s="415">
        <f t="shared" si="7"/>
        <v>100</v>
      </c>
      <c r="S18" s="400">
        <f t="shared" si="8"/>
        <v>0</v>
      </c>
      <c r="T18" s="128"/>
      <c r="U18" s="401">
        <f t="shared" si="9"/>
        <v>0</v>
      </c>
      <c r="V18" s="402" t="str">
        <f t="shared" si="10"/>
        <v/>
      </c>
      <c r="W18" s="52"/>
      <c r="X18" s="397">
        <f>IFERROR(VLOOKUP($C18,'Proposed Rates'!$B:$J,X$11,FALSE),0)</f>
        <v>0</v>
      </c>
      <c r="Y18" s="415">
        <f t="shared" si="11"/>
        <v>100</v>
      </c>
      <c r="Z18" s="400">
        <f t="shared" si="12"/>
        <v>0</v>
      </c>
      <c r="AA18" s="128"/>
      <c r="AB18" s="401">
        <f t="shared" si="13"/>
        <v>0</v>
      </c>
      <c r="AC18" s="402" t="str">
        <f t="shared" si="14"/>
        <v/>
      </c>
      <c r="AD18" s="52"/>
      <c r="AE18" s="397">
        <f>IFERROR(VLOOKUP($C18,'Proposed Rates'!$B:$J,AE$11,FALSE),0)</f>
        <v>0</v>
      </c>
      <c r="AF18" s="415">
        <f t="shared" si="15"/>
        <v>100</v>
      </c>
      <c r="AG18" s="400">
        <f t="shared" si="16"/>
        <v>0</v>
      </c>
      <c r="AH18" s="128"/>
      <c r="AI18" s="401">
        <f t="shared" si="17"/>
        <v>0</v>
      </c>
      <c r="AJ18" s="402" t="str">
        <f t="shared" si="18"/>
        <v/>
      </c>
      <c r="AK18" s="52"/>
      <c r="AL18" s="397">
        <f>IFERROR(VLOOKUP($C18,'Proposed Rates'!$B:$J,AL$11,FALSE),0)</f>
        <v>0</v>
      </c>
      <c r="AM18" s="415">
        <f t="shared" si="19"/>
        <v>100</v>
      </c>
      <c r="AN18" s="400">
        <f t="shared" si="20"/>
        <v>0</v>
      </c>
      <c r="AO18" s="128"/>
      <c r="AP18" s="401">
        <f t="shared" si="21"/>
        <v>0</v>
      </c>
      <c r="AQ18" s="402" t="str">
        <f t="shared" si="22"/>
        <v/>
      </c>
      <c r="AR18" s="403"/>
    </row>
    <row r="19" spans="1:44" ht="12" customHeight="1">
      <c r="A19" s="52"/>
      <c r="B19" s="320" t="s">
        <v>59</v>
      </c>
      <c r="C19" s="395" t="str">
        <f t="shared" si="0"/>
        <v>General Service 50 to 1,499 KW.Distribution Volumetric Rate</v>
      </c>
      <c r="D19" s="396" t="s">
        <v>377</v>
      </c>
      <c r="E19" s="320"/>
      <c r="F19" s="414">
        <f>IFERROR(VLOOKUP($C19,'Proposed Rates'!$B:$J,F$11,FALSE),0)</f>
        <v>6.5552999999999999</v>
      </c>
      <c r="G19" s="415">
        <f t="shared" si="1"/>
        <v>100</v>
      </c>
      <c r="H19" s="400">
        <f t="shared" si="2"/>
        <v>655.53</v>
      </c>
      <c r="I19" s="128"/>
      <c r="J19" s="414">
        <f>IFERROR(VLOOKUP($C19,'Proposed Rates'!$B:$J,J$11,FALSE),0)</f>
        <v>8.0635999999999992</v>
      </c>
      <c r="K19" s="415">
        <f t="shared" si="3"/>
        <v>100</v>
      </c>
      <c r="L19" s="400">
        <f t="shared" si="4"/>
        <v>806.3599999999999</v>
      </c>
      <c r="M19" s="128"/>
      <c r="N19" s="401">
        <f t="shared" si="5"/>
        <v>150.82999999999993</v>
      </c>
      <c r="O19" s="402">
        <f t="shared" si="6"/>
        <v>0.23008863057373413</v>
      </c>
      <c r="P19" s="52"/>
      <c r="Q19" s="414">
        <f>IFERROR(VLOOKUP($C19,'Proposed Rates'!$B:$J,Q$11,FALSE),0)</f>
        <v>8.7552000000000003</v>
      </c>
      <c r="R19" s="415">
        <f t="shared" si="7"/>
        <v>100</v>
      </c>
      <c r="S19" s="400">
        <f t="shared" si="8"/>
        <v>875.52</v>
      </c>
      <c r="T19" s="128"/>
      <c r="U19" s="401">
        <f t="shared" si="9"/>
        <v>69.160000000000082</v>
      </c>
      <c r="V19" s="402">
        <f t="shared" si="10"/>
        <v>8.576814326107457E-2</v>
      </c>
      <c r="W19" s="52"/>
      <c r="X19" s="414">
        <f>IFERROR(VLOOKUP($C19,'Proposed Rates'!$B:$J,X$11,FALSE),0)</f>
        <v>9.6349999999999998</v>
      </c>
      <c r="Y19" s="415">
        <f t="shared" si="11"/>
        <v>100</v>
      </c>
      <c r="Z19" s="400">
        <f t="shared" si="12"/>
        <v>963.5</v>
      </c>
      <c r="AA19" s="128"/>
      <c r="AB19" s="401">
        <f t="shared" si="13"/>
        <v>87.980000000000018</v>
      </c>
      <c r="AC19" s="402">
        <f t="shared" si="14"/>
        <v>0.10048885233918131</v>
      </c>
      <c r="AD19" s="52"/>
      <c r="AE19" s="414">
        <f>IFERROR(VLOOKUP($C19,'Proposed Rates'!$B:$J,AE$11,FALSE),0)</f>
        <v>10.3217</v>
      </c>
      <c r="AF19" s="415">
        <f t="shared" si="15"/>
        <v>100</v>
      </c>
      <c r="AG19" s="400">
        <f t="shared" si="16"/>
        <v>1032.17</v>
      </c>
      <c r="AH19" s="128"/>
      <c r="AI19" s="401">
        <f t="shared" si="17"/>
        <v>68.670000000000073</v>
      </c>
      <c r="AJ19" s="402">
        <f t="shared" si="18"/>
        <v>7.1271406331084669E-2</v>
      </c>
      <c r="AK19" s="52"/>
      <c r="AL19" s="414">
        <f>IFERROR(VLOOKUP($C19,'Proposed Rates'!$B:$J,AL$11,FALSE),0)</f>
        <v>10.9739</v>
      </c>
      <c r="AM19" s="415">
        <f t="shared" si="19"/>
        <v>100</v>
      </c>
      <c r="AN19" s="400">
        <f t="shared" si="20"/>
        <v>1097.3900000000001</v>
      </c>
      <c r="AO19" s="128"/>
      <c r="AP19" s="401">
        <f t="shared" si="21"/>
        <v>65.220000000000027</v>
      </c>
      <c r="AQ19" s="402">
        <f t="shared" si="22"/>
        <v>6.3187265663601944E-2</v>
      </c>
      <c r="AR19" s="403"/>
    </row>
    <row r="20" spans="1:44" ht="12" customHeight="1">
      <c r="A20" s="52"/>
      <c r="B20" s="320" t="s">
        <v>309</v>
      </c>
      <c r="C20" s="395" t="str">
        <f t="shared" si="0"/>
        <v>General Service 50 to 1,499 KW.Smart Meter Disposition Rider</v>
      </c>
      <c r="D20" s="396" t="s">
        <v>308</v>
      </c>
      <c r="E20" s="320"/>
      <c r="F20" s="397">
        <f>IFERROR(VLOOKUP($C20,'Proposed Rates'!$B:$J,F$11,FALSE),0)</f>
        <v>0</v>
      </c>
      <c r="G20" s="415">
        <f t="shared" si="1"/>
        <v>51000</v>
      </c>
      <c r="H20" s="400">
        <f t="shared" si="2"/>
        <v>0</v>
      </c>
      <c r="I20" s="128"/>
      <c r="J20" s="397">
        <f>IFERROR(VLOOKUP($C20,'Proposed Rates'!$B:$J,J$11,FALSE),0)</f>
        <v>0</v>
      </c>
      <c r="K20" s="415">
        <f t="shared" si="3"/>
        <v>51000</v>
      </c>
      <c r="L20" s="400">
        <f t="shared" si="4"/>
        <v>0</v>
      </c>
      <c r="M20" s="128"/>
      <c r="N20" s="401">
        <f t="shared" si="5"/>
        <v>0</v>
      </c>
      <c r="O20" s="402" t="str">
        <f t="shared" si="6"/>
        <v/>
      </c>
      <c r="P20" s="52"/>
      <c r="Q20" s="397">
        <f>IFERROR(VLOOKUP($C20,'Proposed Rates'!$B:$J,Q$11,FALSE),0)</f>
        <v>0</v>
      </c>
      <c r="R20" s="415">
        <f t="shared" si="7"/>
        <v>51000</v>
      </c>
      <c r="S20" s="400">
        <f t="shared" si="8"/>
        <v>0</v>
      </c>
      <c r="T20" s="128"/>
      <c r="U20" s="401">
        <f t="shared" si="9"/>
        <v>0</v>
      </c>
      <c r="V20" s="402" t="str">
        <f t="shared" si="10"/>
        <v/>
      </c>
      <c r="W20" s="52"/>
      <c r="X20" s="397">
        <f>IFERROR(VLOOKUP($C20,'Proposed Rates'!$B:$J,X$11,FALSE),0)</f>
        <v>0</v>
      </c>
      <c r="Y20" s="415">
        <f t="shared" si="11"/>
        <v>51000</v>
      </c>
      <c r="Z20" s="400">
        <f t="shared" si="12"/>
        <v>0</v>
      </c>
      <c r="AA20" s="128"/>
      <c r="AB20" s="401">
        <f t="shared" si="13"/>
        <v>0</v>
      </c>
      <c r="AC20" s="402" t="str">
        <f t="shared" si="14"/>
        <v/>
      </c>
      <c r="AD20" s="52"/>
      <c r="AE20" s="397">
        <f>IFERROR(VLOOKUP($C20,'Proposed Rates'!$B:$J,AE$11,FALSE),0)</f>
        <v>0</v>
      </c>
      <c r="AF20" s="415">
        <f t="shared" si="15"/>
        <v>51000</v>
      </c>
      <c r="AG20" s="400">
        <f t="shared" si="16"/>
        <v>0</v>
      </c>
      <c r="AH20" s="128"/>
      <c r="AI20" s="401">
        <f t="shared" si="17"/>
        <v>0</v>
      </c>
      <c r="AJ20" s="402" t="str">
        <f t="shared" si="18"/>
        <v/>
      </c>
      <c r="AK20" s="52"/>
      <c r="AL20" s="397">
        <f>IFERROR(VLOOKUP($C20,'Proposed Rates'!$B:$J,AL$11,FALSE),0)</f>
        <v>0</v>
      </c>
      <c r="AM20" s="415">
        <f t="shared" si="19"/>
        <v>51000</v>
      </c>
      <c r="AN20" s="400">
        <f t="shared" si="20"/>
        <v>0</v>
      </c>
      <c r="AO20" s="128"/>
      <c r="AP20" s="401">
        <f t="shared" si="21"/>
        <v>0</v>
      </c>
      <c r="AQ20" s="402" t="str">
        <f t="shared" si="22"/>
        <v/>
      </c>
      <c r="AR20" s="403"/>
    </row>
    <row r="21" spans="1:44" ht="12" customHeight="1">
      <c r="A21" s="52"/>
      <c r="B21" s="320" t="s">
        <v>241</v>
      </c>
      <c r="C21" s="395" t="str">
        <f t="shared" si="0"/>
        <v>General Service 50 to 1,499 KW.LRAM Rate Rider</v>
      </c>
      <c r="D21" s="396" t="s">
        <v>377</v>
      </c>
      <c r="E21" s="320"/>
      <c r="F21" s="414">
        <f>'Proposed Rates'!E79+'Proposed Rates'!E92</f>
        <v>-0.2477</v>
      </c>
      <c r="G21" s="415">
        <f t="shared" si="1"/>
        <v>100</v>
      </c>
      <c r="H21" s="400">
        <f t="shared" si="2"/>
        <v>-24.77</v>
      </c>
      <c r="I21" s="128"/>
      <c r="J21" s="414">
        <f>'Proposed Rates'!F79+'Proposed Rates'!F92</f>
        <v>0</v>
      </c>
      <c r="K21" s="415">
        <f t="shared" si="3"/>
        <v>100</v>
      </c>
      <c r="L21" s="400">
        <f t="shared" si="4"/>
        <v>0</v>
      </c>
      <c r="M21" s="128"/>
      <c r="N21" s="401">
        <f t="shared" si="5"/>
        <v>24.77</v>
      </c>
      <c r="O21" s="402">
        <f t="shared" si="6"/>
        <v>-1</v>
      </c>
      <c r="P21" s="52"/>
      <c r="Q21" s="414">
        <f>'Proposed Rates'!G79+'Proposed Rates'!G92</f>
        <v>2.9499999999999998E-2</v>
      </c>
      <c r="R21" s="415">
        <f t="shared" si="7"/>
        <v>100</v>
      </c>
      <c r="S21" s="400">
        <f t="shared" si="8"/>
        <v>2.9499999999999997</v>
      </c>
      <c r="T21" s="128"/>
      <c r="U21" s="401">
        <f t="shared" si="9"/>
        <v>2.9499999999999997</v>
      </c>
      <c r="V21" s="402" t="str">
        <f t="shared" si="10"/>
        <v/>
      </c>
      <c r="W21" s="52"/>
      <c r="X21" s="414">
        <f>IFERROR(VLOOKUP($C21,'Proposed Rates'!$B:$J,X$11,FALSE),0)</f>
        <v>0</v>
      </c>
      <c r="Y21" s="415">
        <f t="shared" si="11"/>
        <v>100</v>
      </c>
      <c r="Z21" s="400">
        <f t="shared" si="12"/>
        <v>0</v>
      </c>
      <c r="AA21" s="128"/>
      <c r="AB21" s="401">
        <f t="shared" si="13"/>
        <v>-2.9499999999999997</v>
      </c>
      <c r="AC21" s="402">
        <f t="shared" si="14"/>
        <v>-1</v>
      </c>
      <c r="AD21" s="52"/>
      <c r="AE21" s="414">
        <f>IFERROR(VLOOKUP($C21,'Proposed Rates'!$B:$J,AE$11,FALSE),0)</f>
        <v>0</v>
      </c>
      <c r="AF21" s="415">
        <f t="shared" si="15"/>
        <v>100</v>
      </c>
      <c r="AG21" s="400">
        <f t="shared" si="16"/>
        <v>0</v>
      </c>
      <c r="AH21" s="128"/>
      <c r="AI21" s="401">
        <f t="shared" si="17"/>
        <v>0</v>
      </c>
      <c r="AJ21" s="402" t="str">
        <f t="shared" si="18"/>
        <v/>
      </c>
      <c r="AK21" s="52"/>
      <c r="AL21" s="414">
        <f>IFERROR(VLOOKUP($C21,'Proposed Rates'!$B:$J,AL$11,FALSE),0)</f>
        <v>0</v>
      </c>
      <c r="AM21" s="415">
        <f t="shared" si="19"/>
        <v>100</v>
      </c>
      <c r="AN21" s="400">
        <f t="shared" si="20"/>
        <v>0</v>
      </c>
      <c r="AO21" s="128"/>
      <c r="AP21" s="401">
        <f t="shared" si="21"/>
        <v>0</v>
      </c>
      <c r="AQ21" s="402" t="str">
        <f t="shared" si="22"/>
        <v/>
      </c>
      <c r="AR21" s="403"/>
    </row>
    <row r="22" spans="1:44" ht="12" customHeight="1">
      <c r="A22" s="52"/>
      <c r="B22" s="404" t="s">
        <v>237</v>
      </c>
      <c r="C22" s="395" t="str">
        <f t="shared" si="0"/>
        <v>General Service 50 to 1,499 KW.Deferral/Variance Account Disposition Rate Rider Group 2</v>
      </c>
      <c r="D22" s="396" t="s">
        <v>377</v>
      </c>
      <c r="E22" s="320"/>
      <c r="F22" s="397">
        <f>IFERROR(VLOOKUP($C22,'Proposed Rates'!$B:$J,F$11,FALSE),0)</f>
        <v>0</v>
      </c>
      <c r="G22" s="415">
        <f t="shared" si="1"/>
        <v>100</v>
      </c>
      <c r="H22" s="400">
        <f t="shared" si="2"/>
        <v>0</v>
      </c>
      <c r="I22" s="128"/>
      <c r="J22" s="397">
        <f>IFERROR(VLOOKUP($C22,'Proposed Rates'!$B:$J,J$11,FALSE),0)</f>
        <v>-0.1202</v>
      </c>
      <c r="K22" s="415">
        <f t="shared" si="3"/>
        <v>100</v>
      </c>
      <c r="L22" s="400">
        <f t="shared" si="4"/>
        <v>-12.02</v>
      </c>
      <c r="M22" s="128"/>
      <c r="N22" s="401">
        <f t="shared" si="5"/>
        <v>-12.02</v>
      </c>
      <c r="O22" s="402" t="str">
        <f t="shared" si="6"/>
        <v/>
      </c>
      <c r="P22" s="52"/>
      <c r="Q22" s="397">
        <f>IFERROR(VLOOKUP($C22,'Proposed Rates'!$B:$J,Q$11,FALSE),0)</f>
        <v>0</v>
      </c>
      <c r="R22" s="415">
        <f t="shared" si="7"/>
        <v>100</v>
      </c>
      <c r="S22" s="400">
        <f t="shared" si="8"/>
        <v>0</v>
      </c>
      <c r="T22" s="128"/>
      <c r="U22" s="401">
        <f t="shared" si="9"/>
        <v>12.02</v>
      </c>
      <c r="V22" s="402">
        <f t="shared" si="10"/>
        <v>-1</v>
      </c>
      <c r="W22" s="52"/>
      <c r="X22" s="397">
        <f>IFERROR(VLOOKUP($C22,'Proposed Rates'!$B:$J,X$11,FALSE),0)</f>
        <v>0</v>
      </c>
      <c r="Y22" s="415">
        <f t="shared" si="11"/>
        <v>100</v>
      </c>
      <c r="Z22" s="400">
        <f t="shared" si="12"/>
        <v>0</v>
      </c>
      <c r="AA22" s="128"/>
      <c r="AB22" s="401">
        <f t="shared" si="13"/>
        <v>0</v>
      </c>
      <c r="AC22" s="402" t="str">
        <f t="shared" si="14"/>
        <v/>
      </c>
      <c r="AD22" s="52"/>
      <c r="AE22" s="397">
        <f>IFERROR(VLOOKUP($C22,'Proposed Rates'!$B:$J,AE$11,FALSE),0)</f>
        <v>0</v>
      </c>
      <c r="AF22" s="415">
        <f t="shared" si="15"/>
        <v>100</v>
      </c>
      <c r="AG22" s="400">
        <f t="shared" si="16"/>
        <v>0</v>
      </c>
      <c r="AH22" s="128"/>
      <c r="AI22" s="401">
        <f t="shared" si="17"/>
        <v>0</v>
      </c>
      <c r="AJ22" s="402" t="str">
        <f t="shared" si="18"/>
        <v/>
      </c>
      <c r="AK22" s="52"/>
      <c r="AL22" s="397">
        <f>IFERROR(VLOOKUP($C22,'Proposed Rates'!$B:$J,AL$11,FALSE),0)</f>
        <v>0</v>
      </c>
      <c r="AM22" s="415">
        <f t="shared" si="19"/>
        <v>100</v>
      </c>
      <c r="AN22" s="400">
        <f t="shared" si="20"/>
        <v>0</v>
      </c>
      <c r="AO22" s="128"/>
      <c r="AP22" s="401">
        <f t="shared" si="21"/>
        <v>0</v>
      </c>
      <c r="AQ22" s="402" t="str">
        <f t="shared" si="22"/>
        <v/>
      </c>
      <c r="AR22" s="403"/>
    </row>
    <row r="23" spans="1:44" ht="12" customHeight="1">
      <c r="A23" s="52"/>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 customHeight="1">
      <c r="A24" s="52"/>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 customHeight="1">
      <c r="A25" s="52"/>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 customHeight="1">
      <c r="A26" s="52"/>
      <c r="B26" s="40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 customHeight="1">
      <c r="A27" s="52"/>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 customHeight="1">
      <c r="A28" s="52"/>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 customHeight="1">
      <c r="A29" s="306"/>
      <c r="B29" s="405" t="s">
        <v>310</v>
      </c>
      <c r="C29" s="406"/>
      <c r="D29" s="406"/>
      <c r="E29" s="406"/>
      <c r="F29" s="407"/>
      <c r="G29" s="500"/>
      <c r="H29" s="409">
        <f>SUM(H15:H28)</f>
        <v>830.76</v>
      </c>
      <c r="I29" s="410"/>
      <c r="J29" s="407"/>
      <c r="K29" s="500"/>
      <c r="L29" s="409">
        <f>SUM(L15:L28)</f>
        <v>994.33999999999992</v>
      </c>
      <c r="M29" s="410"/>
      <c r="N29" s="411">
        <f t="shared" si="5"/>
        <v>163.57999999999993</v>
      </c>
      <c r="O29" s="412">
        <f t="shared" si="6"/>
        <v>0.19690403967451481</v>
      </c>
      <c r="P29" s="306"/>
      <c r="Q29" s="407"/>
      <c r="R29" s="500"/>
      <c r="S29" s="409">
        <f>SUM(S15:S28)</f>
        <v>1078.47</v>
      </c>
      <c r="T29" s="410"/>
      <c r="U29" s="411">
        <f t="shared" si="9"/>
        <v>84.130000000000109</v>
      </c>
      <c r="V29" s="412">
        <f t="shared" si="10"/>
        <v>8.4608886296437952E-2</v>
      </c>
      <c r="W29" s="306"/>
      <c r="X29" s="407"/>
      <c r="Y29" s="500"/>
      <c r="Z29" s="409">
        <f>SUM(Z15:Z28)</f>
        <v>1163.5</v>
      </c>
      <c r="AA29" s="410"/>
      <c r="AB29" s="411">
        <f t="shared" si="13"/>
        <v>85.029999999999973</v>
      </c>
      <c r="AC29" s="412">
        <f t="shared" si="14"/>
        <v>7.8843175980787564E-2</v>
      </c>
      <c r="AD29" s="306"/>
      <c r="AE29" s="407"/>
      <c r="AF29" s="500"/>
      <c r="AG29" s="409">
        <f>SUM(AG15:AG28)</f>
        <v>1232.17</v>
      </c>
      <c r="AH29" s="410"/>
      <c r="AI29" s="411">
        <f t="shared" si="17"/>
        <v>68.670000000000073</v>
      </c>
      <c r="AJ29" s="412">
        <f t="shared" si="18"/>
        <v>5.9020197679415617E-2</v>
      </c>
      <c r="AK29" s="306"/>
      <c r="AL29" s="407"/>
      <c r="AM29" s="500"/>
      <c r="AN29" s="409">
        <f>SUM(AN15:AN28)</f>
        <v>1297.3900000000001</v>
      </c>
      <c r="AO29" s="410"/>
      <c r="AP29" s="411">
        <f t="shared" si="21"/>
        <v>65.220000000000027</v>
      </c>
      <c r="AQ29" s="412">
        <f t="shared" si="22"/>
        <v>5.2931007896637655E-2</v>
      </c>
      <c r="AR29" s="413"/>
    </row>
    <row r="30" spans="1:44" ht="12" customHeight="1">
      <c r="A30" s="52"/>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100</v>
      </c>
      <c r="H30" s="400">
        <f t="shared" ref="H30:H38" si="25">G30*F30</f>
        <v>35.31</v>
      </c>
      <c r="I30" s="128"/>
      <c r="J30" s="414">
        <f>IFERROR(VLOOKUP($C30,'Proposed Rates'!$B:$J,J$11,FALSE),0)</f>
        <v>7.1999999999999998E-3</v>
      </c>
      <c r="K30" s="415">
        <f t="shared" ref="K30:K36" si="26">IF($D30="Monthly",1,IF($D30="per KW",$F$10,IF($D30="per kWh",$F$9,0)))</f>
        <v>100</v>
      </c>
      <c r="L30" s="400">
        <f t="shared" ref="L30:L38" si="27">K30*J30</f>
        <v>0.72</v>
      </c>
      <c r="M30" s="128"/>
      <c r="N30" s="401">
        <f t="shared" si="5"/>
        <v>-34.590000000000003</v>
      </c>
      <c r="O30" s="402">
        <f t="shared" si="6"/>
        <v>-0.97960917587085816</v>
      </c>
      <c r="P30" s="52"/>
      <c r="Q30" s="414">
        <f>IFERROR(VLOOKUP($C30,'Proposed Rates'!$B:$J,Q$11,FALSE),0)</f>
        <v>0</v>
      </c>
      <c r="R30" s="415">
        <f t="shared" ref="R30:R36" si="28">IF($D30="Monthly",1,IF($D30="per KW",$F$10,IF($D30="per kWh",$F$9,0)))</f>
        <v>100</v>
      </c>
      <c r="S30" s="400">
        <f t="shared" ref="S30:S38" si="29">R30*Q30</f>
        <v>0</v>
      </c>
      <c r="T30" s="128"/>
      <c r="U30" s="401">
        <f t="shared" si="9"/>
        <v>-0.72</v>
      </c>
      <c r="V30" s="402">
        <f t="shared" si="10"/>
        <v>-1</v>
      </c>
      <c r="W30" s="52"/>
      <c r="X30" s="414">
        <f>IFERROR(VLOOKUP($C30,'Proposed Rates'!$B:$J,X$11,FALSE),0)</f>
        <v>0</v>
      </c>
      <c r="Y30" s="415">
        <f t="shared" ref="Y30:Y36" si="30">IF($D30="Monthly",1,IF($D30="per KW",$F$10,IF($D30="per kWh",$F$9,0)))</f>
        <v>100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100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100</v>
      </c>
      <c r="AN30" s="400">
        <f t="shared" ref="AN30:AN38" si="35">AM30*AL30</f>
        <v>0</v>
      </c>
      <c r="AO30" s="128"/>
      <c r="AP30" s="401">
        <f t="shared" si="21"/>
        <v>0</v>
      </c>
      <c r="AQ30" s="402" t="str">
        <f t="shared" si="22"/>
        <v/>
      </c>
      <c r="AR30" s="403"/>
    </row>
    <row r="31" spans="1:44" ht="12" customHeight="1">
      <c r="A31" s="52"/>
      <c r="B31" s="404" t="s">
        <v>236</v>
      </c>
      <c r="C31" s="395" t="str">
        <f t="shared" si="23"/>
        <v>General Service 50 to 1,499 KW.DVA Disposition Rate Rider Group 1 - 2024</v>
      </c>
      <c r="D31" s="396" t="s">
        <v>377</v>
      </c>
      <c r="E31" s="320"/>
      <c r="F31" s="414">
        <f>IFERROR(VLOOKUP($C31,'Proposed Rates'!$B:$J,F$11,FALSE),0)</f>
        <v>0</v>
      </c>
      <c r="G31" s="415">
        <f t="shared" si="24"/>
        <v>100</v>
      </c>
      <c r="H31" s="400">
        <f t="shared" si="25"/>
        <v>0</v>
      </c>
      <c r="I31" s="128"/>
      <c r="J31" s="414">
        <f>IFERROR(VLOOKUP($C31,'Proposed Rates'!$B:$J,J$11,FALSE),0)</f>
        <v>0</v>
      </c>
      <c r="K31" s="415">
        <f t="shared" si="26"/>
        <v>100</v>
      </c>
      <c r="L31" s="400">
        <f t="shared" si="27"/>
        <v>0</v>
      </c>
      <c r="M31" s="128"/>
      <c r="N31" s="401">
        <f t="shared" si="5"/>
        <v>0</v>
      </c>
      <c r="O31" s="402" t="str">
        <f t="shared" si="6"/>
        <v/>
      </c>
      <c r="P31" s="52"/>
      <c r="Q31" s="414">
        <f>IFERROR(VLOOKUP($C31,'Proposed Rates'!$B:$J,Q$11,FALSE),0)</f>
        <v>0</v>
      </c>
      <c r="R31" s="415">
        <f t="shared" si="28"/>
        <v>100</v>
      </c>
      <c r="S31" s="400">
        <f t="shared" si="29"/>
        <v>0</v>
      </c>
      <c r="T31" s="128"/>
      <c r="U31" s="401">
        <f t="shared" si="9"/>
        <v>0</v>
      </c>
      <c r="V31" s="402" t="str">
        <f t="shared" si="10"/>
        <v/>
      </c>
      <c r="W31" s="52"/>
      <c r="X31" s="414">
        <f>IFERROR(VLOOKUP($C31,'Proposed Rates'!$B:$J,X$11,FALSE),0)</f>
        <v>0</v>
      </c>
      <c r="Y31" s="415">
        <f t="shared" si="30"/>
        <v>100</v>
      </c>
      <c r="Z31" s="400">
        <f t="shared" si="31"/>
        <v>0</v>
      </c>
      <c r="AA31" s="128"/>
      <c r="AB31" s="401">
        <f t="shared" si="13"/>
        <v>0</v>
      </c>
      <c r="AC31" s="402" t="str">
        <f t="shared" si="14"/>
        <v/>
      </c>
      <c r="AD31" s="52"/>
      <c r="AE31" s="414">
        <f>IFERROR(VLOOKUP($C31,'Proposed Rates'!$B:$J,AE$11,FALSE),0)</f>
        <v>0</v>
      </c>
      <c r="AF31" s="415">
        <f t="shared" si="32"/>
        <v>100</v>
      </c>
      <c r="AG31" s="400">
        <f t="shared" si="33"/>
        <v>0</v>
      </c>
      <c r="AH31" s="128"/>
      <c r="AI31" s="401">
        <f t="shared" si="17"/>
        <v>0</v>
      </c>
      <c r="AJ31" s="402" t="str">
        <f t="shared" si="18"/>
        <v/>
      </c>
      <c r="AK31" s="52"/>
      <c r="AL31" s="414">
        <f>IFERROR(VLOOKUP($C31,'Proposed Rates'!$B:$J,AL$11,FALSE),0)</f>
        <v>0</v>
      </c>
      <c r="AM31" s="415">
        <f t="shared" si="34"/>
        <v>100</v>
      </c>
      <c r="AN31" s="400">
        <f t="shared" si="35"/>
        <v>0</v>
      </c>
      <c r="AO31" s="128"/>
      <c r="AP31" s="401">
        <f t="shared" si="21"/>
        <v>0</v>
      </c>
      <c r="AQ31" s="402" t="str">
        <f t="shared" si="22"/>
        <v/>
      </c>
      <c r="AR31" s="403"/>
    </row>
    <row r="32" spans="1:44" ht="12" customHeight="1">
      <c r="A32" s="52"/>
      <c r="B32" s="404" t="s">
        <v>244</v>
      </c>
      <c r="C32" s="395" t="str">
        <f t="shared" si="23"/>
        <v>General Service 50 to 1,499 KW.CBR Class B Rate Riders</v>
      </c>
      <c r="D32" s="396" t="s">
        <v>308</v>
      </c>
      <c r="E32" s="320"/>
      <c r="F32" s="414">
        <f>IFERROR(VLOOKUP($C32,'Proposed Rates'!$B:$J,F$11,FALSE),0)</f>
        <v>2.0000000000000001E-4</v>
      </c>
      <c r="G32" s="415">
        <f t="shared" si="24"/>
        <v>51000</v>
      </c>
      <c r="H32" s="400">
        <f t="shared" si="25"/>
        <v>10.200000000000001</v>
      </c>
      <c r="I32" s="128"/>
      <c r="J32" s="414">
        <f>IFERROR(VLOOKUP($C32,'Proposed Rates'!$B:$J,J$11,FALSE),0)</f>
        <v>4.0000000000000002E-4</v>
      </c>
      <c r="K32" s="415">
        <f t="shared" si="26"/>
        <v>51000</v>
      </c>
      <c r="L32" s="400">
        <f t="shared" si="27"/>
        <v>20.400000000000002</v>
      </c>
      <c r="M32" s="128"/>
      <c r="N32" s="401">
        <f t="shared" si="5"/>
        <v>10.200000000000001</v>
      </c>
      <c r="O32" s="402">
        <f t="shared" si="6"/>
        <v>1</v>
      </c>
      <c r="P32" s="52"/>
      <c r="Q32" s="414">
        <f>IFERROR(VLOOKUP($C32,'Proposed Rates'!$B:$J,Q$11,FALSE),0)</f>
        <v>0</v>
      </c>
      <c r="R32" s="415">
        <f t="shared" si="28"/>
        <v>51000</v>
      </c>
      <c r="S32" s="400">
        <f t="shared" si="29"/>
        <v>0</v>
      </c>
      <c r="T32" s="128"/>
      <c r="U32" s="401">
        <f t="shared" si="9"/>
        <v>-20.400000000000002</v>
      </c>
      <c r="V32" s="402">
        <f t="shared" si="10"/>
        <v>-1</v>
      </c>
      <c r="W32" s="52"/>
      <c r="X32" s="414">
        <f>IFERROR(VLOOKUP($C32,'Proposed Rates'!$B:$J,X$11,FALSE),0)</f>
        <v>0</v>
      </c>
      <c r="Y32" s="415">
        <f t="shared" si="30"/>
        <v>51000</v>
      </c>
      <c r="Z32" s="400">
        <f t="shared" si="31"/>
        <v>0</v>
      </c>
      <c r="AA32" s="128"/>
      <c r="AB32" s="401">
        <f t="shared" si="13"/>
        <v>0</v>
      </c>
      <c r="AC32" s="402" t="str">
        <f t="shared" si="14"/>
        <v/>
      </c>
      <c r="AD32" s="52"/>
      <c r="AE32" s="414">
        <f>IFERROR(VLOOKUP($C32,'Proposed Rates'!$B:$J,AE$11,FALSE),0)</f>
        <v>0</v>
      </c>
      <c r="AF32" s="415">
        <f t="shared" si="32"/>
        <v>51000</v>
      </c>
      <c r="AG32" s="400">
        <f t="shared" si="33"/>
        <v>0</v>
      </c>
      <c r="AH32" s="128"/>
      <c r="AI32" s="401">
        <f t="shared" si="17"/>
        <v>0</v>
      </c>
      <c r="AJ32" s="402" t="str">
        <f t="shared" si="18"/>
        <v/>
      </c>
      <c r="AK32" s="52"/>
      <c r="AL32" s="414">
        <f>IFERROR(VLOOKUP($C32,'Proposed Rates'!$B:$J,AL$11,FALSE),0)</f>
        <v>0</v>
      </c>
      <c r="AM32" s="415">
        <f t="shared" si="34"/>
        <v>51000</v>
      </c>
      <c r="AN32" s="400">
        <f t="shared" si="35"/>
        <v>0</v>
      </c>
      <c r="AO32" s="128"/>
      <c r="AP32" s="401">
        <f t="shared" si="21"/>
        <v>0</v>
      </c>
      <c r="AQ32" s="402" t="str">
        <f t="shared" si="22"/>
        <v/>
      </c>
      <c r="AR32" s="403"/>
    </row>
    <row r="33" spans="1:44" ht="12" customHeight="1">
      <c r="A33" s="52"/>
      <c r="B33" s="404" t="s">
        <v>249</v>
      </c>
      <c r="C33" s="395" t="str">
        <f t="shared" si="23"/>
        <v>General Service 50 to 1,499 KW.GA Rate Riders</v>
      </c>
      <c r="D33" s="396" t="s">
        <v>308</v>
      </c>
      <c r="E33" s="320"/>
      <c r="F33" s="414">
        <f>IFERROR(VLOOKUP($C33,'Proposed Rates'!$B:$J,F$11,FALSE),0)</f>
        <v>3.8999999999999998E-3</v>
      </c>
      <c r="G33" s="415">
        <f t="shared" si="24"/>
        <v>51000</v>
      </c>
      <c r="H33" s="400">
        <f t="shared" si="25"/>
        <v>198.89999999999998</v>
      </c>
      <c r="I33" s="128"/>
      <c r="J33" s="414">
        <f>IFERROR(VLOOKUP($C33,'Proposed Rates'!$B:$J,J$11,FALSE),0)</f>
        <v>4.4999999999999997E-3</v>
      </c>
      <c r="K33" s="415">
        <f t="shared" si="26"/>
        <v>51000</v>
      </c>
      <c r="L33" s="400">
        <f t="shared" si="27"/>
        <v>229.49999999999997</v>
      </c>
      <c r="M33" s="128"/>
      <c r="N33" s="401">
        <f t="shared" si="5"/>
        <v>30.599999999999994</v>
      </c>
      <c r="O33" s="402">
        <f t="shared" si="6"/>
        <v>0.15384615384615383</v>
      </c>
      <c r="P33" s="52"/>
      <c r="Q33" s="414">
        <f>IFERROR(VLOOKUP($C33,'Proposed Rates'!$B:$J,Q$11,FALSE),0)</f>
        <v>0</v>
      </c>
      <c r="R33" s="415">
        <f t="shared" si="28"/>
        <v>51000</v>
      </c>
      <c r="S33" s="400">
        <f t="shared" si="29"/>
        <v>0</v>
      </c>
      <c r="T33" s="128"/>
      <c r="U33" s="401">
        <f t="shared" si="9"/>
        <v>-229.49999999999997</v>
      </c>
      <c r="V33" s="402">
        <f t="shared" si="10"/>
        <v>-1</v>
      </c>
      <c r="W33" s="52"/>
      <c r="X33" s="414">
        <f>IFERROR(VLOOKUP($C33,'Proposed Rates'!$B:$J,X$11,FALSE),0)</f>
        <v>0</v>
      </c>
      <c r="Y33" s="415">
        <f t="shared" si="30"/>
        <v>51000</v>
      </c>
      <c r="Z33" s="400">
        <f t="shared" si="31"/>
        <v>0</v>
      </c>
      <c r="AA33" s="128"/>
      <c r="AB33" s="401">
        <f t="shared" si="13"/>
        <v>0</v>
      </c>
      <c r="AC33" s="402" t="str">
        <f t="shared" si="14"/>
        <v/>
      </c>
      <c r="AD33" s="52"/>
      <c r="AE33" s="414">
        <f>IFERROR(VLOOKUP($C33,'Proposed Rates'!$B:$J,AE$11,FALSE),0)</f>
        <v>0</v>
      </c>
      <c r="AF33" s="415">
        <f t="shared" si="32"/>
        <v>51000</v>
      </c>
      <c r="AG33" s="400">
        <f t="shared" si="33"/>
        <v>0</v>
      </c>
      <c r="AH33" s="128"/>
      <c r="AI33" s="401">
        <f t="shared" si="17"/>
        <v>0</v>
      </c>
      <c r="AJ33" s="402" t="str">
        <f t="shared" si="18"/>
        <v/>
      </c>
      <c r="AK33" s="52"/>
      <c r="AL33" s="414">
        <f>IFERROR(VLOOKUP($C33,'Proposed Rates'!$B:$J,AL$11,FALSE),0)</f>
        <v>0</v>
      </c>
      <c r="AM33" s="415">
        <f t="shared" si="34"/>
        <v>51000</v>
      </c>
      <c r="AN33" s="400">
        <f t="shared" si="35"/>
        <v>0</v>
      </c>
      <c r="AO33" s="128"/>
      <c r="AP33" s="401">
        <f t="shared" si="21"/>
        <v>0</v>
      </c>
      <c r="AQ33" s="402" t="str">
        <f t="shared" si="22"/>
        <v/>
      </c>
      <c r="AR33" s="403"/>
    </row>
    <row r="34" spans="1:44" ht="12" customHeight="1">
      <c r="A34" s="52"/>
      <c r="B34" s="404" t="s">
        <v>252</v>
      </c>
      <c r="C34" s="395" t="str">
        <f t="shared" si="23"/>
        <v>General Service 50 to 1,499 KW.Total Deferral/Variance Account Rate RidersYr2</v>
      </c>
      <c r="D34" s="396" t="s">
        <v>377</v>
      </c>
      <c r="E34" s="320"/>
      <c r="F34" s="414">
        <f>IFERROR(VLOOKUP($C34,'Proposed Rates'!$B:$J,F$11,FALSE),0)</f>
        <v>-0.30499999999999999</v>
      </c>
      <c r="G34" s="415">
        <f t="shared" si="24"/>
        <v>100</v>
      </c>
      <c r="H34" s="400">
        <f t="shared" si="25"/>
        <v>-30.5</v>
      </c>
      <c r="I34" s="128"/>
      <c r="J34" s="414">
        <f>IFERROR(VLOOKUP($C34,'Proposed Rates'!$B:$J,J$11,FALSE),0)</f>
        <v>-0.21920000000000001</v>
      </c>
      <c r="K34" s="415">
        <f t="shared" si="26"/>
        <v>100</v>
      </c>
      <c r="L34" s="400">
        <f t="shared" si="27"/>
        <v>-21.92</v>
      </c>
      <c r="M34" s="128"/>
      <c r="N34" s="401">
        <f t="shared" si="5"/>
        <v>8.5799999999999983</v>
      </c>
      <c r="O34" s="402">
        <f t="shared" si="6"/>
        <v>-0.28131147540983603</v>
      </c>
      <c r="P34" s="52"/>
      <c r="Q34" s="414">
        <f>IFERROR(VLOOKUP($C34,'Proposed Rates'!$B:$J,Q$11,FALSE),0)</f>
        <v>0</v>
      </c>
      <c r="R34" s="415">
        <f t="shared" si="28"/>
        <v>100</v>
      </c>
      <c r="S34" s="400">
        <f t="shared" si="29"/>
        <v>0</v>
      </c>
      <c r="T34" s="128"/>
      <c r="U34" s="401">
        <f t="shared" si="9"/>
        <v>21.92</v>
      </c>
      <c r="V34" s="402">
        <f t="shared" si="10"/>
        <v>-1</v>
      </c>
      <c r="W34" s="52"/>
      <c r="X34" s="414">
        <f>IFERROR(VLOOKUP($C34,'Proposed Rates'!$B:$J,X$11,FALSE),0)</f>
        <v>0</v>
      </c>
      <c r="Y34" s="415">
        <f t="shared" si="30"/>
        <v>100</v>
      </c>
      <c r="Z34" s="400">
        <f t="shared" si="31"/>
        <v>0</v>
      </c>
      <c r="AA34" s="128"/>
      <c r="AB34" s="401">
        <f t="shared" si="13"/>
        <v>0</v>
      </c>
      <c r="AC34" s="402" t="str">
        <f t="shared" si="14"/>
        <v/>
      </c>
      <c r="AD34" s="52"/>
      <c r="AE34" s="414">
        <f>IFERROR(VLOOKUP($C34,'Proposed Rates'!$B:$J,AE$11,FALSE),0)</f>
        <v>0</v>
      </c>
      <c r="AF34" s="415">
        <f t="shared" si="32"/>
        <v>100</v>
      </c>
      <c r="AG34" s="400">
        <f t="shared" si="33"/>
        <v>0</v>
      </c>
      <c r="AH34" s="128"/>
      <c r="AI34" s="401">
        <f t="shared" si="17"/>
        <v>0</v>
      </c>
      <c r="AJ34" s="402" t="str">
        <f t="shared" si="18"/>
        <v/>
      </c>
      <c r="AK34" s="52"/>
      <c r="AL34" s="414">
        <f>IFERROR(VLOOKUP($C34,'Proposed Rates'!$B:$J,AL$11,FALSE),0)</f>
        <v>0</v>
      </c>
      <c r="AM34" s="415">
        <f t="shared" si="34"/>
        <v>100</v>
      </c>
      <c r="AN34" s="400">
        <f t="shared" si="35"/>
        <v>0</v>
      </c>
      <c r="AO34" s="128"/>
      <c r="AP34" s="401">
        <f t="shared" si="21"/>
        <v>0</v>
      </c>
      <c r="AQ34" s="402" t="str">
        <f t="shared" si="22"/>
        <v/>
      </c>
      <c r="AR34" s="403"/>
    </row>
    <row r="35" spans="1:44" ht="12" customHeight="1">
      <c r="A35" s="52"/>
      <c r="B35" s="404" t="s">
        <v>254</v>
      </c>
      <c r="C35" s="395" t="str">
        <f t="shared" si="23"/>
        <v>General Service 50 to 1,499 KW.Total Deferral/Variance Account Rate Riders</v>
      </c>
      <c r="D35" s="396" t="s">
        <v>377</v>
      </c>
      <c r="E35" s="320"/>
      <c r="F35" s="414">
        <f>IFERROR(VLOOKUP($C35,'Proposed Rates'!$B:$J,F$11,FALSE),0)</f>
        <v>0</v>
      </c>
      <c r="G35" s="415">
        <f t="shared" si="24"/>
        <v>100</v>
      </c>
      <c r="H35" s="400">
        <f t="shared" si="25"/>
        <v>0</v>
      </c>
      <c r="I35" s="128"/>
      <c r="J35" s="414">
        <f>IFERROR(VLOOKUP($C35,'Proposed Rates'!$B:$J,J$11,FALSE),0)</f>
        <v>0</v>
      </c>
      <c r="K35" s="415">
        <f t="shared" si="26"/>
        <v>100</v>
      </c>
      <c r="L35" s="400">
        <f t="shared" si="27"/>
        <v>0</v>
      </c>
      <c r="M35" s="128"/>
      <c r="N35" s="401">
        <f t="shared" si="5"/>
        <v>0</v>
      </c>
      <c r="O35" s="402" t="str">
        <f t="shared" si="6"/>
        <v/>
      </c>
      <c r="P35" s="52"/>
      <c r="Q35" s="414">
        <f>IFERROR(VLOOKUP($C35,'Proposed Rates'!$B:$J,Q$11,FALSE),0)</f>
        <v>0</v>
      </c>
      <c r="R35" s="415">
        <f t="shared" si="28"/>
        <v>100</v>
      </c>
      <c r="S35" s="400">
        <f t="shared" si="29"/>
        <v>0</v>
      </c>
      <c r="T35" s="128"/>
      <c r="U35" s="401">
        <f t="shared" si="9"/>
        <v>0</v>
      </c>
      <c r="V35" s="402" t="str">
        <f t="shared" si="10"/>
        <v/>
      </c>
      <c r="W35" s="52"/>
      <c r="X35" s="414">
        <f>IFERROR(VLOOKUP($C35,'Proposed Rates'!$B:$J,X$11,FALSE),0)</f>
        <v>0</v>
      </c>
      <c r="Y35" s="415">
        <f t="shared" si="30"/>
        <v>100</v>
      </c>
      <c r="Z35" s="400">
        <f t="shared" si="31"/>
        <v>0</v>
      </c>
      <c r="AA35" s="128"/>
      <c r="AB35" s="401">
        <f t="shared" si="13"/>
        <v>0</v>
      </c>
      <c r="AC35" s="402" t="str">
        <f t="shared" si="14"/>
        <v/>
      </c>
      <c r="AD35" s="52"/>
      <c r="AE35" s="414">
        <f>IFERROR(VLOOKUP($C35,'Proposed Rates'!$B:$J,AE$11,FALSE),0)</f>
        <v>0</v>
      </c>
      <c r="AF35" s="415">
        <f t="shared" si="32"/>
        <v>100</v>
      </c>
      <c r="AG35" s="400">
        <f t="shared" si="33"/>
        <v>0</v>
      </c>
      <c r="AH35" s="128"/>
      <c r="AI35" s="401">
        <f t="shared" si="17"/>
        <v>0</v>
      </c>
      <c r="AJ35" s="402" t="str">
        <f t="shared" si="18"/>
        <v/>
      </c>
      <c r="AK35" s="52"/>
      <c r="AL35" s="414">
        <f>IFERROR(VLOOKUP($C35,'Proposed Rates'!$B:$J,AL$11,FALSE),0)</f>
        <v>0</v>
      </c>
      <c r="AM35" s="415">
        <f t="shared" si="34"/>
        <v>100</v>
      </c>
      <c r="AN35" s="400">
        <f t="shared" si="35"/>
        <v>0</v>
      </c>
      <c r="AO35" s="128"/>
      <c r="AP35" s="401">
        <f t="shared" si="21"/>
        <v>0</v>
      </c>
      <c r="AQ35" s="402" t="str">
        <f t="shared" si="22"/>
        <v/>
      </c>
      <c r="AR35" s="403"/>
    </row>
    <row r="36" spans="1:44" ht="12" customHeight="1">
      <c r="A36" s="52"/>
      <c r="B36" s="320" t="s">
        <v>269</v>
      </c>
      <c r="C36" s="395" t="str">
        <f t="shared" si="23"/>
        <v>General Service 50 to 1,499 KW.Low Voltage Service Charge</v>
      </c>
      <c r="D36" s="396" t="s">
        <v>377</v>
      </c>
      <c r="E36" s="320"/>
      <c r="F36" s="414">
        <f>IFERROR(VLOOKUP($C36,'Proposed Rates'!$B:$J,F$11,FALSE),0)</f>
        <v>2.0629999999999999E-2</v>
      </c>
      <c r="G36" s="415">
        <f t="shared" si="24"/>
        <v>100</v>
      </c>
      <c r="H36" s="400">
        <f t="shared" si="25"/>
        <v>2.0629999999999997</v>
      </c>
      <c r="I36" s="128"/>
      <c r="J36" s="414">
        <f>IFERROR(VLOOKUP($C36,'Proposed Rates'!$B:$J,J$11,FALSE),0)</f>
        <v>2.334E-2</v>
      </c>
      <c r="K36" s="415">
        <f t="shared" si="26"/>
        <v>100</v>
      </c>
      <c r="L36" s="400">
        <f t="shared" si="27"/>
        <v>2.3340000000000001</v>
      </c>
      <c r="M36" s="128"/>
      <c r="N36" s="401">
        <f t="shared" si="5"/>
        <v>0.27100000000000035</v>
      </c>
      <c r="O36" s="402">
        <f t="shared" si="6"/>
        <v>0.13136209403780921</v>
      </c>
      <c r="P36" s="52"/>
      <c r="Q36" s="414">
        <f>IFERROR(VLOOKUP($C36,'Proposed Rates'!$B:$J,Q$11,FALSE),0)</f>
        <v>2.3939999999999999E-2</v>
      </c>
      <c r="R36" s="415">
        <f t="shared" si="28"/>
        <v>100</v>
      </c>
      <c r="S36" s="400">
        <f t="shared" si="29"/>
        <v>2.3940000000000001</v>
      </c>
      <c r="T36" s="128"/>
      <c r="U36" s="401">
        <f t="shared" si="9"/>
        <v>6.0000000000000053E-2</v>
      </c>
      <c r="V36" s="402">
        <f t="shared" si="10"/>
        <v>2.5706940874036011E-2</v>
      </c>
      <c r="W36" s="52"/>
      <c r="X36" s="414">
        <f>IFERROR(VLOOKUP($C36,'Proposed Rates'!$B:$J,X$11,FALSE),0)</f>
        <v>2.4250000000000001E-2</v>
      </c>
      <c r="Y36" s="415">
        <f t="shared" si="30"/>
        <v>100</v>
      </c>
      <c r="Z36" s="400">
        <f t="shared" si="31"/>
        <v>2.4250000000000003</v>
      </c>
      <c r="AA36" s="128"/>
      <c r="AB36" s="401">
        <f t="shared" si="13"/>
        <v>3.1000000000000139E-2</v>
      </c>
      <c r="AC36" s="402">
        <f t="shared" si="14"/>
        <v>1.2949039264828795E-2</v>
      </c>
      <c r="AD36" s="52"/>
      <c r="AE36" s="414">
        <f>IFERROR(VLOOKUP($C36,'Proposed Rates'!$B:$J,AE$11,FALSE),0)</f>
        <v>2.4649999999999998E-2</v>
      </c>
      <c r="AF36" s="415">
        <f t="shared" si="32"/>
        <v>100</v>
      </c>
      <c r="AG36" s="400">
        <f t="shared" si="33"/>
        <v>2.4649999999999999</v>
      </c>
      <c r="AH36" s="128"/>
      <c r="AI36" s="401">
        <f t="shared" si="17"/>
        <v>3.9999999999999591E-2</v>
      </c>
      <c r="AJ36" s="402">
        <f t="shared" si="18"/>
        <v>1.6494845360824573E-2</v>
      </c>
      <c r="AK36" s="52"/>
      <c r="AL36" s="414">
        <f>IFERROR(VLOOKUP($C36,'Proposed Rates'!$B:$J,AL$11,FALSE),0)</f>
        <v>2.5080000000000002E-2</v>
      </c>
      <c r="AM36" s="415">
        <f t="shared" si="34"/>
        <v>100</v>
      </c>
      <c r="AN36" s="400">
        <f t="shared" si="35"/>
        <v>2.508</v>
      </c>
      <c r="AO36" s="128"/>
      <c r="AP36" s="401">
        <f t="shared" si="21"/>
        <v>4.3000000000000149E-2</v>
      </c>
      <c r="AQ36" s="402">
        <f t="shared" si="22"/>
        <v>1.7444219066937182E-2</v>
      </c>
      <c r="AR36" s="403"/>
    </row>
    <row r="37" spans="1:44" ht="12" customHeight="1">
      <c r="A37" s="52"/>
      <c r="B37" s="320" t="s">
        <v>312</v>
      </c>
      <c r="C37" s="395" t="str">
        <f t="shared" si="23"/>
        <v>General Service 50 to 1,499 KW.Line Losses on Cost of Power</v>
      </c>
      <c r="D37" s="396" t="s">
        <v>308</v>
      </c>
      <c r="E37" s="320"/>
      <c r="F37" s="430"/>
      <c r="G37" s="421">
        <f>$F$9*(1+F$65)-$F$9</f>
        <v>1723.8000000000029</v>
      </c>
      <c r="H37" s="400">
        <f t="shared" si="25"/>
        <v>0</v>
      </c>
      <c r="I37" s="128"/>
      <c r="J37" s="430"/>
      <c r="K37" s="421">
        <f>$F$9*(1+J$65)-$F$9</f>
        <v>1693.1999999999971</v>
      </c>
      <c r="L37" s="400">
        <f t="shared" si="27"/>
        <v>0</v>
      </c>
      <c r="M37" s="128"/>
      <c r="N37" s="401">
        <f t="shared" si="5"/>
        <v>0</v>
      </c>
      <c r="O37" s="402" t="str">
        <f t="shared" si="6"/>
        <v/>
      </c>
      <c r="P37" s="52"/>
      <c r="Q37" s="430"/>
      <c r="R37" s="421">
        <f>$F$9*(1+Q$65)-$F$9</f>
        <v>1693.1999999999971</v>
      </c>
      <c r="S37" s="400">
        <f t="shared" si="29"/>
        <v>0</v>
      </c>
      <c r="T37" s="128"/>
      <c r="U37" s="401">
        <f t="shared" si="9"/>
        <v>0</v>
      </c>
      <c r="V37" s="402" t="str">
        <f t="shared" si="10"/>
        <v/>
      </c>
      <c r="W37" s="52"/>
      <c r="X37" s="430"/>
      <c r="Y37" s="421">
        <f>$F$9*(1+X$65)-$F$9</f>
        <v>1693.1999999999971</v>
      </c>
      <c r="Z37" s="400">
        <f t="shared" si="31"/>
        <v>0</v>
      </c>
      <c r="AA37" s="128"/>
      <c r="AB37" s="401">
        <f t="shared" si="13"/>
        <v>0</v>
      </c>
      <c r="AC37" s="402" t="str">
        <f t="shared" si="14"/>
        <v/>
      </c>
      <c r="AD37" s="52"/>
      <c r="AE37" s="430"/>
      <c r="AF37" s="421">
        <f>$F$9*(1+AE$65)-$F$9</f>
        <v>1693.1999999999971</v>
      </c>
      <c r="AG37" s="400">
        <f t="shared" si="33"/>
        <v>0</v>
      </c>
      <c r="AH37" s="128"/>
      <c r="AI37" s="401">
        <f t="shared" si="17"/>
        <v>0</v>
      </c>
      <c r="AJ37" s="402" t="str">
        <f t="shared" si="18"/>
        <v/>
      </c>
      <c r="AK37" s="52"/>
      <c r="AL37" s="430"/>
      <c r="AM37" s="421">
        <f>$F$9*(1+AL$65)-$F$9</f>
        <v>1693.1999999999971</v>
      </c>
      <c r="AN37" s="400">
        <f t="shared" si="35"/>
        <v>0</v>
      </c>
      <c r="AO37" s="128"/>
      <c r="AP37" s="401">
        <f t="shared" si="21"/>
        <v>0</v>
      </c>
      <c r="AQ37" s="402" t="str">
        <f t="shared" si="22"/>
        <v/>
      </c>
      <c r="AR37" s="403"/>
    </row>
    <row r="38" spans="1:44" ht="12" customHeight="1">
      <c r="A38" s="52"/>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13"/>
        <v>0</v>
      </c>
      <c r="AC38" s="402" t="str">
        <f t="shared" si="14"/>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row>
    <row r="39" spans="1:44" ht="12" customHeight="1">
      <c r="A39" s="52"/>
      <c r="B39" s="405" t="s">
        <v>313</v>
      </c>
      <c r="C39" s="422"/>
      <c r="D39" s="422"/>
      <c r="E39" s="422"/>
      <c r="F39" s="423"/>
      <c r="G39" s="501"/>
      <c r="H39" s="409">
        <f>SUM(H30:H38)+H29</f>
        <v>1046.7329999999999</v>
      </c>
      <c r="I39" s="425"/>
      <c r="J39" s="423"/>
      <c r="K39" s="501"/>
      <c r="L39" s="409">
        <f>SUM(L30:L38)+L29</f>
        <v>1225.3739999999998</v>
      </c>
      <c r="M39" s="425"/>
      <c r="N39" s="411">
        <f t="shared" si="5"/>
        <v>178.64099999999985</v>
      </c>
      <c r="O39" s="412">
        <f t="shared" si="6"/>
        <v>0.17066529860050259</v>
      </c>
      <c r="P39" s="52"/>
      <c r="Q39" s="423"/>
      <c r="R39" s="501"/>
      <c r="S39" s="409">
        <f>SUM(S30:S38)+S29</f>
        <v>1080.864</v>
      </c>
      <c r="T39" s="425"/>
      <c r="U39" s="411">
        <f t="shared" si="9"/>
        <v>-144.50999999999976</v>
      </c>
      <c r="V39" s="412">
        <f t="shared" si="10"/>
        <v>-0.11793134177810186</v>
      </c>
      <c r="W39" s="52"/>
      <c r="X39" s="423"/>
      <c r="Y39" s="501"/>
      <c r="Z39" s="409">
        <f>SUM(Z30:Z38)+Z29</f>
        <v>1165.925</v>
      </c>
      <c r="AA39" s="425"/>
      <c r="AB39" s="411">
        <f t="shared" si="13"/>
        <v>85.060999999999922</v>
      </c>
      <c r="AC39" s="412">
        <f t="shared" si="14"/>
        <v>7.8697227403262501E-2</v>
      </c>
      <c r="AD39" s="52"/>
      <c r="AE39" s="423"/>
      <c r="AF39" s="501"/>
      <c r="AG39" s="409">
        <f>SUM(AG30:AG38)+AG29</f>
        <v>1234.635</v>
      </c>
      <c r="AH39" s="425"/>
      <c r="AI39" s="411">
        <f t="shared" si="17"/>
        <v>68.710000000000036</v>
      </c>
      <c r="AJ39" s="412">
        <f t="shared" si="18"/>
        <v>5.8931749469305524E-2</v>
      </c>
      <c r="AK39" s="52"/>
      <c r="AL39" s="423"/>
      <c r="AM39" s="501"/>
      <c r="AN39" s="409">
        <f>SUM(AN30:AN38)+AN29</f>
        <v>1299.8980000000001</v>
      </c>
      <c r="AO39" s="425"/>
      <c r="AP39" s="411">
        <f t="shared" si="21"/>
        <v>65.263000000000147</v>
      </c>
      <c r="AQ39" s="412">
        <f t="shared" si="22"/>
        <v>5.2860157050464429E-2</v>
      </c>
      <c r="AR39" s="413"/>
    </row>
    <row r="40" spans="1:44" ht="12" customHeight="1">
      <c r="A40" s="52"/>
      <c r="B40" s="128" t="s">
        <v>255</v>
      </c>
      <c r="C40" s="395" t="str">
        <f t="shared" ref="C40:C41" si="36">D$6&amp;"."&amp;B40</f>
        <v>General Service 50 to 1,499 KW.RTSR - Network</v>
      </c>
      <c r="D40" s="426" t="s">
        <v>377</v>
      </c>
      <c r="E40" s="128"/>
      <c r="F40" s="414">
        <f>IFERROR(VLOOKUP($C40,'Proposed Rates'!$B:$J,F$11,FALSE),0)</f>
        <v>4.8479999999999999</v>
      </c>
      <c r="G40" s="415">
        <f t="shared" ref="G40:G41" si="37">IF($D40="Monthly",1,IF($D40="per KW",$F$10,IF($D40="per kWh",$F$9,0)))</f>
        <v>100</v>
      </c>
      <c r="H40" s="400">
        <f t="shared" ref="H40:H41" si="38">G40*F40</f>
        <v>484.8</v>
      </c>
      <c r="I40" s="128"/>
      <c r="J40" s="414">
        <f>IFERROR(VLOOKUP($C40,'Proposed Rates'!$B:$J,J$11,FALSE),0)</f>
        <v>4.5787000000000004</v>
      </c>
      <c r="K40" s="415">
        <f t="shared" ref="K40:K41" si="39">IF($D40="Monthly",1,IF($D40="per KW",$F$10,IF($D40="per kWh",$F$9,0)))</f>
        <v>100</v>
      </c>
      <c r="L40" s="400">
        <f t="shared" ref="L40:L41" si="40">K40*J40</f>
        <v>457.87000000000006</v>
      </c>
      <c r="M40" s="128"/>
      <c r="N40" s="401">
        <f t="shared" si="5"/>
        <v>-26.92999999999995</v>
      </c>
      <c r="O40" s="402">
        <f t="shared" si="6"/>
        <v>-5.5548679867986693E-2</v>
      </c>
      <c r="P40" s="52"/>
      <c r="Q40" s="414">
        <f>IFERROR(VLOOKUP($C40,'Proposed Rates'!$B:$J,Q$11,FALSE),0)</f>
        <v>4.5787000000000004</v>
      </c>
      <c r="R40" s="415">
        <f t="shared" ref="R40:R41" si="41">IF($D40="Monthly",1,IF($D40="per KW",$F$10,IF($D40="per kWh",$F$9,0)))</f>
        <v>100</v>
      </c>
      <c r="S40" s="400">
        <f t="shared" ref="S40:S41" si="42">R40*Q40</f>
        <v>457.87000000000006</v>
      </c>
      <c r="T40" s="128"/>
      <c r="U40" s="401">
        <f t="shared" si="9"/>
        <v>0</v>
      </c>
      <c r="V40" s="402">
        <f t="shared" si="10"/>
        <v>0</v>
      </c>
      <c r="W40" s="52"/>
      <c r="X40" s="414">
        <f>IFERROR(VLOOKUP($C40,'Proposed Rates'!$B:$J,X$11,FALSE),0)</f>
        <v>4.5787000000000004</v>
      </c>
      <c r="Y40" s="415">
        <f t="shared" ref="Y40:Y41" si="43">IF($D40="Monthly",1,IF($D40="per KW",$F$10,IF($D40="per kWh",$F$9,0)))</f>
        <v>100</v>
      </c>
      <c r="Z40" s="400">
        <f t="shared" ref="Z40:Z41" si="44">Y40*X40</f>
        <v>457.87000000000006</v>
      </c>
      <c r="AA40" s="128"/>
      <c r="AB40" s="401">
        <f t="shared" si="13"/>
        <v>0</v>
      </c>
      <c r="AC40" s="402">
        <f t="shared" si="14"/>
        <v>0</v>
      </c>
      <c r="AD40" s="52"/>
      <c r="AE40" s="414">
        <f>IFERROR(VLOOKUP($C40,'Proposed Rates'!$B:$J,AE$11,FALSE),0)</f>
        <v>4.5787000000000004</v>
      </c>
      <c r="AF40" s="415">
        <f t="shared" ref="AF40:AF41" si="45">IF($D40="Monthly",1,IF($D40="per KW",$F$10,IF($D40="per kWh",$F$9,0)))</f>
        <v>100</v>
      </c>
      <c r="AG40" s="400">
        <f t="shared" ref="AG40:AG41" si="46">AF40*AE40</f>
        <v>457.87000000000006</v>
      </c>
      <c r="AH40" s="128"/>
      <c r="AI40" s="401">
        <f t="shared" si="17"/>
        <v>0</v>
      </c>
      <c r="AJ40" s="402">
        <f t="shared" si="18"/>
        <v>0</v>
      </c>
      <c r="AK40" s="52"/>
      <c r="AL40" s="414">
        <f>IFERROR(VLOOKUP($C40,'Proposed Rates'!$B:$J,AL$11,FALSE),0)</f>
        <v>4.5787000000000004</v>
      </c>
      <c r="AM40" s="415">
        <f t="shared" ref="AM40:AM41" si="47">IF($D40="Monthly",1,IF($D40="per KW",$F$10,IF($D40="per kWh",$F$9,0)))</f>
        <v>100</v>
      </c>
      <c r="AN40" s="400">
        <f t="shared" ref="AN40:AN41" si="48">AM40*AL40</f>
        <v>457.87000000000006</v>
      </c>
      <c r="AO40" s="128"/>
      <c r="AP40" s="401">
        <f t="shared" si="21"/>
        <v>0</v>
      </c>
      <c r="AQ40" s="402">
        <f t="shared" si="22"/>
        <v>0</v>
      </c>
      <c r="AR40" s="403"/>
    </row>
    <row r="41" spans="1:44" ht="12" customHeight="1">
      <c r="A41" s="52"/>
      <c r="B41" s="128" t="s">
        <v>256</v>
      </c>
      <c r="C41" s="395" t="str">
        <f t="shared" si="36"/>
        <v>General Service 50 to 1,499 KW.RTSR - Line and Transformation Connection</v>
      </c>
      <c r="D41" s="426" t="s">
        <v>377</v>
      </c>
      <c r="E41" s="128"/>
      <c r="F41" s="414">
        <f>IFERROR(VLOOKUP($C41,'Proposed Rates'!$B:$J,F$11,FALSE),0)</f>
        <v>2.8187000000000002</v>
      </c>
      <c r="G41" s="415">
        <f t="shared" si="37"/>
        <v>100</v>
      </c>
      <c r="H41" s="400">
        <f t="shared" si="38"/>
        <v>281.87</v>
      </c>
      <c r="I41" s="128"/>
      <c r="J41" s="414">
        <f>IFERROR(VLOOKUP($C41,'Proposed Rates'!$B:$J,J$11,FALSE),0)</f>
        <v>2.5918000000000001</v>
      </c>
      <c r="K41" s="415">
        <f t="shared" si="39"/>
        <v>100</v>
      </c>
      <c r="L41" s="400">
        <f t="shared" si="40"/>
        <v>259.18</v>
      </c>
      <c r="M41" s="128"/>
      <c r="N41" s="401">
        <f t="shared" si="5"/>
        <v>-22.689999999999998</v>
      </c>
      <c r="O41" s="402">
        <f t="shared" si="6"/>
        <v>-8.0498101961897314E-2</v>
      </c>
      <c r="P41" s="52"/>
      <c r="Q41" s="414">
        <f>IFERROR(VLOOKUP($C41,'Proposed Rates'!$B:$J,Q$11,FALSE),0)</f>
        <v>2.5918000000000001</v>
      </c>
      <c r="R41" s="415">
        <f t="shared" si="41"/>
        <v>100</v>
      </c>
      <c r="S41" s="400">
        <f t="shared" si="42"/>
        <v>259.18</v>
      </c>
      <c r="T41" s="128"/>
      <c r="U41" s="401">
        <f t="shared" si="9"/>
        <v>0</v>
      </c>
      <c r="V41" s="402">
        <f t="shared" si="10"/>
        <v>0</v>
      </c>
      <c r="W41" s="52"/>
      <c r="X41" s="414">
        <f>IFERROR(VLOOKUP($C41,'Proposed Rates'!$B:$J,X$11,FALSE),0)</f>
        <v>2.5918000000000001</v>
      </c>
      <c r="Y41" s="415">
        <f t="shared" si="43"/>
        <v>100</v>
      </c>
      <c r="Z41" s="400">
        <f t="shared" si="44"/>
        <v>259.18</v>
      </c>
      <c r="AA41" s="128"/>
      <c r="AB41" s="401">
        <f t="shared" si="13"/>
        <v>0</v>
      </c>
      <c r="AC41" s="402">
        <f t="shared" si="14"/>
        <v>0</v>
      </c>
      <c r="AD41" s="52"/>
      <c r="AE41" s="414">
        <f>IFERROR(VLOOKUP($C41,'Proposed Rates'!$B:$J,AE$11,FALSE),0)</f>
        <v>2.5918000000000001</v>
      </c>
      <c r="AF41" s="415">
        <f t="shared" si="45"/>
        <v>100</v>
      </c>
      <c r="AG41" s="400">
        <f t="shared" si="46"/>
        <v>259.18</v>
      </c>
      <c r="AH41" s="128"/>
      <c r="AI41" s="401">
        <f t="shared" si="17"/>
        <v>0</v>
      </c>
      <c r="AJ41" s="402">
        <f t="shared" si="18"/>
        <v>0</v>
      </c>
      <c r="AK41" s="52"/>
      <c r="AL41" s="414">
        <f>IFERROR(VLOOKUP($C41,'Proposed Rates'!$B:$J,AL$11,FALSE),0)</f>
        <v>2.5918000000000001</v>
      </c>
      <c r="AM41" s="415">
        <f t="shared" si="47"/>
        <v>100</v>
      </c>
      <c r="AN41" s="400">
        <f t="shared" si="48"/>
        <v>259.18</v>
      </c>
      <c r="AO41" s="128"/>
      <c r="AP41" s="401">
        <f t="shared" si="21"/>
        <v>0</v>
      </c>
      <c r="AQ41" s="402">
        <f t="shared" si="22"/>
        <v>0</v>
      </c>
      <c r="AR41" s="403"/>
    </row>
    <row r="42" spans="1:44" ht="12" customHeight="1">
      <c r="A42" s="52"/>
      <c r="B42" s="405" t="s">
        <v>314</v>
      </c>
      <c r="C42" s="427"/>
      <c r="D42" s="427"/>
      <c r="E42" s="427"/>
      <c r="F42" s="428"/>
      <c r="G42" s="501"/>
      <c r="H42" s="409">
        <f>SUM(H39:H41)</f>
        <v>1813.4029999999998</v>
      </c>
      <c r="I42" s="410"/>
      <c r="J42" s="428"/>
      <c r="K42" s="501"/>
      <c r="L42" s="409">
        <f>SUM(L39:L41)</f>
        <v>1942.424</v>
      </c>
      <c r="M42" s="410"/>
      <c r="N42" s="411">
        <f t="shared" si="5"/>
        <v>129.02100000000019</v>
      </c>
      <c r="O42" s="412">
        <f t="shared" si="6"/>
        <v>7.1148553300066336E-2</v>
      </c>
      <c r="P42" s="52"/>
      <c r="Q42" s="428"/>
      <c r="R42" s="501"/>
      <c r="S42" s="409">
        <f>SUM(S39:S41)</f>
        <v>1797.9140000000002</v>
      </c>
      <c r="T42" s="410"/>
      <c r="U42" s="411">
        <f t="shared" si="9"/>
        <v>-144.50999999999976</v>
      </c>
      <c r="V42" s="412">
        <f t="shared" si="10"/>
        <v>-7.4396733154038344E-2</v>
      </c>
      <c r="W42" s="52"/>
      <c r="X42" s="428"/>
      <c r="Y42" s="501"/>
      <c r="Z42" s="409">
        <f>SUM(Z39:Z41)</f>
        <v>1882.9750000000001</v>
      </c>
      <c r="AA42" s="410"/>
      <c r="AB42" s="411">
        <f t="shared" si="13"/>
        <v>85.060999999999922</v>
      </c>
      <c r="AC42" s="412">
        <f t="shared" si="14"/>
        <v>4.7310939232910978E-2</v>
      </c>
      <c r="AD42" s="52"/>
      <c r="AE42" s="428"/>
      <c r="AF42" s="501"/>
      <c r="AG42" s="409">
        <f>SUM(AG39:AG41)</f>
        <v>1951.6850000000002</v>
      </c>
      <c r="AH42" s="410"/>
      <c r="AI42" s="411">
        <f t="shared" si="17"/>
        <v>68.710000000000036</v>
      </c>
      <c r="AJ42" s="412">
        <f t="shared" si="18"/>
        <v>3.6490128652796786E-2</v>
      </c>
      <c r="AK42" s="52"/>
      <c r="AL42" s="428"/>
      <c r="AM42" s="501"/>
      <c r="AN42" s="409">
        <f>SUM(AN39:AN41)</f>
        <v>2016.9480000000003</v>
      </c>
      <c r="AO42" s="410"/>
      <c r="AP42" s="411">
        <f t="shared" si="21"/>
        <v>65.263000000000147</v>
      </c>
      <c r="AQ42" s="412">
        <f t="shared" si="22"/>
        <v>3.3439310134576093E-2</v>
      </c>
      <c r="AR42" s="413"/>
    </row>
    <row r="43" spans="1:44" ht="12" customHeight="1">
      <c r="A43" s="52"/>
      <c r="B43" s="320" t="s">
        <v>257</v>
      </c>
      <c r="C43" s="395" t="str">
        <f t="shared" ref="C43:C45" si="49">D$6&amp;"."&amp;B43</f>
        <v>General Service 50 to 1,499 KW.Wholesale Market Service Charge (WMSC)</v>
      </c>
      <c r="D43" s="396" t="s">
        <v>308</v>
      </c>
      <c r="E43" s="320"/>
      <c r="F43" s="414">
        <f>IFERROR(VLOOKUP($C43,'Proposed Rates'!$B:$J,F$11,FALSE),0)</f>
        <v>4.4999999999999997E-3</v>
      </c>
      <c r="G43" s="421">
        <f t="shared" ref="G43:G44" si="50">$F$9+G$37</f>
        <v>52723.8</v>
      </c>
      <c r="H43" s="400">
        <f t="shared" ref="H43:H46" si="51">G43*F43</f>
        <v>237.25710000000001</v>
      </c>
      <c r="I43" s="128"/>
      <c r="J43" s="414">
        <f>IFERROR(VLOOKUP($C43,'Proposed Rates'!$B:$J,J$11,FALSE),0)</f>
        <v>4.4999999999999997E-3</v>
      </c>
      <c r="K43" s="421">
        <f t="shared" ref="K43:K44" si="52">$F$9+K$37</f>
        <v>52693.2</v>
      </c>
      <c r="L43" s="400">
        <f t="shared" ref="L43:L46" si="53">K43*J43</f>
        <v>237.11939999999996</v>
      </c>
      <c r="M43" s="128"/>
      <c r="N43" s="401">
        <f t="shared" si="5"/>
        <v>-0.13770000000005211</v>
      </c>
      <c r="O43" s="402">
        <f t="shared" si="6"/>
        <v>-5.8038305281507747E-4</v>
      </c>
      <c r="P43" s="52"/>
      <c r="Q43" s="414">
        <f>IFERROR(VLOOKUP($C43,'Proposed Rates'!$B:$J,Q$11,FALSE),0)</f>
        <v>4.4999999999999997E-3</v>
      </c>
      <c r="R43" s="421">
        <f t="shared" ref="R43:R44" si="54">$F$9+R$37</f>
        <v>52693.2</v>
      </c>
      <c r="S43" s="400">
        <f t="shared" ref="S43:S46" si="55">R43*Q43</f>
        <v>237.11939999999996</v>
      </c>
      <c r="T43" s="128"/>
      <c r="U43" s="401">
        <f t="shared" si="9"/>
        <v>0</v>
      </c>
      <c r="V43" s="402">
        <f t="shared" si="10"/>
        <v>0</v>
      </c>
      <c r="W43" s="52"/>
      <c r="X43" s="414">
        <f>IFERROR(VLOOKUP($C43,'Proposed Rates'!$B:$J,X$11,FALSE),0)</f>
        <v>4.4999999999999997E-3</v>
      </c>
      <c r="Y43" s="421">
        <f t="shared" ref="Y43:Y44" si="56">$F$9+Y$37</f>
        <v>52693.2</v>
      </c>
      <c r="Z43" s="400">
        <f t="shared" ref="Z43:Z46" si="57">Y43*X43</f>
        <v>237.11939999999996</v>
      </c>
      <c r="AA43" s="128"/>
      <c r="AB43" s="401">
        <f t="shared" si="13"/>
        <v>0</v>
      </c>
      <c r="AC43" s="402">
        <f t="shared" si="14"/>
        <v>0</v>
      </c>
      <c r="AD43" s="52"/>
      <c r="AE43" s="414">
        <f>IFERROR(VLOOKUP($C43,'Proposed Rates'!$B:$J,AE$11,FALSE),0)</f>
        <v>4.4999999999999997E-3</v>
      </c>
      <c r="AF43" s="421">
        <f t="shared" ref="AF43:AF44" si="58">$F$9+AF$37</f>
        <v>52693.2</v>
      </c>
      <c r="AG43" s="400">
        <f t="shared" ref="AG43:AG46" si="59">AF43*AE43</f>
        <v>237.11939999999996</v>
      </c>
      <c r="AH43" s="128"/>
      <c r="AI43" s="401">
        <f t="shared" si="17"/>
        <v>0</v>
      </c>
      <c r="AJ43" s="402">
        <f t="shared" si="18"/>
        <v>0</v>
      </c>
      <c r="AK43" s="52"/>
      <c r="AL43" s="414">
        <f>IFERROR(VLOOKUP($C43,'Proposed Rates'!$B:$J,AL$11,FALSE),0)</f>
        <v>4.4999999999999997E-3</v>
      </c>
      <c r="AM43" s="421">
        <f t="shared" ref="AM43:AM44" si="60">$F$9+AM$37</f>
        <v>52693.2</v>
      </c>
      <c r="AN43" s="400">
        <f t="shared" ref="AN43:AN46" si="61">AM43*AL43</f>
        <v>237.11939999999996</v>
      </c>
      <c r="AO43" s="128"/>
      <c r="AP43" s="401">
        <f t="shared" si="21"/>
        <v>0</v>
      </c>
      <c r="AQ43" s="402">
        <f t="shared" si="22"/>
        <v>0</v>
      </c>
      <c r="AR43" s="403"/>
    </row>
    <row r="44" spans="1:44" ht="12" customHeight="1">
      <c r="A44" s="52"/>
      <c r="B44" s="320" t="s">
        <v>258</v>
      </c>
      <c r="C44" s="395" t="str">
        <f t="shared" si="49"/>
        <v>General Service 50 to 1,499 KW.Rural and Remote Rate Protection (RRRP)</v>
      </c>
      <c r="D44" s="396" t="s">
        <v>308</v>
      </c>
      <c r="E44" s="320"/>
      <c r="F44" s="414">
        <f>IFERROR(VLOOKUP($C44,'Proposed Rates'!$B:$J,F$11,FALSE),0)</f>
        <v>1.5E-3</v>
      </c>
      <c r="G44" s="421">
        <f t="shared" si="50"/>
        <v>52723.8</v>
      </c>
      <c r="H44" s="400">
        <f t="shared" si="51"/>
        <v>79.085700000000003</v>
      </c>
      <c r="I44" s="128"/>
      <c r="J44" s="414">
        <f>IFERROR(VLOOKUP($C44,'Proposed Rates'!$B:$J,J$11,FALSE),0)</f>
        <v>1.5E-3</v>
      </c>
      <c r="K44" s="421">
        <f t="shared" si="52"/>
        <v>52693.2</v>
      </c>
      <c r="L44" s="400">
        <f t="shared" si="53"/>
        <v>79.0398</v>
      </c>
      <c r="M44" s="128"/>
      <c r="N44" s="401">
        <f t="shared" si="5"/>
        <v>-4.590000000000316E-2</v>
      </c>
      <c r="O44" s="402">
        <f t="shared" si="6"/>
        <v>-5.8038305281489771E-4</v>
      </c>
      <c r="P44" s="52"/>
      <c r="Q44" s="414">
        <f>IFERROR(VLOOKUP($C44,'Proposed Rates'!$B:$J,Q$11,FALSE),0)</f>
        <v>1.5E-3</v>
      </c>
      <c r="R44" s="421">
        <f t="shared" si="54"/>
        <v>52693.2</v>
      </c>
      <c r="S44" s="400">
        <f t="shared" si="55"/>
        <v>79.0398</v>
      </c>
      <c r="T44" s="128"/>
      <c r="U44" s="401">
        <f t="shared" si="9"/>
        <v>0</v>
      </c>
      <c r="V44" s="402">
        <f t="shared" si="10"/>
        <v>0</v>
      </c>
      <c r="W44" s="52"/>
      <c r="X44" s="414">
        <f>IFERROR(VLOOKUP($C44,'Proposed Rates'!$B:$J,X$11,FALSE),0)</f>
        <v>1.5E-3</v>
      </c>
      <c r="Y44" s="421">
        <f t="shared" si="56"/>
        <v>52693.2</v>
      </c>
      <c r="Z44" s="400">
        <f t="shared" si="57"/>
        <v>79.0398</v>
      </c>
      <c r="AA44" s="128"/>
      <c r="AB44" s="401">
        <f t="shared" si="13"/>
        <v>0</v>
      </c>
      <c r="AC44" s="402">
        <f t="shared" si="14"/>
        <v>0</v>
      </c>
      <c r="AD44" s="52"/>
      <c r="AE44" s="414">
        <f>IFERROR(VLOOKUP($C44,'Proposed Rates'!$B:$J,AE$11,FALSE),0)</f>
        <v>1.5E-3</v>
      </c>
      <c r="AF44" s="421">
        <f t="shared" si="58"/>
        <v>52693.2</v>
      </c>
      <c r="AG44" s="400">
        <f t="shared" si="59"/>
        <v>79.0398</v>
      </c>
      <c r="AH44" s="128"/>
      <c r="AI44" s="401">
        <f t="shared" si="17"/>
        <v>0</v>
      </c>
      <c r="AJ44" s="402">
        <f t="shared" si="18"/>
        <v>0</v>
      </c>
      <c r="AK44" s="52"/>
      <c r="AL44" s="414">
        <f>IFERROR(VLOOKUP($C44,'Proposed Rates'!$B:$J,AL$11,FALSE),0)</f>
        <v>1.5E-3</v>
      </c>
      <c r="AM44" s="421">
        <f t="shared" si="60"/>
        <v>52693.2</v>
      </c>
      <c r="AN44" s="400">
        <f t="shared" si="61"/>
        <v>79.0398</v>
      </c>
      <c r="AO44" s="128"/>
      <c r="AP44" s="401">
        <f t="shared" si="21"/>
        <v>0</v>
      </c>
      <c r="AQ44" s="402">
        <f t="shared" si="22"/>
        <v>0</v>
      </c>
      <c r="AR44" s="403"/>
    </row>
    <row r="45" spans="1:44" ht="12" customHeight="1">
      <c r="A45" s="52"/>
      <c r="B45" s="320" t="s">
        <v>260</v>
      </c>
      <c r="C45" s="395" t="str">
        <f t="shared" si="49"/>
        <v>General Service 50 to 1,499 KW.Standard Supply Service Charge</v>
      </c>
      <c r="D45" s="396" t="s">
        <v>306</v>
      </c>
      <c r="E45" s="320"/>
      <c r="F45" s="397">
        <f>IFERROR(VLOOKUP($C45,'Proposed Rates'!$B:$J,F$11,FALSE),0)</f>
        <v>0.25</v>
      </c>
      <c r="G45" s="415">
        <f>IF($D45="Monthly",1,IF($D45="per KW",$F$10,IF($D45="per kWh",$F$9,0)))</f>
        <v>1</v>
      </c>
      <c r="H45" s="400">
        <f t="shared" si="51"/>
        <v>0.25</v>
      </c>
      <c r="I45" s="128"/>
      <c r="J45" s="397">
        <f>IFERROR(VLOOKUP($C45,'Proposed Rates'!$B:$J,J$11,FALSE),0)</f>
        <v>1.51</v>
      </c>
      <c r="K45" s="415">
        <f>IF($D45="Monthly",1,IF($D45="per KW",$F$10,IF($D45="per kWh",$F$9,0)))</f>
        <v>1</v>
      </c>
      <c r="L45" s="400">
        <f t="shared" si="53"/>
        <v>1.51</v>
      </c>
      <c r="M45" s="128"/>
      <c r="N45" s="401">
        <f t="shared" si="5"/>
        <v>1.26</v>
      </c>
      <c r="O45" s="402">
        <f t="shared" si="6"/>
        <v>5.04</v>
      </c>
      <c r="P45" s="52"/>
      <c r="Q45" s="397">
        <f>IFERROR(VLOOKUP($C45,'Proposed Rates'!$B:$J,Q$11,FALSE),0)</f>
        <v>1.54</v>
      </c>
      <c r="R45" s="415">
        <f>IF($D45="Monthly",1,IF($D45="per KW",$F$10,IF($D45="per kWh",$F$9,0)))</f>
        <v>1</v>
      </c>
      <c r="S45" s="400">
        <f t="shared" si="55"/>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7"/>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9"/>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1"/>
        <v>1.63</v>
      </c>
      <c r="AO45" s="128"/>
      <c r="AP45" s="401">
        <f t="shared" si="21"/>
        <v>2.9999999999999805E-2</v>
      </c>
      <c r="AQ45" s="402">
        <f t="shared" si="22"/>
        <v>1.8749999999999878E-2</v>
      </c>
      <c r="AR45" s="403"/>
    </row>
    <row r="46" spans="1:44" ht="12" customHeight="1">
      <c r="A46" s="52"/>
      <c r="B46" s="320" t="s">
        <v>267</v>
      </c>
      <c r="C46" s="395" t="str">
        <f>B46</f>
        <v>Average IESO Wholesale Market Price</v>
      </c>
      <c r="D46" s="396" t="s">
        <v>308</v>
      </c>
      <c r="E46" s="320"/>
      <c r="F46" s="414">
        <f>IFERROR(VLOOKUP($C46,'Proposed Rates'!$B:$J,F$11,FALSE),0)</f>
        <v>0.1045</v>
      </c>
      <c r="G46" s="421">
        <f>$F$9+G$37</f>
        <v>52723.8</v>
      </c>
      <c r="H46" s="400">
        <f t="shared" si="51"/>
        <v>5509.6370999999999</v>
      </c>
      <c r="I46" s="128"/>
      <c r="J46" s="414">
        <f>IFERROR(VLOOKUP($C46,'Proposed Rates'!$B:$J,J$11,FALSE),0)</f>
        <v>0.1045</v>
      </c>
      <c r="K46" s="421">
        <f>$F$9+K$37</f>
        <v>52693.2</v>
      </c>
      <c r="L46" s="400">
        <f t="shared" si="53"/>
        <v>5506.4393999999993</v>
      </c>
      <c r="M46" s="128"/>
      <c r="N46" s="401">
        <f t="shared" si="5"/>
        <v>-3.1977000000006228</v>
      </c>
      <c r="O46" s="402">
        <f t="shared" si="6"/>
        <v>-5.8038305281497089E-4</v>
      </c>
      <c r="P46" s="52"/>
      <c r="Q46" s="414">
        <f>IFERROR(VLOOKUP($C46,'Proposed Rates'!$B:$J,Q$11,FALSE),0)</f>
        <v>0.1045</v>
      </c>
      <c r="R46" s="421">
        <f>$F$9+R$37</f>
        <v>52693.2</v>
      </c>
      <c r="S46" s="400">
        <f t="shared" si="55"/>
        <v>5506.4393999999993</v>
      </c>
      <c r="T46" s="128"/>
      <c r="U46" s="401">
        <f t="shared" si="9"/>
        <v>0</v>
      </c>
      <c r="V46" s="402">
        <f t="shared" si="10"/>
        <v>0</v>
      </c>
      <c r="W46" s="52"/>
      <c r="X46" s="414">
        <f>IFERROR(VLOOKUP($C46,'Proposed Rates'!$B:$J,X$11,FALSE),0)</f>
        <v>0.1045</v>
      </c>
      <c r="Y46" s="421">
        <f>$F$9+Y$37</f>
        <v>52693.2</v>
      </c>
      <c r="Z46" s="400">
        <f t="shared" si="57"/>
        <v>5506.4393999999993</v>
      </c>
      <c r="AA46" s="128"/>
      <c r="AB46" s="401">
        <f t="shared" si="13"/>
        <v>0</v>
      </c>
      <c r="AC46" s="402">
        <f t="shared" si="14"/>
        <v>0</v>
      </c>
      <c r="AD46" s="52"/>
      <c r="AE46" s="414">
        <f>IFERROR(VLOOKUP($C46,'Proposed Rates'!$B:$J,AE$11,FALSE),0)</f>
        <v>0.1045</v>
      </c>
      <c r="AF46" s="421">
        <f>$F$9+AF$37</f>
        <v>52693.2</v>
      </c>
      <c r="AG46" s="400">
        <f t="shared" si="59"/>
        <v>5506.4393999999993</v>
      </c>
      <c r="AH46" s="128"/>
      <c r="AI46" s="401">
        <f t="shared" si="17"/>
        <v>0</v>
      </c>
      <c r="AJ46" s="402">
        <f t="shared" si="18"/>
        <v>0</v>
      </c>
      <c r="AK46" s="52"/>
      <c r="AL46" s="414">
        <f>IFERROR(VLOOKUP($C46,'Proposed Rates'!$B:$J,AL$11,FALSE),0)</f>
        <v>0.1045</v>
      </c>
      <c r="AM46" s="421">
        <f>$F$9+AM$37</f>
        <v>52693.2</v>
      </c>
      <c r="AN46" s="400">
        <f t="shared" si="61"/>
        <v>5506.4393999999993</v>
      </c>
      <c r="AO46" s="128"/>
      <c r="AP46" s="401">
        <f t="shared" si="21"/>
        <v>0</v>
      </c>
      <c r="AQ46" s="402">
        <f t="shared" si="22"/>
        <v>0</v>
      </c>
      <c r="AR46" s="403"/>
    </row>
    <row r="47" spans="1:44" ht="12" customHeight="1">
      <c r="A47" s="52"/>
      <c r="B47" s="320"/>
      <c r="C47" s="395" t="str">
        <f t="shared" ref="C47:C50" si="62">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12" customHeight="1">
      <c r="A48" s="52"/>
      <c r="B48" s="52"/>
      <c r="C48" s="395" t="str">
        <f t="shared" si="62"/>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12" customHeight="1">
      <c r="A49" s="52"/>
      <c r="B49" s="320"/>
      <c r="C49" s="395" t="str">
        <f t="shared" si="62"/>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12" customHeight="1">
      <c r="A50" s="52"/>
      <c r="B50" s="320"/>
      <c r="C50" s="395" t="str">
        <f t="shared" si="62"/>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12" customHeight="1">
      <c r="A51" s="52"/>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 customHeight="1">
      <c r="A52" s="52"/>
      <c r="B52" s="444" t="s">
        <v>315</v>
      </c>
      <c r="C52" s="320"/>
      <c r="D52" s="320"/>
      <c r="E52" s="320"/>
      <c r="F52" s="445"/>
      <c r="G52" s="489"/>
      <c r="H52" s="447">
        <f>SUM(H43:H48,H42)</f>
        <v>7639.6329000000005</v>
      </c>
      <c r="I52" s="482"/>
      <c r="J52" s="446"/>
      <c r="K52" s="446"/>
      <c r="L52" s="447">
        <f>SUM(L43:L48,L42)</f>
        <v>7766.5325999999995</v>
      </c>
      <c r="M52" s="449"/>
      <c r="N52" s="448">
        <f t="shared" ref="N52:N56" si="63">L52-H52</f>
        <v>126.89969999999903</v>
      </c>
      <c r="O52" s="450">
        <f t="shared" ref="O52:O56" si="64">IF((H52)=0,"",(N52/H52))</f>
        <v>1.6610706517063013E-2</v>
      </c>
      <c r="P52" s="52"/>
      <c r="Q52" s="446"/>
      <c r="R52" s="446"/>
      <c r="S52" s="447">
        <f>SUM(S43:S48,S42)</f>
        <v>7622.0525999999991</v>
      </c>
      <c r="T52" s="449"/>
      <c r="U52" s="448">
        <f t="shared" ref="U52:U56" si="65">S52-L52</f>
        <v>-144.48000000000047</v>
      </c>
      <c r="V52" s="450">
        <f t="shared" ref="V52:V56" si="66">IF((L52)=0,"",(U52/L52))</f>
        <v>-1.8602896226818193E-2</v>
      </c>
      <c r="W52" s="52"/>
      <c r="X52" s="446"/>
      <c r="Y52" s="446"/>
      <c r="Z52" s="447">
        <f>SUM(Z43:Z48,Z42)</f>
        <v>7707.1435999999994</v>
      </c>
      <c r="AA52" s="449"/>
      <c r="AB52" s="448">
        <f t="shared" ref="AB52:AB56" si="67">Z52-S52</f>
        <v>85.091000000000349</v>
      </c>
      <c r="AC52" s="450">
        <f t="shared" ref="AC52:AC56" si="68">IF((S52)=0,"",(AB52/S52))</f>
        <v>1.1163790709080171E-2</v>
      </c>
      <c r="AD52" s="52"/>
      <c r="AE52" s="446"/>
      <c r="AF52" s="446"/>
      <c r="AG52" s="447">
        <f>SUM(AG43:AG48,AG42)</f>
        <v>7775.8836000000001</v>
      </c>
      <c r="AH52" s="449"/>
      <c r="AI52" s="448">
        <f t="shared" ref="AI52:AI56" si="69">AG52-Z52</f>
        <v>68.740000000000691</v>
      </c>
      <c r="AJ52" s="450">
        <f t="shared" ref="AJ52:AJ56" si="70">IF((Z52)=0,"",(AI52/Z52))</f>
        <v>8.9189982135535525E-3</v>
      </c>
      <c r="AK52" s="52"/>
      <c r="AL52" s="446"/>
      <c r="AM52" s="446"/>
      <c r="AN52" s="447">
        <f>SUM(AN43:AN48,AN42)</f>
        <v>7841.1765999999998</v>
      </c>
      <c r="AO52" s="449"/>
      <c r="AP52" s="448">
        <f t="shared" ref="AP52:AP56" si="71">AN52-AG52</f>
        <v>65.292999999999665</v>
      </c>
      <c r="AQ52" s="450">
        <f t="shared" ref="AQ52:AQ56" si="72">IF((AG52)=0,"",(AP52/AG52))</f>
        <v>8.3968592328207779E-3</v>
      </c>
      <c r="AR52" s="451"/>
    </row>
    <row r="53" spans="1:44" ht="12" customHeight="1">
      <c r="A53" s="52"/>
      <c r="B53" s="452" t="s">
        <v>316</v>
      </c>
      <c r="C53" s="320"/>
      <c r="D53" s="320"/>
      <c r="E53" s="320"/>
      <c r="F53" s="445">
        <v>0.13</v>
      </c>
      <c r="G53" s="128"/>
      <c r="H53" s="490">
        <f>H52*F53</f>
        <v>993.15227700000014</v>
      </c>
      <c r="I53" s="417"/>
      <c r="J53" s="453">
        <v>0.13</v>
      </c>
      <c r="K53" s="417"/>
      <c r="L53" s="400">
        <f>L52*J53</f>
        <v>1009.649238</v>
      </c>
      <c r="M53" s="128"/>
      <c r="N53" s="401">
        <f t="shared" si="63"/>
        <v>16.496960999999828</v>
      </c>
      <c r="O53" s="402">
        <f t="shared" si="64"/>
        <v>1.6610706517062968E-2</v>
      </c>
      <c r="P53" s="52"/>
      <c r="Q53" s="453">
        <v>0.13</v>
      </c>
      <c r="R53" s="417"/>
      <c r="S53" s="400">
        <f>S52*Q53</f>
        <v>990.86683799999992</v>
      </c>
      <c r="T53" s="128"/>
      <c r="U53" s="401">
        <f t="shared" si="65"/>
        <v>-18.782400000000052</v>
      </c>
      <c r="V53" s="402">
        <f t="shared" si="66"/>
        <v>-1.8602896226818183E-2</v>
      </c>
      <c r="W53" s="52"/>
      <c r="X53" s="453">
        <v>0.13</v>
      </c>
      <c r="Y53" s="417"/>
      <c r="Z53" s="400">
        <f>Z52*X53</f>
        <v>1001.928668</v>
      </c>
      <c r="AA53" s="128"/>
      <c r="AB53" s="401">
        <f t="shared" si="67"/>
        <v>11.0618300000001</v>
      </c>
      <c r="AC53" s="402">
        <f t="shared" si="68"/>
        <v>1.1163790709080225E-2</v>
      </c>
      <c r="AD53" s="52"/>
      <c r="AE53" s="453">
        <v>0.13</v>
      </c>
      <c r="AF53" s="417"/>
      <c r="AG53" s="400">
        <f>AG52*AE53</f>
        <v>1010.864868</v>
      </c>
      <c r="AH53" s="128"/>
      <c r="AI53" s="401">
        <f t="shared" si="69"/>
        <v>8.9361999999999853</v>
      </c>
      <c r="AJ53" s="402">
        <f t="shared" si="70"/>
        <v>8.9189982135534467E-3</v>
      </c>
      <c r="AK53" s="52"/>
      <c r="AL53" s="453">
        <v>0.13</v>
      </c>
      <c r="AM53" s="417"/>
      <c r="AN53" s="400">
        <f>AN52*AL53</f>
        <v>1019.3529580000001</v>
      </c>
      <c r="AO53" s="128"/>
      <c r="AP53" s="401">
        <f t="shared" si="71"/>
        <v>8.4880900000000565</v>
      </c>
      <c r="AQ53" s="402">
        <f t="shared" si="72"/>
        <v>8.3968592328208767E-3</v>
      </c>
      <c r="AR53" s="403"/>
    </row>
    <row r="54" spans="1:44" ht="12" customHeight="1">
      <c r="A54" s="52"/>
      <c r="B54" s="454" t="s">
        <v>378</v>
      </c>
      <c r="C54" s="320"/>
      <c r="D54" s="320"/>
      <c r="E54" s="320"/>
      <c r="F54" s="455"/>
      <c r="G54" s="128"/>
      <c r="H54" s="490">
        <f>H52+H53</f>
        <v>8632.7851770000016</v>
      </c>
      <c r="I54" s="417"/>
      <c r="J54" s="417"/>
      <c r="K54" s="417"/>
      <c r="L54" s="400">
        <f>L52+L53</f>
        <v>8776.1818380000004</v>
      </c>
      <c r="M54" s="128"/>
      <c r="N54" s="401">
        <f t="shared" si="63"/>
        <v>143.39666099999886</v>
      </c>
      <c r="O54" s="402">
        <f t="shared" si="64"/>
        <v>1.6610706517063006E-2</v>
      </c>
      <c r="P54" s="52"/>
      <c r="Q54" s="417"/>
      <c r="R54" s="417"/>
      <c r="S54" s="400">
        <f>S52+S53</f>
        <v>8612.919437999999</v>
      </c>
      <c r="T54" s="128"/>
      <c r="U54" s="401">
        <f t="shared" si="65"/>
        <v>-163.26240000000143</v>
      </c>
      <c r="V54" s="402">
        <f t="shared" si="66"/>
        <v>-1.8602896226818294E-2</v>
      </c>
      <c r="W54" s="52"/>
      <c r="X54" s="417"/>
      <c r="Y54" s="417"/>
      <c r="Z54" s="400">
        <f>Z52+Z53</f>
        <v>8709.0722679999999</v>
      </c>
      <c r="AA54" s="128"/>
      <c r="AB54" s="401">
        <f t="shared" si="67"/>
        <v>96.152830000000904</v>
      </c>
      <c r="AC54" s="402">
        <f t="shared" si="68"/>
        <v>1.116379070908023E-2</v>
      </c>
      <c r="AD54" s="52"/>
      <c r="AE54" s="417"/>
      <c r="AF54" s="417"/>
      <c r="AG54" s="400">
        <f>AG52+AG53</f>
        <v>8786.7484679999998</v>
      </c>
      <c r="AH54" s="128"/>
      <c r="AI54" s="401">
        <f t="shared" si="69"/>
        <v>77.676199999999881</v>
      </c>
      <c r="AJ54" s="402">
        <f t="shared" si="70"/>
        <v>8.9189982135534484E-3</v>
      </c>
      <c r="AK54" s="52"/>
      <c r="AL54" s="417"/>
      <c r="AM54" s="417"/>
      <c r="AN54" s="400">
        <f>AN52+AN53</f>
        <v>8860.5295580000002</v>
      </c>
      <c r="AO54" s="128"/>
      <c r="AP54" s="401">
        <f t="shared" si="71"/>
        <v>73.781090000000404</v>
      </c>
      <c r="AQ54" s="402">
        <f t="shared" si="72"/>
        <v>8.3968592328208663E-3</v>
      </c>
      <c r="AR54" s="403"/>
    </row>
    <row r="55" spans="1:44" ht="12" customHeight="1">
      <c r="A55" s="52"/>
      <c r="B55" s="628"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row>
    <row r="56" spans="1:44" ht="12" customHeight="1">
      <c r="A56" s="52"/>
      <c r="B56" s="627" t="s">
        <v>318</v>
      </c>
      <c r="C56" s="613"/>
      <c r="D56" s="613"/>
      <c r="E56" s="461"/>
      <c r="F56" s="462"/>
      <c r="G56" s="493"/>
      <c r="H56" s="494">
        <f>H54-H55</f>
        <v>8632.7851770000016</v>
      </c>
      <c r="I56" s="463"/>
      <c r="J56" s="463"/>
      <c r="K56" s="463"/>
      <c r="L56" s="464">
        <f>L54-L55</f>
        <v>8776.1818380000004</v>
      </c>
      <c r="M56" s="465"/>
      <c r="N56" s="466">
        <f t="shared" si="63"/>
        <v>143.39666099999886</v>
      </c>
      <c r="O56" s="467">
        <f t="shared" si="64"/>
        <v>1.6610706517063006E-2</v>
      </c>
      <c r="P56" s="52"/>
      <c r="Q56" s="463"/>
      <c r="R56" s="463"/>
      <c r="S56" s="464">
        <f>S54-S55</f>
        <v>8612.919437999999</v>
      </c>
      <c r="T56" s="465"/>
      <c r="U56" s="466">
        <f t="shared" si="65"/>
        <v>-163.26240000000143</v>
      </c>
      <c r="V56" s="467">
        <f t="shared" si="66"/>
        <v>-1.8602896226818294E-2</v>
      </c>
      <c r="W56" s="52"/>
      <c r="X56" s="463"/>
      <c r="Y56" s="463"/>
      <c r="Z56" s="464">
        <f>Z54-Z55</f>
        <v>8709.0722679999999</v>
      </c>
      <c r="AA56" s="465"/>
      <c r="AB56" s="466">
        <f t="shared" si="67"/>
        <v>96.152830000000904</v>
      </c>
      <c r="AC56" s="467">
        <f t="shared" si="68"/>
        <v>1.116379070908023E-2</v>
      </c>
      <c r="AD56" s="52"/>
      <c r="AE56" s="463"/>
      <c r="AF56" s="463"/>
      <c r="AG56" s="464">
        <f>AG54-AG55</f>
        <v>8786.7484679999998</v>
      </c>
      <c r="AH56" s="465"/>
      <c r="AI56" s="466">
        <f t="shared" si="69"/>
        <v>77.676199999999881</v>
      </c>
      <c r="AJ56" s="467">
        <f t="shared" si="70"/>
        <v>8.9189982135534484E-3</v>
      </c>
      <c r="AK56" s="52"/>
      <c r="AL56" s="463"/>
      <c r="AM56" s="463"/>
      <c r="AN56" s="464">
        <f>AN54-AN55</f>
        <v>8860.5295580000002</v>
      </c>
      <c r="AO56" s="465"/>
      <c r="AP56" s="466">
        <f t="shared" si="71"/>
        <v>73.781090000000404</v>
      </c>
      <c r="AQ56" s="467">
        <f t="shared" si="72"/>
        <v>8.3968592328208663E-3</v>
      </c>
      <c r="AR56" s="468"/>
    </row>
    <row r="57" spans="1:44" ht="12" customHeight="1">
      <c r="A57" s="52"/>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 customHeight="1">
      <c r="A58" s="513"/>
      <c r="B58" s="514" t="s">
        <v>319</v>
      </c>
      <c r="C58" s="515"/>
      <c r="D58" s="515"/>
      <c r="E58" s="515"/>
      <c r="F58" s="516"/>
      <c r="G58" s="517"/>
      <c r="H58" s="518">
        <f>SUM(H49:H50,H42,H43:H45)</f>
        <v>2129.9957999999997</v>
      </c>
      <c r="I58" s="519"/>
      <c r="J58" s="520"/>
      <c r="K58" s="520"/>
      <c r="L58" s="518">
        <f>SUM(L49:L50,L42,L43:L45)</f>
        <v>2260.0932000000003</v>
      </c>
      <c r="M58" s="521"/>
      <c r="N58" s="522">
        <f t="shared" ref="N58:N62" si="73">L58-H58</f>
        <v>130.09740000000056</v>
      </c>
      <c r="O58" s="523">
        <f t="shared" ref="O58:O62" si="74">IF((H58)=0,"",(N58/H58))</f>
        <v>6.107871198619292E-2</v>
      </c>
      <c r="P58" s="513"/>
      <c r="Q58" s="520"/>
      <c r="R58" s="520"/>
      <c r="S58" s="518">
        <f>SUM(S49:S50,S42,S43:S45)</f>
        <v>2115.6132000000002</v>
      </c>
      <c r="T58" s="521"/>
      <c r="U58" s="522">
        <f t="shared" ref="U58:U62" si="75">S58-L58</f>
        <v>-144.48000000000002</v>
      </c>
      <c r="V58" s="523">
        <f t="shared" ref="V58:V62" si="76">IF((L58)=0,"",(U58/L58))</f>
        <v>-6.3926567276075166E-2</v>
      </c>
      <c r="W58" s="513"/>
      <c r="X58" s="520"/>
      <c r="Y58" s="520"/>
      <c r="Z58" s="518">
        <f>SUM(Z49:Z50,Z42,Z43:Z45)</f>
        <v>2200.7042000000001</v>
      </c>
      <c r="AA58" s="521"/>
      <c r="AB58" s="522">
        <f t="shared" ref="AB58:AB62" si="77">Z58-S58</f>
        <v>85.090999999999894</v>
      </c>
      <c r="AC58" s="523">
        <f t="shared" ref="AC58:AC62" si="78">IF((S58)=0,"",(AB58/S58))</f>
        <v>4.0220490210592319E-2</v>
      </c>
      <c r="AD58" s="513"/>
      <c r="AE58" s="520"/>
      <c r="AF58" s="520"/>
      <c r="AG58" s="518">
        <f>SUM(AG49:AG50,AG42,AG43:AG45)</f>
        <v>2269.4441999999999</v>
      </c>
      <c r="AH58" s="521"/>
      <c r="AI58" s="522">
        <f t="shared" ref="AI58:AI62" si="79">AG58-Z58</f>
        <v>68.739999999999782</v>
      </c>
      <c r="AJ58" s="523">
        <f t="shared" ref="AJ58:AJ62" si="80">IF((Z58)=0,"",(AI58/Z58))</f>
        <v>3.1235456359832357E-2</v>
      </c>
      <c r="AK58" s="513"/>
      <c r="AL58" s="520"/>
      <c r="AM58" s="520"/>
      <c r="AN58" s="518">
        <f>SUM(AN49:AN50,AN42,AN43:AN45)</f>
        <v>2334.7372000000005</v>
      </c>
      <c r="AO58" s="521"/>
      <c r="AP58" s="522">
        <f t="shared" ref="AP58:AP62" si="81">AN58-AG58</f>
        <v>65.293000000000575</v>
      </c>
      <c r="AQ58" s="523">
        <f t="shared" ref="AQ58:AQ62" si="82">IF((AG58)=0,"",(AP58/AG58))</f>
        <v>2.8770480455082605E-2</v>
      </c>
      <c r="AR58" s="524"/>
    </row>
    <row r="59" spans="1:44" ht="12" customHeight="1">
      <c r="A59" s="513"/>
      <c r="B59" s="525" t="s">
        <v>316</v>
      </c>
      <c r="C59" s="515"/>
      <c r="D59" s="515"/>
      <c r="E59" s="515"/>
      <c r="F59" s="516">
        <v>0.13</v>
      </c>
      <c r="G59" s="517"/>
      <c r="H59" s="526">
        <f>H58*F59</f>
        <v>276.89945399999999</v>
      </c>
      <c r="I59" s="527"/>
      <c r="J59" s="516">
        <v>0.13</v>
      </c>
      <c r="K59" s="528"/>
      <c r="L59" s="529">
        <f>L58*J59</f>
        <v>293.81211600000006</v>
      </c>
      <c r="M59" s="530"/>
      <c r="N59" s="531">
        <f t="shared" si="73"/>
        <v>16.912662000000068</v>
      </c>
      <c r="O59" s="532">
        <f t="shared" si="74"/>
        <v>6.1078711986192899E-2</v>
      </c>
      <c r="P59" s="513"/>
      <c r="Q59" s="516">
        <v>0.13</v>
      </c>
      <c r="R59" s="528"/>
      <c r="S59" s="529">
        <f>S58*Q59</f>
        <v>275.02971600000006</v>
      </c>
      <c r="T59" s="530"/>
      <c r="U59" s="531">
        <f t="shared" si="75"/>
        <v>-18.782399999999996</v>
      </c>
      <c r="V59" s="532">
        <f t="shared" si="76"/>
        <v>-6.3926567276075139E-2</v>
      </c>
      <c r="W59" s="513"/>
      <c r="X59" s="516">
        <v>0.13</v>
      </c>
      <c r="Y59" s="528"/>
      <c r="Z59" s="529">
        <f>Z58*X59</f>
        <v>286.09154600000005</v>
      </c>
      <c r="AA59" s="530"/>
      <c r="AB59" s="531">
        <f t="shared" si="77"/>
        <v>11.061829999999986</v>
      </c>
      <c r="AC59" s="532">
        <f t="shared" si="78"/>
        <v>4.0220490210592312E-2</v>
      </c>
      <c r="AD59" s="513"/>
      <c r="AE59" s="516">
        <v>0.13</v>
      </c>
      <c r="AF59" s="528"/>
      <c r="AG59" s="529">
        <f>AG58*AE59</f>
        <v>295.02774599999998</v>
      </c>
      <c r="AH59" s="530"/>
      <c r="AI59" s="531">
        <f t="shared" si="79"/>
        <v>8.9361999999999284</v>
      </c>
      <c r="AJ59" s="532">
        <f t="shared" si="80"/>
        <v>3.12354563598322E-2</v>
      </c>
      <c r="AK59" s="513"/>
      <c r="AL59" s="516">
        <v>0.13</v>
      </c>
      <c r="AM59" s="528"/>
      <c r="AN59" s="529">
        <f>AN58*AL59</f>
        <v>303.51583600000009</v>
      </c>
      <c r="AO59" s="530"/>
      <c r="AP59" s="531">
        <f t="shared" si="81"/>
        <v>8.4880900000001134</v>
      </c>
      <c r="AQ59" s="532">
        <f t="shared" si="82"/>
        <v>2.8770480455082736E-2</v>
      </c>
      <c r="AR59" s="533"/>
    </row>
    <row r="60" spans="1:44" ht="12" customHeight="1">
      <c r="A60" s="513"/>
      <c r="B60" s="534" t="s">
        <v>379</v>
      </c>
      <c r="C60" s="515"/>
      <c r="D60" s="515"/>
      <c r="E60" s="515"/>
      <c r="F60" s="535"/>
      <c r="G60" s="530"/>
      <c r="H60" s="526">
        <f>H58+H59</f>
        <v>2406.8952539999996</v>
      </c>
      <c r="I60" s="527"/>
      <c r="J60" s="527"/>
      <c r="K60" s="527"/>
      <c r="L60" s="529">
        <f>L58+L59</f>
        <v>2553.9053160000003</v>
      </c>
      <c r="M60" s="530"/>
      <c r="N60" s="531">
        <f t="shared" si="73"/>
        <v>147.01006200000074</v>
      </c>
      <c r="O60" s="532">
        <f t="shared" si="74"/>
        <v>6.1078711986192968E-2</v>
      </c>
      <c r="P60" s="513"/>
      <c r="Q60" s="527"/>
      <c r="R60" s="527"/>
      <c r="S60" s="529">
        <f>S58+S59</f>
        <v>2390.6429160000002</v>
      </c>
      <c r="T60" s="530"/>
      <c r="U60" s="531">
        <f t="shared" si="75"/>
        <v>-163.26240000000007</v>
      </c>
      <c r="V60" s="532">
        <f t="shared" si="76"/>
        <v>-6.392656727607518E-2</v>
      </c>
      <c r="W60" s="513"/>
      <c r="X60" s="527"/>
      <c r="Y60" s="527"/>
      <c r="Z60" s="529">
        <f>Z58+Z59</f>
        <v>2486.7957460000002</v>
      </c>
      <c r="AA60" s="530"/>
      <c r="AB60" s="531">
        <f t="shared" si="77"/>
        <v>96.152829999999994</v>
      </c>
      <c r="AC60" s="532">
        <f t="shared" si="78"/>
        <v>4.0220490210592368E-2</v>
      </c>
      <c r="AD60" s="513"/>
      <c r="AE60" s="527"/>
      <c r="AF60" s="527"/>
      <c r="AG60" s="529">
        <f>AG58+AG59</f>
        <v>2564.4719459999997</v>
      </c>
      <c r="AH60" s="530"/>
      <c r="AI60" s="531">
        <f t="shared" si="79"/>
        <v>77.676199999999426</v>
      </c>
      <c r="AJ60" s="532">
        <f t="shared" si="80"/>
        <v>3.1235456359832225E-2</v>
      </c>
      <c r="AK60" s="513"/>
      <c r="AL60" s="527"/>
      <c r="AM60" s="527"/>
      <c r="AN60" s="529">
        <f>AN58+AN59</f>
        <v>2638.2530360000005</v>
      </c>
      <c r="AO60" s="530"/>
      <c r="AP60" s="531">
        <f t="shared" si="81"/>
        <v>73.781090000000859</v>
      </c>
      <c r="AQ60" s="532">
        <f t="shared" si="82"/>
        <v>2.8770480455082688E-2</v>
      </c>
      <c r="AR60" s="533"/>
    </row>
    <row r="61" spans="1:44" ht="12" customHeight="1">
      <c r="A61" s="513"/>
      <c r="B61" s="636" t="s">
        <v>273</v>
      </c>
      <c r="C61" s="615"/>
      <c r="D61" s="615"/>
      <c r="E61" s="515"/>
      <c r="F61" s="535"/>
      <c r="G61" s="530"/>
      <c r="H61" s="536">
        <f>F61*H58</f>
        <v>0</v>
      </c>
      <c r="I61" s="527"/>
      <c r="J61" s="527"/>
      <c r="K61" s="527"/>
      <c r="L61" s="537">
        <f>J61*L58</f>
        <v>0</v>
      </c>
      <c r="M61" s="530"/>
      <c r="N61" s="538">
        <f t="shared" si="73"/>
        <v>0</v>
      </c>
      <c r="O61" s="539" t="str">
        <f t="shared" si="74"/>
        <v/>
      </c>
      <c r="P61" s="513"/>
      <c r="Q61" s="527"/>
      <c r="R61" s="527"/>
      <c r="S61" s="537">
        <f>Q61*S58</f>
        <v>0</v>
      </c>
      <c r="T61" s="530"/>
      <c r="U61" s="538">
        <f t="shared" si="75"/>
        <v>0</v>
      </c>
      <c r="V61" s="539" t="str">
        <f t="shared" si="76"/>
        <v/>
      </c>
      <c r="W61" s="513"/>
      <c r="X61" s="527"/>
      <c r="Y61" s="527"/>
      <c r="Z61" s="537">
        <f>X61*Z58</f>
        <v>0</v>
      </c>
      <c r="AA61" s="530"/>
      <c r="AB61" s="538">
        <f t="shared" si="77"/>
        <v>0</v>
      </c>
      <c r="AC61" s="539" t="str">
        <f t="shared" si="78"/>
        <v/>
      </c>
      <c r="AD61" s="513"/>
      <c r="AE61" s="527"/>
      <c r="AF61" s="527"/>
      <c r="AG61" s="537">
        <f>AE61*AG58</f>
        <v>0</v>
      </c>
      <c r="AH61" s="530"/>
      <c r="AI61" s="538">
        <f t="shared" si="79"/>
        <v>0</v>
      </c>
      <c r="AJ61" s="539" t="str">
        <f t="shared" si="80"/>
        <v/>
      </c>
      <c r="AK61" s="513"/>
      <c r="AL61" s="527"/>
      <c r="AM61" s="527"/>
      <c r="AN61" s="537">
        <f>AL61*AN58</f>
        <v>0</v>
      </c>
      <c r="AO61" s="530"/>
      <c r="AP61" s="538">
        <f t="shared" si="81"/>
        <v>0</v>
      </c>
      <c r="AQ61" s="539" t="str">
        <f t="shared" si="82"/>
        <v/>
      </c>
      <c r="AR61" s="540"/>
    </row>
    <row r="62" spans="1:44" ht="12" customHeight="1">
      <c r="A62" s="513"/>
      <c r="B62" s="635" t="s">
        <v>321</v>
      </c>
      <c r="C62" s="613"/>
      <c r="D62" s="613"/>
      <c r="E62" s="541"/>
      <c r="F62" s="542"/>
      <c r="G62" s="543"/>
      <c r="H62" s="544">
        <f>H60-H61</f>
        <v>2406.8952539999996</v>
      </c>
      <c r="I62" s="545"/>
      <c r="J62" s="545"/>
      <c r="K62" s="545"/>
      <c r="L62" s="546">
        <f>L60-L61</f>
        <v>2553.9053160000003</v>
      </c>
      <c r="M62" s="547"/>
      <c r="N62" s="548">
        <f t="shared" si="73"/>
        <v>147.01006200000074</v>
      </c>
      <c r="O62" s="549">
        <f t="shared" si="74"/>
        <v>6.1078711986192968E-2</v>
      </c>
      <c r="P62" s="513"/>
      <c r="Q62" s="545"/>
      <c r="R62" s="545"/>
      <c r="S62" s="546">
        <f>S60-S61</f>
        <v>2390.6429160000002</v>
      </c>
      <c r="T62" s="547"/>
      <c r="U62" s="548">
        <f t="shared" si="75"/>
        <v>-163.26240000000007</v>
      </c>
      <c r="V62" s="549">
        <f t="shared" si="76"/>
        <v>-6.392656727607518E-2</v>
      </c>
      <c r="W62" s="513"/>
      <c r="X62" s="545"/>
      <c r="Y62" s="545"/>
      <c r="Z62" s="546">
        <f>Z60-Z61</f>
        <v>2486.7957460000002</v>
      </c>
      <c r="AA62" s="547"/>
      <c r="AB62" s="548">
        <f t="shared" si="77"/>
        <v>96.152829999999994</v>
      </c>
      <c r="AC62" s="549">
        <f t="shared" si="78"/>
        <v>4.0220490210592368E-2</v>
      </c>
      <c r="AD62" s="513"/>
      <c r="AE62" s="545"/>
      <c r="AF62" s="545"/>
      <c r="AG62" s="546">
        <f>AG60-AG61</f>
        <v>2564.4719459999997</v>
      </c>
      <c r="AH62" s="547"/>
      <c r="AI62" s="548">
        <f t="shared" si="79"/>
        <v>77.676199999999426</v>
      </c>
      <c r="AJ62" s="549">
        <f t="shared" si="80"/>
        <v>3.1235456359832225E-2</v>
      </c>
      <c r="AK62" s="513"/>
      <c r="AL62" s="545"/>
      <c r="AM62" s="545"/>
      <c r="AN62" s="546">
        <f>AN60-AN61</f>
        <v>2638.2530360000005</v>
      </c>
      <c r="AO62" s="547"/>
      <c r="AP62" s="548">
        <f t="shared" si="81"/>
        <v>73.781090000000859</v>
      </c>
      <c r="AQ62" s="549">
        <f t="shared" si="82"/>
        <v>2.8770480455082688E-2</v>
      </c>
      <c r="AR62" s="550"/>
    </row>
    <row r="63" spans="1:44" ht="12" customHeight="1">
      <c r="A63" s="52"/>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 customHeight="1">
      <c r="A64" s="52"/>
      <c r="B64" s="52"/>
      <c r="C64" s="52"/>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 customHeight="1">
      <c r="A65" s="52"/>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479" t="s">
        <v>380</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800-000000000000}">
      <formula1>"TOU,non-TOU"</formula1>
    </dataValidation>
    <dataValidation type="list" allowBlank="1" showErrorMessage="1" sqref="E15:E28 E30:E38 E40:E41 E43:E51 E57 E63" xr:uid="{00000000-0002-0000-1800-000001000000}">
      <formula1>#REF!</formula1>
    </dataValidation>
    <dataValidation type="list" allowBlank="1" showInputMessage="1" showErrorMessage="1" prompt="Select Charge Unit - monthly, per kWh, per kW" sqref="D15:D28 D30:D38 D40:D41 D43:D51 D57 D63" xr:uid="{00000000-0002-0000-1800-000002000000}">
      <formula1>"Monthly,per kWh,per kW"</formula1>
    </dataValidation>
  </dataValidations>
  <pageMargins left="0.74803149606299213" right="0.74803149606299213" top="0.98425196850393704" bottom="0.98425196850393704"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1000"/>
  <sheetViews>
    <sheetView showGridLines="0" topLeftCell="A16" workbookViewId="0">
      <selection activeCell="L40" sqref="L40"/>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8.7109375" customWidth="1"/>
    <col min="8" max="8" width="12.28515625" customWidth="1"/>
    <col min="9" max="9" width="0.7109375" customWidth="1"/>
    <col min="10" max="10" width="9.28515625" customWidth="1"/>
    <col min="11" max="11" width="8.7109375" customWidth="1"/>
    <col min="12" max="12" width="12.28515625" customWidth="1"/>
    <col min="13" max="13" width="0.42578125" customWidth="1"/>
    <col min="14" max="14" width="9.42578125" customWidth="1"/>
    <col min="15" max="15" width="10" customWidth="1"/>
    <col min="16" max="16" width="0.42578125" customWidth="1"/>
    <col min="17" max="17" width="9.28515625" customWidth="1"/>
    <col min="18" max="18" width="8.7109375" customWidth="1"/>
    <col min="19" max="19" width="12.28515625" customWidth="1"/>
    <col min="20" max="20" width="0.42578125" customWidth="1"/>
    <col min="21" max="21" width="9.42578125" customWidth="1"/>
    <col min="22" max="22" width="10" customWidth="1"/>
    <col min="23" max="23" width="0.42578125" customWidth="1"/>
    <col min="24" max="24" width="9.28515625" customWidth="1"/>
    <col min="25" max="25" width="8.710937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8.710937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8.710937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2"/>
      <c r="B1" s="52"/>
      <c r="C1" s="52"/>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3"/>
      <c r="AT1" s="3"/>
      <c r="AU1" s="3"/>
      <c r="AV1" s="3"/>
      <c r="AW1" s="3"/>
      <c r="AX1" s="3"/>
    </row>
    <row r="2" spans="1:50" ht="12" customHeight="1">
      <c r="A2" s="52"/>
      <c r="B2" s="52"/>
      <c r="C2" s="379"/>
      <c r="D2" s="379"/>
      <c r="E2" s="379"/>
      <c r="F2" s="379" t="s">
        <v>291</v>
      </c>
      <c r="G2" s="379"/>
      <c r="H2" s="379"/>
      <c r="I2" s="379"/>
      <c r="J2" s="379"/>
      <c r="K2" s="379"/>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3"/>
      <c r="AT2" s="3"/>
      <c r="AU2" s="3"/>
      <c r="AV2" s="3"/>
      <c r="AW2" s="3"/>
      <c r="AX2" s="3"/>
    </row>
    <row r="3" spans="1:50" ht="12" customHeight="1">
      <c r="A3" s="52"/>
      <c r="B3" s="52"/>
      <c r="C3" s="379"/>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c r="AU3" s="3"/>
      <c r="AV3" s="3"/>
      <c r="AW3" s="3"/>
      <c r="AX3" s="3"/>
    </row>
    <row r="4" spans="1:50" ht="12" customHeight="1">
      <c r="A4" s="52"/>
      <c r="B4" s="52"/>
      <c r="C4" s="52"/>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c r="AU4" s="3"/>
      <c r="AV4" s="3"/>
      <c r="AW4" s="3"/>
      <c r="AX4" s="3"/>
    </row>
    <row r="5" spans="1:50" ht="12" customHeight="1">
      <c r="A5" s="52"/>
      <c r="B5" s="52"/>
      <c r="C5" s="52"/>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c r="AU5" s="3"/>
      <c r="AV5" s="3"/>
      <c r="AW5" s="3"/>
      <c r="AX5" s="3"/>
    </row>
    <row r="6" spans="1:50" ht="12"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c r="AW6" s="3"/>
      <c r="AX6" s="3"/>
    </row>
    <row r="7" spans="1:50"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c r="AV7" s="3"/>
      <c r="AW7" s="3"/>
      <c r="AX7" s="3"/>
    </row>
    <row r="8" spans="1:50" ht="12"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3"/>
      <c r="AT8" s="3"/>
      <c r="AU8" s="3"/>
      <c r="AV8" s="3"/>
      <c r="AW8" s="3"/>
      <c r="AX8" s="3"/>
    </row>
    <row r="9" spans="1:50" ht="12" customHeight="1">
      <c r="A9" s="52"/>
      <c r="B9" s="383"/>
      <c r="C9" s="52"/>
      <c r="D9" s="306" t="s">
        <v>297</v>
      </c>
      <c r="E9" s="306"/>
      <c r="F9" s="386">
        <v>76480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3"/>
      <c r="AT9" s="3"/>
      <c r="AU9" s="3"/>
      <c r="AV9" s="3"/>
      <c r="AW9" s="3"/>
      <c r="AX9" s="3"/>
    </row>
    <row r="10" spans="1:50" ht="12" customHeight="1">
      <c r="A10" s="52"/>
      <c r="B10" s="52"/>
      <c r="C10" s="52"/>
      <c r="D10" s="52"/>
      <c r="E10" s="52"/>
      <c r="F10" s="386">
        <v>185</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3"/>
      <c r="AT10" s="3"/>
      <c r="AU10" s="3"/>
      <c r="AV10" s="3"/>
      <c r="AW10" s="3"/>
      <c r="AX10" s="3"/>
    </row>
    <row r="11" spans="1:50" ht="12" customHeight="1">
      <c r="A11" s="551"/>
      <c r="B11" s="52"/>
      <c r="C11" s="52"/>
      <c r="D11" s="3"/>
      <c r="E11" s="3"/>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
      <c r="AT11" s="3"/>
      <c r="AU11" s="3"/>
      <c r="AV11" s="3"/>
      <c r="AW11" s="3"/>
      <c r="AX11" s="3"/>
    </row>
    <row r="12" spans="1:50" ht="12" customHeight="1">
      <c r="A12" s="551"/>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
      <c r="AT12" s="3"/>
      <c r="AU12" s="3"/>
      <c r="AV12" s="3"/>
      <c r="AW12" s="3"/>
      <c r="AX12" s="3"/>
    </row>
    <row r="13" spans="1:50" ht="12" customHeight="1">
      <c r="A13" s="551"/>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
      <c r="AT13" s="3"/>
      <c r="AU13" s="3"/>
      <c r="AV13" s="3"/>
      <c r="AW13" s="3"/>
      <c r="AX13" s="3"/>
    </row>
    <row r="14" spans="1:50" ht="12" customHeight="1">
      <c r="A14" s="551"/>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
      <c r="AT14" s="3"/>
      <c r="AU14" s="3"/>
      <c r="AV14" s="3"/>
      <c r="AW14" s="3"/>
      <c r="AX14" s="3"/>
    </row>
    <row r="15" spans="1:50" ht="12" customHeight="1">
      <c r="A15" s="551"/>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34" si="13">Z15-S15</f>
        <v>0</v>
      </c>
      <c r="AC15" s="402">
        <f t="shared" ref="AC15:AC34"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c r="AS15" s="3"/>
      <c r="AT15" s="3"/>
      <c r="AU15" s="3"/>
      <c r="AV15" s="3"/>
      <c r="AW15" s="3"/>
      <c r="AX15" s="3"/>
    </row>
    <row r="16" spans="1:50" ht="12" customHeight="1">
      <c r="A16" s="551"/>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c r="AS16" s="3"/>
      <c r="AT16" s="3"/>
      <c r="AU16" s="3"/>
      <c r="AV16" s="3"/>
      <c r="AW16" s="3"/>
      <c r="AX16" s="3"/>
    </row>
    <row r="17" spans="1:50" ht="12" customHeight="1">
      <c r="A17" s="551"/>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185</v>
      </c>
      <c r="H17" s="400">
        <f t="shared" si="2"/>
        <v>0</v>
      </c>
      <c r="I17" s="128"/>
      <c r="J17" s="397">
        <f>IFERROR(VLOOKUP($C17,'Proposed Rates'!$B:$J,J$11,FALSE),0)</f>
        <v>0</v>
      </c>
      <c r="K17" s="415">
        <f t="shared" si="3"/>
        <v>185</v>
      </c>
      <c r="L17" s="400">
        <f t="shared" si="4"/>
        <v>0</v>
      </c>
      <c r="M17" s="128"/>
      <c r="N17" s="401">
        <f t="shared" si="5"/>
        <v>0</v>
      </c>
      <c r="O17" s="402" t="str">
        <f t="shared" si="6"/>
        <v/>
      </c>
      <c r="P17" s="52"/>
      <c r="Q17" s="397">
        <f>IFERROR(VLOOKUP($C17,'Proposed Rates'!$B:$J,Q$11,FALSE),0)</f>
        <v>0</v>
      </c>
      <c r="R17" s="415">
        <f t="shared" si="7"/>
        <v>185</v>
      </c>
      <c r="S17" s="400">
        <f t="shared" si="8"/>
        <v>0</v>
      </c>
      <c r="T17" s="128"/>
      <c r="U17" s="401">
        <f t="shared" si="9"/>
        <v>0</v>
      </c>
      <c r="V17" s="402" t="str">
        <f t="shared" si="10"/>
        <v/>
      </c>
      <c r="W17" s="52"/>
      <c r="X17" s="397">
        <f>IFERROR(VLOOKUP($C17,'Proposed Rates'!$B:$J,X$11,FALSE),0)</f>
        <v>0</v>
      </c>
      <c r="Y17" s="415">
        <f t="shared" si="11"/>
        <v>185</v>
      </c>
      <c r="Z17" s="400">
        <f t="shared" si="12"/>
        <v>0</v>
      </c>
      <c r="AA17" s="128"/>
      <c r="AB17" s="401">
        <f t="shared" si="13"/>
        <v>0</v>
      </c>
      <c r="AC17" s="402" t="str">
        <f t="shared" si="14"/>
        <v/>
      </c>
      <c r="AD17" s="52"/>
      <c r="AE17" s="397">
        <f>IFERROR(VLOOKUP($C17,'Proposed Rates'!$B:$J,AE$11,FALSE),0)</f>
        <v>0</v>
      </c>
      <c r="AF17" s="415">
        <f t="shared" si="15"/>
        <v>185</v>
      </c>
      <c r="AG17" s="400">
        <f t="shared" si="16"/>
        <v>0</v>
      </c>
      <c r="AH17" s="128"/>
      <c r="AI17" s="401">
        <f t="shared" si="17"/>
        <v>0</v>
      </c>
      <c r="AJ17" s="402" t="str">
        <f t="shared" si="18"/>
        <v/>
      </c>
      <c r="AK17" s="52"/>
      <c r="AL17" s="397">
        <f>IFERROR(VLOOKUP($C17,'Proposed Rates'!$B:$J,AL$11,FALSE),0)</f>
        <v>0</v>
      </c>
      <c r="AM17" s="415">
        <f t="shared" si="19"/>
        <v>185</v>
      </c>
      <c r="AN17" s="400">
        <f t="shared" si="20"/>
        <v>0</v>
      </c>
      <c r="AO17" s="128"/>
      <c r="AP17" s="401">
        <f t="shared" si="21"/>
        <v>0</v>
      </c>
      <c r="AQ17" s="402" t="str">
        <f t="shared" si="22"/>
        <v/>
      </c>
      <c r="AR17" s="403"/>
      <c r="AS17" s="3"/>
      <c r="AT17" s="3"/>
      <c r="AU17" s="3"/>
      <c r="AV17" s="3"/>
      <c r="AW17" s="3"/>
      <c r="AX17" s="3"/>
    </row>
    <row r="18" spans="1:50" ht="12" customHeight="1">
      <c r="A18" s="551"/>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185</v>
      </c>
      <c r="H18" s="400">
        <f t="shared" si="2"/>
        <v>0</v>
      </c>
      <c r="I18" s="128"/>
      <c r="J18" s="397">
        <f>IFERROR(VLOOKUP($C18,'Proposed Rates'!$B:$J,J$11,FALSE),0)</f>
        <v>0</v>
      </c>
      <c r="K18" s="415">
        <f t="shared" si="3"/>
        <v>185</v>
      </c>
      <c r="L18" s="400">
        <f t="shared" si="4"/>
        <v>0</v>
      </c>
      <c r="M18" s="128"/>
      <c r="N18" s="401">
        <f t="shared" si="5"/>
        <v>0</v>
      </c>
      <c r="O18" s="402" t="str">
        <f t="shared" si="6"/>
        <v/>
      </c>
      <c r="P18" s="52"/>
      <c r="Q18" s="397">
        <f>IFERROR(VLOOKUP($C18,'Proposed Rates'!$B:$J,Q$11,FALSE),0)</f>
        <v>0</v>
      </c>
      <c r="R18" s="415">
        <f t="shared" si="7"/>
        <v>185</v>
      </c>
      <c r="S18" s="400">
        <f t="shared" si="8"/>
        <v>0</v>
      </c>
      <c r="T18" s="128"/>
      <c r="U18" s="401">
        <f t="shared" si="9"/>
        <v>0</v>
      </c>
      <c r="V18" s="402" t="str">
        <f t="shared" si="10"/>
        <v/>
      </c>
      <c r="W18" s="52"/>
      <c r="X18" s="397">
        <f>IFERROR(VLOOKUP($C18,'Proposed Rates'!$B:$J,X$11,FALSE),0)</f>
        <v>0</v>
      </c>
      <c r="Y18" s="415">
        <f t="shared" si="11"/>
        <v>185</v>
      </c>
      <c r="Z18" s="400">
        <f t="shared" si="12"/>
        <v>0</v>
      </c>
      <c r="AA18" s="128"/>
      <c r="AB18" s="401">
        <f t="shared" si="13"/>
        <v>0</v>
      </c>
      <c r="AC18" s="402" t="str">
        <f t="shared" si="14"/>
        <v/>
      </c>
      <c r="AD18" s="52"/>
      <c r="AE18" s="397">
        <f>IFERROR(VLOOKUP($C18,'Proposed Rates'!$B:$J,AE$11,FALSE),0)</f>
        <v>0</v>
      </c>
      <c r="AF18" s="415">
        <f t="shared" si="15"/>
        <v>185</v>
      </c>
      <c r="AG18" s="400">
        <f t="shared" si="16"/>
        <v>0</v>
      </c>
      <c r="AH18" s="128"/>
      <c r="AI18" s="401">
        <f t="shared" si="17"/>
        <v>0</v>
      </c>
      <c r="AJ18" s="402" t="str">
        <f t="shared" si="18"/>
        <v/>
      </c>
      <c r="AK18" s="52"/>
      <c r="AL18" s="397">
        <f>IFERROR(VLOOKUP($C18,'Proposed Rates'!$B:$J,AL$11,FALSE),0)</f>
        <v>0</v>
      </c>
      <c r="AM18" s="415">
        <f t="shared" si="19"/>
        <v>185</v>
      </c>
      <c r="AN18" s="400">
        <f t="shared" si="20"/>
        <v>0</v>
      </c>
      <c r="AO18" s="128"/>
      <c r="AP18" s="401">
        <f t="shared" si="21"/>
        <v>0</v>
      </c>
      <c r="AQ18" s="402" t="str">
        <f t="shared" si="22"/>
        <v/>
      </c>
      <c r="AR18" s="403"/>
      <c r="AS18" s="3"/>
      <c r="AT18" s="3"/>
      <c r="AU18" s="3"/>
      <c r="AV18" s="3"/>
      <c r="AW18" s="3"/>
      <c r="AX18" s="3"/>
    </row>
    <row r="19" spans="1:50" ht="12" customHeight="1">
      <c r="A19" s="551"/>
      <c r="B19" s="320" t="s">
        <v>59</v>
      </c>
      <c r="C19" s="395" t="str">
        <f t="shared" si="0"/>
        <v>General Service 50 to 1,499 KW.Distribution Volumetric Rate</v>
      </c>
      <c r="D19" s="396" t="s">
        <v>377</v>
      </c>
      <c r="E19" s="320"/>
      <c r="F19" s="414">
        <f>IFERROR(VLOOKUP($C19,'Proposed Rates'!$B:$J,F$11,FALSE),0)</f>
        <v>6.5552999999999999</v>
      </c>
      <c r="G19" s="415">
        <f t="shared" si="1"/>
        <v>185</v>
      </c>
      <c r="H19" s="400">
        <f t="shared" si="2"/>
        <v>1212.7304999999999</v>
      </c>
      <c r="I19" s="128"/>
      <c r="J19" s="414">
        <f>IFERROR(VLOOKUP($C19,'Proposed Rates'!$B:$J,J$11,FALSE),0)</f>
        <v>8.0635999999999992</v>
      </c>
      <c r="K19" s="415">
        <f t="shared" si="3"/>
        <v>185</v>
      </c>
      <c r="L19" s="400">
        <f t="shared" si="4"/>
        <v>1491.7659999999998</v>
      </c>
      <c r="M19" s="128"/>
      <c r="N19" s="401">
        <f t="shared" si="5"/>
        <v>279.03549999999996</v>
      </c>
      <c r="O19" s="402">
        <f t="shared" si="6"/>
        <v>0.23008863057373422</v>
      </c>
      <c r="P19" s="52"/>
      <c r="Q19" s="414">
        <f>IFERROR(VLOOKUP($C19,'Proposed Rates'!$B:$J,Q$11,FALSE),0)</f>
        <v>8.7552000000000003</v>
      </c>
      <c r="R19" s="415">
        <f t="shared" si="7"/>
        <v>185</v>
      </c>
      <c r="S19" s="400">
        <f t="shared" si="8"/>
        <v>1619.712</v>
      </c>
      <c r="T19" s="128"/>
      <c r="U19" s="401">
        <f t="shared" si="9"/>
        <v>127.94600000000014</v>
      </c>
      <c r="V19" s="402">
        <f t="shared" si="10"/>
        <v>8.5768143261074556E-2</v>
      </c>
      <c r="W19" s="52"/>
      <c r="X19" s="414">
        <f>IFERROR(VLOOKUP($C19,'Proposed Rates'!$B:$J,X$11,FALSE),0)</f>
        <v>9.6349999999999998</v>
      </c>
      <c r="Y19" s="415">
        <f t="shared" si="11"/>
        <v>185</v>
      </c>
      <c r="Z19" s="400">
        <f t="shared" si="12"/>
        <v>1782.4749999999999</v>
      </c>
      <c r="AA19" s="128"/>
      <c r="AB19" s="401">
        <f t="shared" si="13"/>
        <v>162.76299999999992</v>
      </c>
      <c r="AC19" s="402">
        <f t="shared" si="14"/>
        <v>0.10048885233918124</v>
      </c>
      <c r="AD19" s="52"/>
      <c r="AE19" s="414">
        <f>IFERROR(VLOOKUP($C19,'Proposed Rates'!$B:$J,AE$11,FALSE),0)</f>
        <v>10.3217</v>
      </c>
      <c r="AF19" s="415">
        <f t="shared" si="15"/>
        <v>185</v>
      </c>
      <c r="AG19" s="400">
        <f t="shared" si="16"/>
        <v>1909.5145</v>
      </c>
      <c r="AH19" s="128"/>
      <c r="AI19" s="401">
        <f t="shared" si="17"/>
        <v>127.03950000000009</v>
      </c>
      <c r="AJ19" s="402">
        <f t="shared" si="18"/>
        <v>7.1271406331084641E-2</v>
      </c>
      <c r="AK19" s="52"/>
      <c r="AL19" s="414">
        <f>IFERROR(VLOOKUP($C19,'Proposed Rates'!$B:$J,AL$11,FALSE),0)</f>
        <v>10.9739</v>
      </c>
      <c r="AM19" s="415">
        <f t="shared" si="19"/>
        <v>185</v>
      </c>
      <c r="AN19" s="400">
        <f t="shared" si="20"/>
        <v>2030.1715000000002</v>
      </c>
      <c r="AO19" s="128"/>
      <c r="AP19" s="401">
        <f t="shared" si="21"/>
        <v>120.65700000000015</v>
      </c>
      <c r="AQ19" s="402">
        <f t="shared" si="22"/>
        <v>6.3187265663602013E-2</v>
      </c>
      <c r="AR19" s="403"/>
      <c r="AS19" s="3"/>
      <c r="AT19" s="3"/>
      <c r="AU19" s="3"/>
      <c r="AV19" s="3"/>
      <c r="AW19" s="3"/>
      <c r="AX19" s="3"/>
    </row>
    <row r="20" spans="1:50" ht="12" customHeight="1">
      <c r="A20" s="551"/>
      <c r="B20" s="320" t="s">
        <v>309</v>
      </c>
      <c r="C20" s="395" t="str">
        <f t="shared" si="0"/>
        <v>General Service 50 to 1,499 KW.Smart Meter Disposition Rider</v>
      </c>
      <c r="D20" s="396" t="s">
        <v>308</v>
      </c>
      <c r="E20" s="320"/>
      <c r="F20" s="397">
        <f>IFERROR(VLOOKUP($C20,'Proposed Rates'!$B:$J,F$11,FALSE),0)</f>
        <v>0</v>
      </c>
      <c r="G20" s="415">
        <f t="shared" si="1"/>
        <v>76480</v>
      </c>
      <c r="H20" s="400">
        <f t="shared" si="2"/>
        <v>0</v>
      </c>
      <c r="I20" s="128"/>
      <c r="J20" s="397">
        <f>IFERROR(VLOOKUP($C20,'Proposed Rates'!$B:$J,J$11,FALSE),0)</f>
        <v>0</v>
      </c>
      <c r="K20" s="415">
        <f t="shared" si="3"/>
        <v>76480</v>
      </c>
      <c r="L20" s="400">
        <f t="shared" si="4"/>
        <v>0</v>
      </c>
      <c r="M20" s="128"/>
      <c r="N20" s="401">
        <f t="shared" si="5"/>
        <v>0</v>
      </c>
      <c r="O20" s="402" t="str">
        <f t="shared" si="6"/>
        <v/>
      </c>
      <c r="P20" s="52"/>
      <c r="Q20" s="397">
        <f>IFERROR(VLOOKUP($C20,'Proposed Rates'!$B:$J,Q$11,FALSE),0)</f>
        <v>0</v>
      </c>
      <c r="R20" s="415">
        <f t="shared" si="7"/>
        <v>76480</v>
      </c>
      <c r="S20" s="400">
        <f t="shared" si="8"/>
        <v>0</v>
      </c>
      <c r="T20" s="128"/>
      <c r="U20" s="401">
        <f t="shared" si="9"/>
        <v>0</v>
      </c>
      <c r="V20" s="402" t="str">
        <f t="shared" si="10"/>
        <v/>
      </c>
      <c r="W20" s="52"/>
      <c r="X20" s="397">
        <f>IFERROR(VLOOKUP($C20,'Proposed Rates'!$B:$J,X$11,FALSE),0)</f>
        <v>0</v>
      </c>
      <c r="Y20" s="415">
        <f t="shared" si="11"/>
        <v>76480</v>
      </c>
      <c r="Z20" s="400">
        <f t="shared" si="12"/>
        <v>0</v>
      </c>
      <c r="AA20" s="128"/>
      <c r="AB20" s="401">
        <f t="shared" si="13"/>
        <v>0</v>
      </c>
      <c r="AC20" s="402" t="str">
        <f t="shared" si="14"/>
        <v/>
      </c>
      <c r="AD20" s="52"/>
      <c r="AE20" s="397">
        <f>IFERROR(VLOOKUP($C20,'Proposed Rates'!$B:$J,AE$11,FALSE),0)</f>
        <v>0</v>
      </c>
      <c r="AF20" s="415">
        <f t="shared" si="15"/>
        <v>76480</v>
      </c>
      <c r="AG20" s="400">
        <f t="shared" si="16"/>
        <v>0</v>
      </c>
      <c r="AH20" s="128"/>
      <c r="AI20" s="401">
        <f t="shared" si="17"/>
        <v>0</v>
      </c>
      <c r="AJ20" s="402" t="str">
        <f t="shared" si="18"/>
        <v/>
      </c>
      <c r="AK20" s="52"/>
      <c r="AL20" s="397">
        <f>IFERROR(VLOOKUP($C20,'Proposed Rates'!$B:$J,AL$11,FALSE),0)</f>
        <v>0</v>
      </c>
      <c r="AM20" s="415">
        <f t="shared" si="19"/>
        <v>76480</v>
      </c>
      <c r="AN20" s="400">
        <f t="shared" si="20"/>
        <v>0</v>
      </c>
      <c r="AO20" s="128"/>
      <c r="AP20" s="401">
        <f t="shared" si="21"/>
        <v>0</v>
      </c>
      <c r="AQ20" s="402" t="str">
        <f t="shared" si="22"/>
        <v/>
      </c>
      <c r="AR20" s="403"/>
      <c r="AS20" s="3"/>
      <c r="AT20" s="3"/>
      <c r="AU20" s="3"/>
      <c r="AV20" s="3"/>
      <c r="AW20" s="3"/>
      <c r="AX20" s="3"/>
    </row>
    <row r="21" spans="1:50" ht="12" customHeight="1">
      <c r="A21" s="551"/>
      <c r="B21" s="320" t="s">
        <v>241</v>
      </c>
      <c r="C21" s="395" t="str">
        <f t="shared" si="0"/>
        <v>General Service 50 to 1,499 KW.LRAM Rate Rider</v>
      </c>
      <c r="D21" s="396" t="s">
        <v>377</v>
      </c>
      <c r="E21" s="320"/>
      <c r="F21" s="414">
        <f>'Proposed Rates'!E79+'Proposed Rates'!E92</f>
        <v>-0.2477</v>
      </c>
      <c r="G21" s="415">
        <f t="shared" si="1"/>
        <v>185</v>
      </c>
      <c r="H21" s="400">
        <f t="shared" si="2"/>
        <v>-45.8245</v>
      </c>
      <c r="I21" s="128"/>
      <c r="J21" s="414">
        <f>'Proposed Rates'!F79+'Proposed Rates'!F92</f>
        <v>0</v>
      </c>
      <c r="K21" s="415">
        <f t="shared" si="3"/>
        <v>185</v>
      </c>
      <c r="L21" s="400">
        <f t="shared" si="4"/>
        <v>0</v>
      </c>
      <c r="M21" s="128"/>
      <c r="N21" s="401">
        <f t="shared" si="5"/>
        <v>45.8245</v>
      </c>
      <c r="O21" s="402">
        <f t="shared" si="6"/>
        <v>-1</v>
      </c>
      <c r="P21" s="52"/>
      <c r="Q21" s="414">
        <f>'Proposed Rates'!G79+'Proposed Rates'!G92</f>
        <v>2.9499999999999998E-2</v>
      </c>
      <c r="R21" s="415">
        <f t="shared" si="7"/>
        <v>185</v>
      </c>
      <c r="S21" s="400">
        <f t="shared" si="8"/>
        <v>5.4574999999999996</v>
      </c>
      <c r="T21" s="128"/>
      <c r="U21" s="401">
        <f t="shared" si="9"/>
        <v>5.4574999999999996</v>
      </c>
      <c r="V21" s="402" t="str">
        <f t="shared" si="10"/>
        <v/>
      </c>
      <c r="W21" s="52"/>
      <c r="X21" s="414">
        <f>IFERROR(VLOOKUP($C21,'Proposed Rates'!$B:$J,X$11,FALSE),0)</f>
        <v>0</v>
      </c>
      <c r="Y21" s="415">
        <f t="shared" si="11"/>
        <v>185</v>
      </c>
      <c r="Z21" s="400">
        <f t="shared" si="12"/>
        <v>0</v>
      </c>
      <c r="AA21" s="128"/>
      <c r="AB21" s="401">
        <f t="shared" si="13"/>
        <v>-5.4574999999999996</v>
      </c>
      <c r="AC21" s="402">
        <f t="shared" si="14"/>
        <v>-1</v>
      </c>
      <c r="AD21" s="52"/>
      <c r="AE21" s="414">
        <f>IFERROR(VLOOKUP($C21,'Proposed Rates'!$B:$J,AE$11,FALSE),0)</f>
        <v>0</v>
      </c>
      <c r="AF21" s="415">
        <f t="shared" si="15"/>
        <v>185</v>
      </c>
      <c r="AG21" s="400">
        <f t="shared" si="16"/>
        <v>0</v>
      </c>
      <c r="AH21" s="128"/>
      <c r="AI21" s="401">
        <f t="shared" si="17"/>
        <v>0</v>
      </c>
      <c r="AJ21" s="402" t="str">
        <f t="shared" si="18"/>
        <v/>
      </c>
      <c r="AK21" s="52"/>
      <c r="AL21" s="414">
        <f>IFERROR(VLOOKUP($C21,'Proposed Rates'!$B:$J,AL$11,FALSE),0)</f>
        <v>0</v>
      </c>
      <c r="AM21" s="415">
        <f t="shared" si="19"/>
        <v>185</v>
      </c>
      <c r="AN21" s="400">
        <f t="shared" si="20"/>
        <v>0</v>
      </c>
      <c r="AO21" s="128"/>
      <c r="AP21" s="401">
        <f t="shared" si="21"/>
        <v>0</v>
      </c>
      <c r="AQ21" s="402" t="str">
        <f t="shared" si="22"/>
        <v/>
      </c>
      <c r="AR21" s="403"/>
      <c r="AS21" s="3"/>
      <c r="AT21" s="3"/>
      <c r="AU21" s="3"/>
      <c r="AV21" s="3"/>
      <c r="AW21" s="3"/>
      <c r="AX21" s="3"/>
    </row>
    <row r="22" spans="1:50" ht="12" customHeight="1">
      <c r="A22" s="551"/>
      <c r="B22" s="404" t="s">
        <v>237</v>
      </c>
      <c r="C22" s="395" t="str">
        <f t="shared" si="0"/>
        <v>General Service 50 to 1,499 KW.Deferral/Variance Account Disposition Rate Rider Group 2</v>
      </c>
      <c r="D22" s="396" t="s">
        <v>377</v>
      </c>
      <c r="E22" s="320"/>
      <c r="F22" s="397">
        <f>IFERROR(VLOOKUP($C22,'Proposed Rates'!$B:$J,F$11,FALSE),0)</f>
        <v>0</v>
      </c>
      <c r="G22" s="415">
        <f t="shared" si="1"/>
        <v>185</v>
      </c>
      <c r="H22" s="400">
        <f t="shared" si="2"/>
        <v>0</v>
      </c>
      <c r="I22" s="128"/>
      <c r="J22" s="397">
        <f>IFERROR(VLOOKUP($C22,'Proposed Rates'!$B:$J,J$11,FALSE),0)</f>
        <v>-0.1202</v>
      </c>
      <c r="K22" s="415">
        <f t="shared" si="3"/>
        <v>185</v>
      </c>
      <c r="L22" s="400">
        <f t="shared" si="4"/>
        <v>-22.237000000000002</v>
      </c>
      <c r="M22" s="128"/>
      <c r="N22" s="401">
        <f t="shared" si="5"/>
        <v>-22.237000000000002</v>
      </c>
      <c r="O22" s="402" t="str">
        <f t="shared" si="6"/>
        <v/>
      </c>
      <c r="P22" s="52"/>
      <c r="Q22" s="397">
        <f>IFERROR(VLOOKUP($C22,'Proposed Rates'!$B:$J,Q$11,FALSE),0)</f>
        <v>0</v>
      </c>
      <c r="R22" s="415">
        <f t="shared" si="7"/>
        <v>185</v>
      </c>
      <c r="S22" s="400">
        <f t="shared" si="8"/>
        <v>0</v>
      </c>
      <c r="T22" s="128"/>
      <c r="U22" s="401">
        <f t="shared" si="9"/>
        <v>22.237000000000002</v>
      </c>
      <c r="V22" s="402">
        <f t="shared" si="10"/>
        <v>-1</v>
      </c>
      <c r="W22" s="52"/>
      <c r="X22" s="397">
        <f>IFERROR(VLOOKUP($C22,'Proposed Rates'!$B:$J,X$11,FALSE),0)</f>
        <v>0</v>
      </c>
      <c r="Y22" s="415">
        <f t="shared" si="11"/>
        <v>185</v>
      </c>
      <c r="Z22" s="400">
        <f t="shared" si="12"/>
        <v>0</v>
      </c>
      <c r="AA22" s="128"/>
      <c r="AB22" s="401">
        <f t="shared" si="13"/>
        <v>0</v>
      </c>
      <c r="AC22" s="402" t="str">
        <f t="shared" si="14"/>
        <v/>
      </c>
      <c r="AD22" s="52"/>
      <c r="AE22" s="397">
        <f>IFERROR(VLOOKUP($C22,'Proposed Rates'!$B:$J,AE$11,FALSE),0)</f>
        <v>0</v>
      </c>
      <c r="AF22" s="415">
        <f t="shared" si="15"/>
        <v>185</v>
      </c>
      <c r="AG22" s="400">
        <f t="shared" si="16"/>
        <v>0</v>
      </c>
      <c r="AH22" s="128"/>
      <c r="AI22" s="401">
        <f t="shared" si="17"/>
        <v>0</v>
      </c>
      <c r="AJ22" s="402" t="str">
        <f t="shared" si="18"/>
        <v/>
      </c>
      <c r="AK22" s="52"/>
      <c r="AL22" s="397">
        <f>IFERROR(VLOOKUP($C22,'Proposed Rates'!$B:$J,AL$11,FALSE),0)</f>
        <v>0</v>
      </c>
      <c r="AM22" s="415">
        <f t="shared" si="19"/>
        <v>185</v>
      </c>
      <c r="AN22" s="400">
        <f t="shared" si="20"/>
        <v>0</v>
      </c>
      <c r="AO22" s="128"/>
      <c r="AP22" s="401">
        <f t="shared" si="21"/>
        <v>0</v>
      </c>
      <c r="AQ22" s="402" t="str">
        <f t="shared" si="22"/>
        <v/>
      </c>
      <c r="AR22" s="403"/>
      <c r="AS22" s="3"/>
      <c r="AT22" s="3"/>
      <c r="AU22" s="3"/>
      <c r="AV22" s="3"/>
      <c r="AW22" s="3"/>
      <c r="AX22" s="3"/>
    </row>
    <row r="23" spans="1:50" ht="12" customHeight="1">
      <c r="A23" s="551"/>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3"/>
      <c r="AT23" s="3"/>
      <c r="AU23" s="3"/>
      <c r="AV23" s="3"/>
      <c r="AW23" s="3"/>
      <c r="AX23" s="3"/>
    </row>
    <row r="24" spans="1:50" ht="12" customHeight="1">
      <c r="A24" s="551"/>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3"/>
      <c r="AT24" s="3"/>
      <c r="AU24" s="3"/>
      <c r="AV24" s="3"/>
      <c r="AW24" s="3"/>
      <c r="AX24" s="3"/>
    </row>
    <row r="25" spans="1:50" ht="12" customHeight="1">
      <c r="A25" s="551"/>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3"/>
      <c r="AT25" s="3"/>
      <c r="AU25" s="3"/>
      <c r="AV25" s="3"/>
      <c r="AW25" s="3"/>
      <c r="AX25" s="3"/>
    </row>
    <row r="26" spans="1:50" ht="12" customHeight="1">
      <c r="A26" s="551"/>
      <c r="B26" s="40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3"/>
      <c r="AT26" s="3"/>
      <c r="AU26" s="3"/>
      <c r="AV26" s="3"/>
      <c r="AW26" s="3"/>
      <c r="AX26" s="3"/>
    </row>
    <row r="27" spans="1:50" ht="12" customHeight="1">
      <c r="A27" s="551"/>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3"/>
      <c r="AT27" s="3"/>
      <c r="AU27" s="3"/>
      <c r="AV27" s="3"/>
      <c r="AW27" s="3"/>
      <c r="AX27" s="3"/>
    </row>
    <row r="28" spans="1:50" ht="12" customHeight="1">
      <c r="A28" s="551"/>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3"/>
      <c r="AT28" s="3"/>
      <c r="AU28" s="3"/>
      <c r="AV28" s="3"/>
      <c r="AW28" s="3"/>
      <c r="AX28" s="3"/>
    </row>
    <row r="29" spans="1:50" ht="12" customHeight="1">
      <c r="A29" s="551"/>
      <c r="B29" s="405" t="s">
        <v>310</v>
      </c>
      <c r="C29" s="406"/>
      <c r="D29" s="406"/>
      <c r="E29" s="406"/>
      <c r="F29" s="407"/>
      <c r="G29" s="500"/>
      <c r="H29" s="409">
        <f>SUM(H15:H28)</f>
        <v>1366.9059999999999</v>
      </c>
      <c r="I29" s="410"/>
      <c r="J29" s="407"/>
      <c r="K29" s="500"/>
      <c r="L29" s="409">
        <f>SUM(L15:L28)</f>
        <v>1669.5289999999998</v>
      </c>
      <c r="M29" s="410"/>
      <c r="N29" s="411">
        <f t="shared" si="5"/>
        <v>302.62299999999982</v>
      </c>
      <c r="O29" s="412">
        <f t="shared" si="6"/>
        <v>0.22139269269430364</v>
      </c>
      <c r="P29" s="306"/>
      <c r="Q29" s="407"/>
      <c r="R29" s="500"/>
      <c r="S29" s="409">
        <f>SUM(S15:S28)</f>
        <v>1825.1695</v>
      </c>
      <c r="T29" s="410"/>
      <c r="U29" s="411">
        <f t="shared" si="9"/>
        <v>155.6405000000002</v>
      </c>
      <c r="V29" s="412">
        <f t="shared" si="10"/>
        <v>9.3224196764476824E-2</v>
      </c>
      <c r="W29" s="306"/>
      <c r="X29" s="407"/>
      <c r="Y29" s="500"/>
      <c r="Z29" s="409">
        <f>SUM(Z15:Z28)</f>
        <v>1982.4749999999999</v>
      </c>
      <c r="AA29" s="410"/>
      <c r="AB29" s="411">
        <f t="shared" si="13"/>
        <v>157.30549999999994</v>
      </c>
      <c r="AC29" s="412">
        <f t="shared" si="14"/>
        <v>8.6186789774867448E-2</v>
      </c>
      <c r="AD29" s="306"/>
      <c r="AE29" s="407"/>
      <c r="AF29" s="500"/>
      <c r="AG29" s="409">
        <f>SUM(AG15:AG28)</f>
        <v>2109.5145000000002</v>
      </c>
      <c r="AH29" s="410"/>
      <c r="AI29" s="411">
        <f t="shared" si="17"/>
        <v>127.03950000000032</v>
      </c>
      <c r="AJ29" s="412">
        <f t="shared" si="18"/>
        <v>6.4081262058790306E-2</v>
      </c>
      <c r="AK29" s="306"/>
      <c r="AL29" s="407"/>
      <c r="AM29" s="500"/>
      <c r="AN29" s="409">
        <f>SUM(AN15:AN28)</f>
        <v>2230.1715000000004</v>
      </c>
      <c r="AO29" s="410"/>
      <c r="AP29" s="411">
        <f t="shared" si="21"/>
        <v>120.65700000000015</v>
      </c>
      <c r="AQ29" s="412">
        <f t="shared" si="22"/>
        <v>5.7196572955530829E-2</v>
      </c>
      <c r="AR29" s="413"/>
      <c r="AS29" s="3"/>
      <c r="AT29" s="3"/>
      <c r="AU29" s="3"/>
      <c r="AV29" s="3"/>
      <c r="AW29" s="3"/>
      <c r="AX29" s="3"/>
    </row>
    <row r="30" spans="1:50" ht="12" customHeight="1">
      <c r="A30" s="551"/>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185</v>
      </c>
      <c r="H30" s="400">
        <f t="shared" ref="H30:H38" si="25">G30*F30</f>
        <v>65.32350000000001</v>
      </c>
      <c r="I30" s="128"/>
      <c r="J30" s="414">
        <f>IFERROR(VLOOKUP($C30,'Proposed Rates'!$B:$J,J$11,FALSE),0)</f>
        <v>7.1999999999999998E-3</v>
      </c>
      <c r="K30" s="415">
        <f t="shared" ref="K30:K36" si="26">IF($D30="Monthly",1,IF($D30="per KW",$F$10,IF($D30="per kWh",$F$9,0)))</f>
        <v>185</v>
      </c>
      <c r="L30" s="400">
        <f t="shared" ref="L30:L38" si="27">K30*J30</f>
        <v>1.3320000000000001</v>
      </c>
      <c r="M30" s="128"/>
      <c r="N30" s="401">
        <f t="shared" si="5"/>
        <v>-63.991500000000009</v>
      </c>
      <c r="O30" s="402">
        <f t="shared" si="6"/>
        <v>-0.97960917587085805</v>
      </c>
      <c r="P30" s="52"/>
      <c r="Q30" s="414">
        <f>IFERROR(VLOOKUP($C30,'Proposed Rates'!$B:$J,Q$11,FALSE),0)</f>
        <v>0</v>
      </c>
      <c r="R30" s="415">
        <f t="shared" ref="R30:R36" si="28">IF($D30="Monthly",1,IF($D30="per KW",$F$10,IF($D30="per kWh",$F$9,0)))</f>
        <v>185</v>
      </c>
      <c r="S30" s="400">
        <f t="shared" ref="S30:S38" si="29">R30*Q30</f>
        <v>0</v>
      </c>
      <c r="T30" s="128"/>
      <c r="U30" s="401">
        <f t="shared" si="9"/>
        <v>-1.3320000000000001</v>
      </c>
      <c r="V30" s="402">
        <f t="shared" si="10"/>
        <v>-1</v>
      </c>
      <c r="W30" s="52"/>
      <c r="X30" s="414">
        <f>IFERROR(VLOOKUP($C30,'Proposed Rates'!$B:$J,X$11,FALSE),0)</f>
        <v>0</v>
      </c>
      <c r="Y30" s="415">
        <f t="shared" ref="Y30:Y36" si="30">IF($D30="Monthly",1,IF($D30="per KW",$F$10,IF($D30="per kWh",$F$9,0)))</f>
        <v>185</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185</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185</v>
      </c>
      <c r="AN30" s="400">
        <f t="shared" ref="AN30:AN38" si="35">AM30*AL30</f>
        <v>0</v>
      </c>
      <c r="AO30" s="128"/>
      <c r="AP30" s="401">
        <f t="shared" si="21"/>
        <v>0</v>
      </c>
      <c r="AQ30" s="402" t="str">
        <f t="shared" si="22"/>
        <v/>
      </c>
      <c r="AR30" s="403"/>
      <c r="AS30" s="3"/>
      <c r="AT30" s="3"/>
      <c r="AU30" s="3"/>
      <c r="AV30" s="3"/>
      <c r="AW30" s="3"/>
      <c r="AX30" s="3"/>
    </row>
    <row r="31" spans="1:50" ht="12" customHeight="1">
      <c r="A31" s="551"/>
      <c r="B31" s="404" t="s">
        <v>236</v>
      </c>
      <c r="C31" s="395" t="str">
        <f t="shared" si="23"/>
        <v>General Service 50 to 1,499 KW.DVA Disposition Rate Rider Group 1 - 2024</v>
      </c>
      <c r="D31" s="396" t="s">
        <v>377</v>
      </c>
      <c r="E31" s="320"/>
      <c r="F31" s="414">
        <f>IFERROR(VLOOKUP($C31,'Proposed Rates'!$B:$J,F$11,FALSE),0)</f>
        <v>0</v>
      </c>
      <c r="G31" s="415">
        <f t="shared" si="24"/>
        <v>185</v>
      </c>
      <c r="H31" s="400">
        <f t="shared" si="25"/>
        <v>0</v>
      </c>
      <c r="I31" s="128"/>
      <c r="J31" s="414">
        <f>IFERROR(VLOOKUP($C31,'Proposed Rates'!$B:$J,J$11,FALSE),0)</f>
        <v>0</v>
      </c>
      <c r="K31" s="415">
        <f t="shared" si="26"/>
        <v>185</v>
      </c>
      <c r="L31" s="400">
        <f t="shared" si="27"/>
        <v>0</v>
      </c>
      <c r="M31" s="128"/>
      <c r="N31" s="401">
        <f t="shared" si="5"/>
        <v>0</v>
      </c>
      <c r="O31" s="402" t="str">
        <f t="shared" si="6"/>
        <v/>
      </c>
      <c r="P31" s="52"/>
      <c r="Q31" s="414">
        <f>IFERROR(VLOOKUP($C31,'Proposed Rates'!$B:$J,Q$11,FALSE),0)</f>
        <v>0</v>
      </c>
      <c r="R31" s="415">
        <f t="shared" si="28"/>
        <v>185</v>
      </c>
      <c r="S31" s="400">
        <f t="shared" si="29"/>
        <v>0</v>
      </c>
      <c r="T31" s="128"/>
      <c r="U31" s="401">
        <f t="shared" si="9"/>
        <v>0</v>
      </c>
      <c r="V31" s="402" t="str">
        <f t="shared" si="10"/>
        <v/>
      </c>
      <c r="W31" s="52"/>
      <c r="X31" s="414">
        <f>IFERROR(VLOOKUP($C31,'Proposed Rates'!$B:$J,X$11,FALSE),0)</f>
        <v>0</v>
      </c>
      <c r="Y31" s="415">
        <f t="shared" si="30"/>
        <v>185</v>
      </c>
      <c r="Z31" s="400">
        <f t="shared" si="31"/>
        <v>0</v>
      </c>
      <c r="AA31" s="128"/>
      <c r="AB31" s="401">
        <f t="shared" si="13"/>
        <v>0</v>
      </c>
      <c r="AC31" s="402" t="str">
        <f t="shared" si="14"/>
        <v/>
      </c>
      <c r="AD31" s="52"/>
      <c r="AE31" s="414">
        <f>IFERROR(VLOOKUP($C31,'Proposed Rates'!$B:$J,AE$11,FALSE),0)</f>
        <v>0</v>
      </c>
      <c r="AF31" s="415">
        <f t="shared" si="32"/>
        <v>185</v>
      </c>
      <c r="AG31" s="400">
        <f t="shared" si="33"/>
        <v>0</v>
      </c>
      <c r="AH31" s="128"/>
      <c r="AI31" s="401">
        <f t="shared" si="17"/>
        <v>0</v>
      </c>
      <c r="AJ31" s="402" t="str">
        <f t="shared" si="18"/>
        <v/>
      </c>
      <c r="AK31" s="52"/>
      <c r="AL31" s="414">
        <f>IFERROR(VLOOKUP($C31,'Proposed Rates'!$B:$J,AL$11,FALSE),0)</f>
        <v>0</v>
      </c>
      <c r="AM31" s="415">
        <f t="shared" si="34"/>
        <v>185</v>
      </c>
      <c r="AN31" s="400">
        <f t="shared" si="35"/>
        <v>0</v>
      </c>
      <c r="AO31" s="128"/>
      <c r="AP31" s="401">
        <f t="shared" si="21"/>
        <v>0</v>
      </c>
      <c r="AQ31" s="402" t="str">
        <f t="shared" si="22"/>
        <v/>
      </c>
      <c r="AR31" s="403"/>
      <c r="AS31" s="3"/>
      <c r="AT31" s="3"/>
      <c r="AU31" s="3"/>
      <c r="AV31" s="3"/>
      <c r="AW31" s="3"/>
      <c r="AX31" s="3"/>
    </row>
    <row r="32" spans="1:50" ht="12" customHeight="1">
      <c r="A32" s="551"/>
      <c r="B32" s="404" t="s">
        <v>244</v>
      </c>
      <c r="C32" s="395" t="str">
        <f t="shared" si="23"/>
        <v>General Service 50 to 1,499 KW.CBR Class B Rate Riders</v>
      </c>
      <c r="D32" s="396" t="s">
        <v>308</v>
      </c>
      <c r="E32" s="320"/>
      <c r="F32" s="414">
        <f>IFERROR(VLOOKUP($C32,'Proposed Rates'!$B:$J,F$11,FALSE),0)</f>
        <v>2.0000000000000001E-4</v>
      </c>
      <c r="G32" s="415">
        <f t="shared" si="24"/>
        <v>76480</v>
      </c>
      <c r="H32" s="400">
        <f t="shared" si="25"/>
        <v>15.296000000000001</v>
      </c>
      <c r="I32" s="485"/>
      <c r="J32" s="414">
        <f>IFERROR(VLOOKUP($C32,'Proposed Rates'!$B:$J,J$11,FALSE),0)</f>
        <v>4.0000000000000002E-4</v>
      </c>
      <c r="K32" s="415">
        <f t="shared" si="26"/>
        <v>76480</v>
      </c>
      <c r="L32" s="400">
        <f t="shared" si="27"/>
        <v>30.592000000000002</v>
      </c>
      <c r="M32" s="417"/>
      <c r="N32" s="401">
        <f t="shared" si="5"/>
        <v>15.296000000000001</v>
      </c>
      <c r="O32" s="402">
        <f t="shared" si="6"/>
        <v>1</v>
      </c>
      <c r="P32" s="52"/>
      <c r="Q32" s="414">
        <f>IFERROR(VLOOKUP($C32,'Proposed Rates'!$B:$J,Q$11,FALSE),0)</f>
        <v>0</v>
      </c>
      <c r="R32" s="415">
        <f t="shared" si="28"/>
        <v>76480</v>
      </c>
      <c r="S32" s="400">
        <f t="shared" si="29"/>
        <v>0</v>
      </c>
      <c r="T32" s="417"/>
      <c r="U32" s="401">
        <f t="shared" si="9"/>
        <v>-30.592000000000002</v>
      </c>
      <c r="V32" s="402">
        <f t="shared" si="10"/>
        <v>-1</v>
      </c>
      <c r="W32" s="52"/>
      <c r="X32" s="414">
        <f>IFERROR(VLOOKUP($C32,'Proposed Rates'!$B:$J,X$11,FALSE),0)</f>
        <v>0</v>
      </c>
      <c r="Y32" s="415">
        <f t="shared" si="30"/>
        <v>76480</v>
      </c>
      <c r="Z32" s="400">
        <f t="shared" si="31"/>
        <v>0</v>
      </c>
      <c r="AA32" s="128"/>
      <c r="AB32" s="401">
        <f t="shared" si="13"/>
        <v>0</v>
      </c>
      <c r="AC32" s="402" t="str">
        <f t="shared" si="14"/>
        <v/>
      </c>
      <c r="AD32" s="52"/>
      <c r="AE32" s="414">
        <f>IFERROR(VLOOKUP($C32,'Proposed Rates'!$B:$J,AE$11,FALSE),0)</f>
        <v>0</v>
      </c>
      <c r="AF32" s="415">
        <f t="shared" si="32"/>
        <v>76480</v>
      </c>
      <c r="AG32" s="400">
        <f t="shared" si="33"/>
        <v>0</v>
      </c>
      <c r="AH32" s="128"/>
      <c r="AI32" s="401">
        <f t="shared" si="17"/>
        <v>0</v>
      </c>
      <c r="AJ32" s="402" t="str">
        <f t="shared" si="18"/>
        <v/>
      </c>
      <c r="AK32" s="52"/>
      <c r="AL32" s="414">
        <f>IFERROR(VLOOKUP($C32,'Proposed Rates'!$B:$J,AL$11,FALSE),0)</f>
        <v>0</v>
      </c>
      <c r="AM32" s="415">
        <f t="shared" si="34"/>
        <v>76480</v>
      </c>
      <c r="AN32" s="400">
        <f t="shared" si="35"/>
        <v>0</v>
      </c>
      <c r="AO32" s="417"/>
      <c r="AP32" s="401">
        <f t="shared" si="21"/>
        <v>0</v>
      </c>
      <c r="AQ32" s="402" t="str">
        <f t="shared" si="22"/>
        <v/>
      </c>
      <c r="AR32" s="403"/>
      <c r="AS32" s="3"/>
      <c r="AT32" s="3"/>
      <c r="AU32" s="3"/>
      <c r="AV32" s="3"/>
      <c r="AW32" s="3"/>
      <c r="AX32" s="3"/>
    </row>
    <row r="33" spans="1:50" ht="12" customHeight="1">
      <c r="A33" s="551"/>
      <c r="B33" s="404" t="s">
        <v>249</v>
      </c>
      <c r="C33" s="395" t="str">
        <f t="shared" si="23"/>
        <v>General Service 50 to 1,499 KW.GA Rate Riders</v>
      </c>
      <c r="D33" s="396" t="s">
        <v>308</v>
      </c>
      <c r="E33" s="320"/>
      <c r="F33" s="414">
        <f>IFERROR(VLOOKUP($C33,'Proposed Rates'!$B:$J,F$11,FALSE),0)</f>
        <v>3.8999999999999998E-3</v>
      </c>
      <c r="G33" s="415">
        <f t="shared" si="24"/>
        <v>76480</v>
      </c>
      <c r="H33" s="400">
        <f t="shared" si="25"/>
        <v>298.27199999999999</v>
      </c>
      <c r="I33" s="485"/>
      <c r="J33" s="414">
        <f>IFERROR(VLOOKUP($C33,'Proposed Rates'!$B:$J,J$11,FALSE),0)</f>
        <v>4.4999999999999997E-3</v>
      </c>
      <c r="K33" s="415">
        <f t="shared" si="26"/>
        <v>76480</v>
      </c>
      <c r="L33" s="400">
        <f t="shared" si="27"/>
        <v>344.15999999999997</v>
      </c>
      <c r="M33" s="417"/>
      <c r="N33" s="401">
        <f t="shared" si="5"/>
        <v>45.887999999999977</v>
      </c>
      <c r="O33" s="402">
        <f t="shared" si="6"/>
        <v>0.15384615384615377</v>
      </c>
      <c r="P33" s="52"/>
      <c r="Q33" s="414">
        <f>IFERROR(VLOOKUP($C33,'Proposed Rates'!$B:$J,Q$11,FALSE),0)</f>
        <v>0</v>
      </c>
      <c r="R33" s="415">
        <f t="shared" si="28"/>
        <v>76480</v>
      </c>
      <c r="S33" s="400">
        <f t="shared" si="29"/>
        <v>0</v>
      </c>
      <c r="T33" s="417"/>
      <c r="U33" s="401">
        <f t="shared" si="9"/>
        <v>-344.15999999999997</v>
      </c>
      <c r="V33" s="402">
        <f t="shared" si="10"/>
        <v>-1</v>
      </c>
      <c r="W33" s="52"/>
      <c r="X33" s="414">
        <f>IFERROR(VLOOKUP($C33,'Proposed Rates'!$B:$J,X$11,FALSE),0)</f>
        <v>0</v>
      </c>
      <c r="Y33" s="415">
        <f t="shared" si="30"/>
        <v>76480</v>
      </c>
      <c r="Z33" s="400">
        <f t="shared" si="31"/>
        <v>0</v>
      </c>
      <c r="AA33" s="417"/>
      <c r="AB33" s="401">
        <f t="shared" si="13"/>
        <v>0</v>
      </c>
      <c r="AC33" s="402" t="str">
        <f t="shared" si="14"/>
        <v/>
      </c>
      <c r="AD33" s="52"/>
      <c r="AE33" s="414">
        <f>IFERROR(VLOOKUP($C33,'Proposed Rates'!$B:$J,AE$11,FALSE),0)</f>
        <v>0</v>
      </c>
      <c r="AF33" s="415">
        <f t="shared" si="32"/>
        <v>76480</v>
      </c>
      <c r="AG33" s="400">
        <f t="shared" si="33"/>
        <v>0</v>
      </c>
      <c r="AH33" s="417"/>
      <c r="AI33" s="401">
        <f t="shared" si="17"/>
        <v>0</v>
      </c>
      <c r="AJ33" s="402" t="str">
        <f t="shared" si="18"/>
        <v/>
      </c>
      <c r="AK33" s="52"/>
      <c r="AL33" s="414">
        <f>IFERROR(VLOOKUP($C33,'Proposed Rates'!$B:$J,AL$11,FALSE),0)</f>
        <v>0</v>
      </c>
      <c r="AM33" s="415">
        <f t="shared" si="34"/>
        <v>76480</v>
      </c>
      <c r="AN33" s="400">
        <f t="shared" si="35"/>
        <v>0</v>
      </c>
      <c r="AO33" s="417"/>
      <c r="AP33" s="401">
        <f t="shared" si="21"/>
        <v>0</v>
      </c>
      <c r="AQ33" s="402" t="str">
        <f t="shared" si="22"/>
        <v/>
      </c>
      <c r="AR33" s="403"/>
      <c r="AS33" s="3"/>
      <c r="AT33" s="3"/>
      <c r="AU33" s="3"/>
      <c r="AV33" s="3"/>
      <c r="AW33" s="3"/>
      <c r="AX33" s="3"/>
    </row>
    <row r="34" spans="1:50" ht="12" customHeight="1">
      <c r="A34" s="551"/>
      <c r="B34" s="404" t="s">
        <v>252</v>
      </c>
      <c r="C34" s="395" t="str">
        <f t="shared" si="23"/>
        <v>General Service 50 to 1,499 KW.Total Deferral/Variance Account Rate RidersYr2</v>
      </c>
      <c r="D34" s="396" t="s">
        <v>377</v>
      </c>
      <c r="E34" s="320"/>
      <c r="F34" s="414">
        <f>IFERROR(VLOOKUP($C34,'Proposed Rates'!$B:$J,F$11,FALSE),0)</f>
        <v>-0.30499999999999999</v>
      </c>
      <c r="G34" s="415">
        <f t="shared" si="24"/>
        <v>185</v>
      </c>
      <c r="H34" s="400">
        <f t="shared" si="25"/>
        <v>-56.424999999999997</v>
      </c>
      <c r="I34" s="485"/>
      <c r="J34" s="414">
        <f>IFERROR(VLOOKUP($C34,'Proposed Rates'!$B:$J,J$11,FALSE),0)</f>
        <v>-0.21920000000000001</v>
      </c>
      <c r="K34" s="415">
        <f t="shared" si="26"/>
        <v>185</v>
      </c>
      <c r="L34" s="400">
        <f t="shared" si="27"/>
        <v>-40.552</v>
      </c>
      <c r="M34" s="417"/>
      <c r="N34" s="401">
        <f t="shared" si="5"/>
        <v>15.872999999999998</v>
      </c>
      <c r="O34" s="402">
        <f t="shared" si="6"/>
        <v>-0.28131147540983603</v>
      </c>
      <c r="P34" s="52"/>
      <c r="Q34" s="414">
        <f>IFERROR(VLOOKUP($C34,'Proposed Rates'!$B:$J,Q$11,FALSE),0)</f>
        <v>0</v>
      </c>
      <c r="R34" s="415">
        <f t="shared" si="28"/>
        <v>185</v>
      </c>
      <c r="S34" s="400">
        <f t="shared" si="29"/>
        <v>0</v>
      </c>
      <c r="T34" s="417"/>
      <c r="U34" s="401">
        <f t="shared" si="9"/>
        <v>40.552</v>
      </c>
      <c r="V34" s="402">
        <f t="shared" si="10"/>
        <v>-1</v>
      </c>
      <c r="W34" s="52"/>
      <c r="X34" s="414">
        <f>IFERROR(VLOOKUP($C34,'Proposed Rates'!$B:$J,X$11,FALSE),0)</f>
        <v>0</v>
      </c>
      <c r="Y34" s="415">
        <f t="shared" si="30"/>
        <v>185</v>
      </c>
      <c r="Z34" s="400">
        <f t="shared" si="31"/>
        <v>0</v>
      </c>
      <c r="AA34" s="417"/>
      <c r="AB34" s="401">
        <f t="shared" si="13"/>
        <v>0</v>
      </c>
      <c r="AC34" s="402" t="str">
        <f t="shared" si="14"/>
        <v/>
      </c>
      <c r="AD34" s="52"/>
      <c r="AE34" s="414">
        <f>IFERROR(VLOOKUP($C34,'Proposed Rates'!$B:$J,AE$11,FALSE),0)</f>
        <v>0</v>
      </c>
      <c r="AF34" s="415">
        <f t="shared" si="32"/>
        <v>185</v>
      </c>
      <c r="AG34" s="400">
        <f t="shared" si="33"/>
        <v>0</v>
      </c>
      <c r="AH34" s="417"/>
      <c r="AI34" s="401">
        <f t="shared" si="17"/>
        <v>0</v>
      </c>
      <c r="AJ34" s="402" t="str">
        <f t="shared" si="18"/>
        <v/>
      </c>
      <c r="AK34" s="52"/>
      <c r="AL34" s="414">
        <f>IFERROR(VLOOKUP($C34,'Proposed Rates'!$B:$J,AL$11,FALSE),0)</f>
        <v>0</v>
      </c>
      <c r="AM34" s="415">
        <f t="shared" si="34"/>
        <v>185</v>
      </c>
      <c r="AN34" s="400">
        <f t="shared" si="35"/>
        <v>0</v>
      </c>
      <c r="AO34" s="417"/>
      <c r="AP34" s="401">
        <f t="shared" si="21"/>
        <v>0</v>
      </c>
      <c r="AQ34" s="402" t="str">
        <f t="shared" si="22"/>
        <v/>
      </c>
      <c r="AR34" s="403"/>
      <c r="AS34" s="3"/>
      <c r="AT34" s="3"/>
      <c r="AU34" s="3"/>
      <c r="AV34" s="3"/>
      <c r="AW34" s="3"/>
      <c r="AX34" s="3"/>
    </row>
    <row r="35" spans="1:50" ht="12" customHeight="1">
      <c r="A35" s="551"/>
      <c r="B35" s="404" t="s">
        <v>254</v>
      </c>
      <c r="C35" s="395" t="str">
        <f t="shared" si="23"/>
        <v>General Service 50 to 1,499 KW.Total Deferral/Variance Account Rate Riders</v>
      </c>
      <c r="D35" s="396" t="s">
        <v>377</v>
      </c>
      <c r="E35" s="320"/>
      <c r="F35" s="414">
        <f>IFERROR(VLOOKUP($C35,'Proposed Rates'!$B:$J,F$11,FALSE),0)</f>
        <v>0</v>
      </c>
      <c r="G35" s="415">
        <f t="shared" si="24"/>
        <v>185</v>
      </c>
      <c r="H35" s="400">
        <f t="shared" si="25"/>
        <v>0</v>
      </c>
      <c r="I35" s="128"/>
      <c r="J35" s="414">
        <f>IFERROR(VLOOKUP($C35,'Proposed Rates'!$B:$J,J$11,FALSE),0)</f>
        <v>0</v>
      </c>
      <c r="K35" s="415">
        <f t="shared" si="26"/>
        <v>185</v>
      </c>
      <c r="L35" s="400">
        <f t="shared" si="27"/>
        <v>0</v>
      </c>
      <c r="M35" s="128"/>
      <c r="N35" s="401">
        <f t="shared" si="5"/>
        <v>0</v>
      </c>
      <c r="O35" s="402" t="str">
        <f t="shared" si="6"/>
        <v/>
      </c>
      <c r="P35" s="52"/>
      <c r="Q35" s="414">
        <f>IFERROR(VLOOKUP($C35,'Proposed Rates'!$B:$J,Q$11,FALSE),0)</f>
        <v>0</v>
      </c>
      <c r="R35" s="415">
        <f t="shared" si="28"/>
        <v>185</v>
      </c>
      <c r="S35" s="400">
        <f t="shared" si="29"/>
        <v>0</v>
      </c>
      <c r="T35" s="128"/>
      <c r="U35" s="401">
        <f t="shared" si="9"/>
        <v>0</v>
      </c>
      <c r="V35" s="402" t="str">
        <f t="shared" si="10"/>
        <v/>
      </c>
      <c r="W35" s="52"/>
      <c r="X35" s="414">
        <f>IFERROR(VLOOKUP($C35,'Proposed Rates'!$B:$J,X$11,FALSE),0)</f>
        <v>0</v>
      </c>
      <c r="Y35" s="415">
        <f t="shared" si="30"/>
        <v>185</v>
      </c>
      <c r="Z35" s="400">
        <f t="shared" si="31"/>
        <v>0</v>
      </c>
      <c r="AA35" s="128"/>
      <c r="AB35" s="401"/>
      <c r="AC35" s="402"/>
      <c r="AD35" s="52"/>
      <c r="AE35" s="414">
        <f>IFERROR(VLOOKUP($C35,'Proposed Rates'!$B:$J,AE$11,FALSE),0)</f>
        <v>0</v>
      </c>
      <c r="AF35" s="415">
        <f t="shared" si="32"/>
        <v>185</v>
      </c>
      <c r="AG35" s="400">
        <f t="shared" si="33"/>
        <v>0</v>
      </c>
      <c r="AH35" s="128"/>
      <c r="AI35" s="401">
        <f t="shared" si="17"/>
        <v>0</v>
      </c>
      <c r="AJ35" s="402" t="str">
        <f t="shared" si="18"/>
        <v/>
      </c>
      <c r="AK35" s="52"/>
      <c r="AL35" s="414">
        <f>IFERROR(VLOOKUP($C35,'Proposed Rates'!$B:$J,AL$11,FALSE),0)</f>
        <v>0</v>
      </c>
      <c r="AM35" s="415">
        <f t="shared" si="34"/>
        <v>185</v>
      </c>
      <c r="AN35" s="400">
        <f t="shared" si="35"/>
        <v>0</v>
      </c>
      <c r="AO35" s="128"/>
      <c r="AP35" s="401">
        <f t="shared" si="21"/>
        <v>0</v>
      </c>
      <c r="AQ35" s="402" t="str">
        <f t="shared" si="22"/>
        <v/>
      </c>
      <c r="AR35" s="403"/>
      <c r="AS35" s="3"/>
      <c r="AT35" s="3"/>
      <c r="AU35" s="3"/>
      <c r="AV35" s="3"/>
      <c r="AW35" s="3"/>
      <c r="AX35" s="3"/>
    </row>
    <row r="36" spans="1:50" ht="12" customHeight="1">
      <c r="A36" s="551"/>
      <c r="B36" s="320" t="s">
        <v>269</v>
      </c>
      <c r="C36" s="395" t="str">
        <f t="shared" si="23"/>
        <v>General Service 50 to 1,499 KW.Low Voltage Service Charge</v>
      </c>
      <c r="D36" s="396" t="s">
        <v>377</v>
      </c>
      <c r="E36" s="320"/>
      <c r="F36" s="414">
        <f>IFERROR(VLOOKUP($C36,'Proposed Rates'!$B:$J,F$11,FALSE),0)</f>
        <v>2.0629999999999999E-2</v>
      </c>
      <c r="G36" s="415">
        <f t="shared" si="24"/>
        <v>185</v>
      </c>
      <c r="H36" s="400">
        <f t="shared" si="25"/>
        <v>3.8165499999999999</v>
      </c>
      <c r="I36" s="128"/>
      <c r="J36" s="414">
        <f>IFERROR(VLOOKUP($C36,'Proposed Rates'!$B:$J,J$11,FALSE),0)</f>
        <v>2.334E-2</v>
      </c>
      <c r="K36" s="415">
        <f t="shared" si="26"/>
        <v>185</v>
      </c>
      <c r="L36" s="400">
        <f t="shared" si="27"/>
        <v>4.3178999999999998</v>
      </c>
      <c r="M36" s="128"/>
      <c r="N36" s="401">
        <f t="shared" si="5"/>
        <v>0.50134999999999996</v>
      </c>
      <c r="O36" s="402">
        <f t="shared" si="6"/>
        <v>0.13136209403780902</v>
      </c>
      <c r="P36" s="52"/>
      <c r="Q36" s="414">
        <f>IFERROR(VLOOKUP($C36,'Proposed Rates'!$B:$J,Q$11,FALSE),0)</f>
        <v>2.3939999999999999E-2</v>
      </c>
      <c r="R36" s="415">
        <f t="shared" si="28"/>
        <v>185</v>
      </c>
      <c r="S36" s="400">
        <f t="shared" si="29"/>
        <v>4.4288999999999996</v>
      </c>
      <c r="T36" s="128"/>
      <c r="U36" s="401">
        <f t="shared" si="9"/>
        <v>0.11099999999999977</v>
      </c>
      <c r="V36" s="402">
        <f t="shared" si="10"/>
        <v>2.5706940874035935E-2</v>
      </c>
      <c r="W36" s="52"/>
      <c r="X36" s="414">
        <f>IFERROR(VLOOKUP($C36,'Proposed Rates'!$B:$J,X$11,FALSE),0)</f>
        <v>2.4250000000000001E-2</v>
      </c>
      <c r="Y36" s="415">
        <f t="shared" si="30"/>
        <v>185</v>
      </c>
      <c r="Z36" s="400">
        <f t="shared" si="31"/>
        <v>4.4862500000000001</v>
      </c>
      <c r="AA36" s="128"/>
      <c r="AB36" s="401">
        <f t="shared" ref="AB36:AB46" si="36">Z36-S36</f>
        <v>5.7350000000000456E-2</v>
      </c>
      <c r="AC36" s="402">
        <f t="shared" ref="AC36:AC46" si="37">IF((S36)=0,"",(AB36/S36))</f>
        <v>1.2949039264828842E-2</v>
      </c>
      <c r="AD36" s="52"/>
      <c r="AE36" s="414">
        <f>IFERROR(VLOOKUP($C36,'Proposed Rates'!$B:$J,AE$11,FALSE),0)</f>
        <v>2.4649999999999998E-2</v>
      </c>
      <c r="AF36" s="415">
        <f t="shared" si="32"/>
        <v>185</v>
      </c>
      <c r="AG36" s="400">
        <f t="shared" si="33"/>
        <v>4.5602499999999999</v>
      </c>
      <c r="AH36" s="128"/>
      <c r="AI36" s="401">
        <f t="shared" si="17"/>
        <v>7.3999999999999844E-2</v>
      </c>
      <c r="AJ36" s="402">
        <f t="shared" si="18"/>
        <v>1.6494845360824708E-2</v>
      </c>
      <c r="AK36" s="52"/>
      <c r="AL36" s="414">
        <f>IFERROR(VLOOKUP($C36,'Proposed Rates'!$B:$J,AL$11,FALSE),0)</f>
        <v>2.5080000000000002E-2</v>
      </c>
      <c r="AM36" s="415">
        <f t="shared" si="34"/>
        <v>185</v>
      </c>
      <c r="AN36" s="400">
        <f t="shared" si="35"/>
        <v>4.6398000000000001</v>
      </c>
      <c r="AO36" s="128"/>
      <c r="AP36" s="401">
        <f t="shared" si="21"/>
        <v>7.9550000000000232E-2</v>
      </c>
      <c r="AQ36" s="402">
        <f t="shared" si="22"/>
        <v>1.7444219066937171E-2</v>
      </c>
      <c r="AR36" s="403"/>
      <c r="AS36" s="3"/>
      <c r="AT36" s="3"/>
      <c r="AU36" s="3"/>
      <c r="AV36" s="3"/>
      <c r="AW36" s="3"/>
      <c r="AX36" s="3"/>
    </row>
    <row r="37" spans="1:50" ht="12" customHeight="1">
      <c r="A37" s="551"/>
      <c r="B37" s="320" t="s">
        <v>312</v>
      </c>
      <c r="C37" s="395" t="str">
        <f t="shared" si="23"/>
        <v>General Service 50 to 1,499 KW.Line Losses on Cost of Power</v>
      </c>
      <c r="D37" s="396" t="s">
        <v>308</v>
      </c>
      <c r="E37" s="320"/>
      <c r="F37" s="430"/>
      <c r="G37" s="421">
        <f>$F$9*(1+F$65)-$F$9</f>
        <v>2585.0240000000049</v>
      </c>
      <c r="H37" s="400">
        <f t="shared" si="25"/>
        <v>0</v>
      </c>
      <c r="I37" s="128"/>
      <c r="J37" s="430"/>
      <c r="K37" s="421">
        <f>$F$9*(1+J$65)-$F$9</f>
        <v>2539.1359999999986</v>
      </c>
      <c r="L37" s="400">
        <f t="shared" si="27"/>
        <v>0</v>
      </c>
      <c r="M37" s="128"/>
      <c r="N37" s="401">
        <f t="shared" si="5"/>
        <v>0</v>
      </c>
      <c r="O37" s="402" t="str">
        <f t="shared" si="6"/>
        <v/>
      </c>
      <c r="P37" s="52"/>
      <c r="Q37" s="430"/>
      <c r="R37" s="421">
        <f>$F$9*(1+Q$65)-$F$9</f>
        <v>2539.1359999999986</v>
      </c>
      <c r="S37" s="400">
        <f t="shared" si="29"/>
        <v>0</v>
      </c>
      <c r="T37" s="128"/>
      <c r="U37" s="401">
        <f t="shared" si="9"/>
        <v>0</v>
      </c>
      <c r="V37" s="402" t="str">
        <f t="shared" si="10"/>
        <v/>
      </c>
      <c r="W37" s="52"/>
      <c r="X37" s="430"/>
      <c r="Y37" s="421">
        <f>$F$9*(1+X$65)-$F$9</f>
        <v>2539.1359999999986</v>
      </c>
      <c r="Z37" s="400">
        <f t="shared" si="31"/>
        <v>0</v>
      </c>
      <c r="AA37" s="128"/>
      <c r="AB37" s="401">
        <f t="shared" si="36"/>
        <v>0</v>
      </c>
      <c r="AC37" s="402" t="str">
        <f t="shared" si="37"/>
        <v/>
      </c>
      <c r="AD37" s="52"/>
      <c r="AE37" s="430"/>
      <c r="AF37" s="421">
        <f>$F$9*(1+AE$65)-$F$9</f>
        <v>2539.1359999999986</v>
      </c>
      <c r="AG37" s="400">
        <f t="shared" si="33"/>
        <v>0</v>
      </c>
      <c r="AH37" s="128"/>
      <c r="AI37" s="401">
        <f t="shared" si="17"/>
        <v>0</v>
      </c>
      <c r="AJ37" s="402" t="str">
        <f t="shared" si="18"/>
        <v/>
      </c>
      <c r="AK37" s="52"/>
      <c r="AL37" s="430"/>
      <c r="AM37" s="421">
        <f>$F$9*(1+AL$65)-$F$9</f>
        <v>2539.1359999999986</v>
      </c>
      <c r="AN37" s="400">
        <f t="shared" si="35"/>
        <v>0</v>
      </c>
      <c r="AO37" s="128"/>
      <c r="AP37" s="401">
        <f t="shared" si="21"/>
        <v>0</v>
      </c>
      <c r="AQ37" s="402" t="str">
        <f t="shared" si="22"/>
        <v/>
      </c>
      <c r="AR37" s="403"/>
      <c r="AS37" s="3"/>
      <c r="AT37" s="3"/>
      <c r="AU37" s="3"/>
      <c r="AV37" s="3"/>
      <c r="AW37" s="3"/>
      <c r="AX37" s="3"/>
    </row>
    <row r="38" spans="1:50" ht="12" customHeight="1">
      <c r="A38" s="551"/>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36"/>
        <v>0</v>
      </c>
      <c r="AC38" s="402" t="str">
        <f t="shared" si="37"/>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c r="AS38" s="3"/>
      <c r="AT38" s="3"/>
      <c r="AU38" s="3"/>
      <c r="AV38" s="3"/>
      <c r="AW38" s="3"/>
      <c r="AX38" s="3"/>
    </row>
    <row r="39" spans="1:50" ht="12" customHeight="1">
      <c r="A39" s="551"/>
      <c r="B39" s="405" t="s">
        <v>313</v>
      </c>
      <c r="C39" s="422"/>
      <c r="D39" s="422"/>
      <c r="E39" s="422"/>
      <c r="F39" s="423"/>
      <c r="G39" s="501"/>
      <c r="H39" s="409">
        <f>SUM(H30:H38)+H29</f>
        <v>1693.18905</v>
      </c>
      <c r="I39" s="425"/>
      <c r="J39" s="423"/>
      <c r="K39" s="501"/>
      <c r="L39" s="409">
        <f>SUM(L30:L38)+L29</f>
        <v>2009.3788999999997</v>
      </c>
      <c r="M39" s="425"/>
      <c r="N39" s="411">
        <f t="shared" si="5"/>
        <v>316.18984999999975</v>
      </c>
      <c r="O39" s="412">
        <f t="shared" si="6"/>
        <v>0.18674220105545791</v>
      </c>
      <c r="P39" s="52"/>
      <c r="Q39" s="423"/>
      <c r="R39" s="501"/>
      <c r="S39" s="409">
        <f>SUM(S30:S38)+S29</f>
        <v>1829.5984000000001</v>
      </c>
      <c r="T39" s="425"/>
      <c r="U39" s="411">
        <f t="shared" si="9"/>
        <v>-179.78049999999962</v>
      </c>
      <c r="V39" s="412">
        <f t="shared" si="10"/>
        <v>-8.947068171164714E-2</v>
      </c>
      <c r="W39" s="52"/>
      <c r="X39" s="423"/>
      <c r="Y39" s="501"/>
      <c r="Z39" s="409">
        <f>SUM(Z30:Z38)+Z29</f>
        <v>1986.9612499999998</v>
      </c>
      <c r="AA39" s="425"/>
      <c r="AB39" s="411">
        <f t="shared" si="36"/>
        <v>157.36284999999975</v>
      </c>
      <c r="AC39" s="412">
        <f t="shared" si="37"/>
        <v>8.6009503506343107E-2</v>
      </c>
      <c r="AD39" s="52"/>
      <c r="AE39" s="423"/>
      <c r="AF39" s="501"/>
      <c r="AG39" s="409">
        <f>SUM(AG30:AG38)+AG29</f>
        <v>2114.0747500000002</v>
      </c>
      <c r="AH39" s="425"/>
      <c r="AI39" s="411">
        <f t="shared" si="17"/>
        <v>127.11350000000039</v>
      </c>
      <c r="AJ39" s="412">
        <f t="shared" si="18"/>
        <v>6.3973819318318567E-2</v>
      </c>
      <c r="AK39" s="52"/>
      <c r="AL39" s="423"/>
      <c r="AM39" s="501"/>
      <c r="AN39" s="409">
        <f>SUM(AN30:AN38)+AN29</f>
        <v>2234.8113000000003</v>
      </c>
      <c r="AO39" s="425"/>
      <c r="AP39" s="411">
        <f t="shared" si="21"/>
        <v>120.73655000000008</v>
      </c>
      <c r="AQ39" s="412">
        <f t="shared" si="22"/>
        <v>5.7110823541126003E-2</v>
      </c>
      <c r="AR39" s="413"/>
      <c r="AS39" s="3"/>
      <c r="AT39" s="3"/>
      <c r="AU39" s="3"/>
      <c r="AV39" s="3"/>
      <c r="AW39" s="3"/>
      <c r="AX39" s="3"/>
    </row>
    <row r="40" spans="1:50" ht="12" customHeight="1">
      <c r="A40" s="551"/>
      <c r="B40" s="128" t="s">
        <v>255</v>
      </c>
      <c r="C40" s="395" t="str">
        <f t="shared" ref="C40:C41" si="38">D$6&amp;"."&amp;B40</f>
        <v>General Service 50 to 1,499 KW.RTSR - Network</v>
      </c>
      <c r="D40" s="426" t="s">
        <v>377</v>
      </c>
      <c r="E40" s="128"/>
      <c r="F40" s="414">
        <f>IFERROR(VLOOKUP($C40,'Proposed Rates'!$B:$J,F$11,FALSE),0)</f>
        <v>4.8479999999999999</v>
      </c>
      <c r="G40" s="415">
        <f t="shared" ref="G40:G41" si="39">IF($D40="Monthly",1,IF($D40="per KW",$F$10,IF($D40="per kWh",$F$9,0)))</f>
        <v>185</v>
      </c>
      <c r="H40" s="400">
        <f t="shared" ref="H40:H41" si="40">G40*F40</f>
        <v>896.88</v>
      </c>
      <c r="I40" s="128"/>
      <c r="J40" s="414">
        <f>IFERROR(VLOOKUP($C40,'Proposed Rates'!$B:$J,J$11,FALSE),0)</f>
        <v>4.5787000000000004</v>
      </c>
      <c r="K40" s="415">
        <f t="shared" ref="K40:K41" si="41">IF($D40="Monthly",1,IF($D40="per KW",$F$10,IF($D40="per kWh",$F$9,0)))</f>
        <v>185</v>
      </c>
      <c r="L40" s="400">
        <f t="shared" ref="L40:L41" si="42">K40*J40</f>
        <v>847.05950000000007</v>
      </c>
      <c r="M40" s="128"/>
      <c r="N40" s="401">
        <f t="shared" si="5"/>
        <v>-49.820499999999925</v>
      </c>
      <c r="O40" s="402">
        <f t="shared" si="6"/>
        <v>-5.5548679867986714E-2</v>
      </c>
      <c r="P40" s="52"/>
      <c r="Q40" s="414">
        <f>IFERROR(VLOOKUP($C40,'Proposed Rates'!$B:$J,Q$11,FALSE),0)</f>
        <v>4.5787000000000004</v>
      </c>
      <c r="R40" s="415">
        <f t="shared" ref="R40:R41" si="43">IF($D40="Monthly",1,IF($D40="per KW",$F$10,IF($D40="per kWh",$F$9,0)))</f>
        <v>185</v>
      </c>
      <c r="S40" s="400">
        <f t="shared" ref="S40:S41" si="44">R40*Q40</f>
        <v>847.05950000000007</v>
      </c>
      <c r="T40" s="128"/>
      <c r="U40" s="401">
        <f t="shared" si="9"/>
        <v>0</v>
      </c>
      <c r="V40" s="402">
        <f t="shared" si="10"/>
        <v>0</v>
      </c>
      <c r="W40" s="52"/>
      <c r="X40" s="414">
        <f>IFERROR(VLOOKUP($C40,'Proposed Rates'!$B:$J,X$11,FALSE),0)</f>
        <v>4.5787000000000004</v>
      </c>
      <c r="Y40" s="415">
        <f t="shared" ref="Y40:Y41" si="45">IF($D40="Monthly",1,IF($D40="per KW",$F$10,IF($D40="per kWh",$F$9,0)))</f>
        <v>185</v>
      </c>
      <c r="Z40" s="400">
        <f t="shared" ref="Z40:Z41" si="46">Y40*X40</f>
        <v>847.05950000000007</v>
      </c>
      <c r="AA40" s="128"/>
      <c r="AB40" s="401">
        <f t="shared" si="36"/>
        <v>0</v>
      </c>
      <c r="AC40" s="402">
        <f t="shared" si="37"/>
        <v>0</v>
      </c>
      <c r="AD40" s="52"/>
      <c r="AE40" s="414">
        <f>IFERROR(VLOOKUP($C40,'Proposed Rates'!$B:$J,AE$11,FALSE),0)</f>
        <v>4.5787000000000004</v>
      </c>
      <c r="AF40" s="415">
        <f t="shared" ref="AF40:AF41" si="47">IF($D40="Monthly",1,IF($D40="per KW",$F$10,IF($D40="per kWh",$F$9,0)))</f>
        <v>185</v>
      </c>
      <c r="AG40" s="400">
        <f t="shared" ref="AG40:AG41" si="48">AF40*AE40</f>
        <v>847.05950000000007</v>
      </c>
      <c r="AH40" s="128"/>
      <c r="AI40" s="401">
        <f t="shared" si="17"/>
        <v>0</v>
      </c>
      <c r="AJ40" s="402">
        <f t="shared" si="18"/>
        <v>0</v>
      </c>
      <c r="AK40" s="52"/>
      <c r="AL40" s="414">
        <f>IFERROR(VLOOKUP($C40,'Proposed Rates'!$B:$J,AL$11,FALSE),0)</f>
        <v>4.5787000000000004</v>
      </c>
      <c r="AM40" s="415">
        <f t="shared" ref="AM40:AM41" si="49">IF($D40="Monthly",1,IF($D40="per KW",$F$10,IF($D40="per kWh",$F$9,0)))</f>
        <v>185</v>
      </c>
      <c r="AN40" s="400">
        <f t="shared" ref="AN40:AN41" si="50">AM40*AL40</f>
        <v>847.05950000000007</v>
      </c>
      <c r="AO40" s="128"/>
      <c r="AP40" s="401">
        <f t="shared" si="21"/>
        <v>0</v>
      </c>
      <c r="AQ40" s="402">
        <f t="shared" si="22"/>
        <v>0</v>
      </c>
      <c r="AR40" s="403"/>
      <c r="AS40" s="3"/>
      <c r="AT40" s="3"/>
      <c r="AU40" s="3"/>
      <c r="AV40" s="3"/>
      <c r="AW40" s="3"/>
      <c r="AX40" s="3"/>
    </row>
    <row r="41" spans="1:50" ht="12" customHeight="1">
      <c r="A41" s="551"/>
      <c r="B41" s="128" t="s">
        <v>256</v>
      </c>
      <c r="C41" s="395" t="str">
        <f t="shared" si="38"/>
        <v>General Service 50 to 1,499 KW.RTSR - Line and Transformation Connection</v>
      </c>
      <c r="D41" s="426" t="s">
        <v>377</v>
      </c>
      <c r="E41" s="128"/>
      <c r="F41" s="414">
        <f>IFERROR(VLOOKUP($C41,'Proposed Rates'!$B:$J,F$11,FALSE),0)</f>
        <v>2.8187000000000002</v>
      </c>
      <c r="G41" s="415">
        <f t="shared" si="39"/>
        <v>185</v>
      </c>
      <c r="H41" s="400">
        <f t="shared" si="40"/>
        <v>521.45950000000005</v>
      </c>
      <c r="I41" s="128"/>
      <c r="J41" s="414">
        <f>IFERROR(VLOOKUP($C41,'Proposed Rates'!$B:$J,J$11,FALSE),0)</f>
        <v>2.5918000000000001</v>
      </c>
      <c r="K41" s="415">
        <f t="shared" si="41"/>
        <v>185</v>
      </c>
      <c r="L41" s="400">
        <f t="shared" si="42"/>
        <v>479.483</v>
      </c>
      <c r="M41" s="128"/>
      <c r="N41" s="401">
        <f t="shared" si="5"/>
        <v>-41.976500000000044</v>
      </c>
      <c r="O41" s="402">
        <f t="shared" si="6"/>
        <v>-8.0498101961897411E-2</v>
      </c>
      <c r="P41" s="52"/>
      <c r="Q41" s="414">
        <f>IFERROR(VLOOKUP($C41,'Proposed Rates'!$B:$J,Q$11,FALSE),0)</f>
        <v>2.5918000000000001</v>
      </c>
      <c r="R41" s="415">
        <f t="shared" si="43"/>
        <v>185</v>
      </c>
      <c r="S41" s="400">
        <f t="shared" si="44"/>
        <v>479.483</v>
      </c>
      <c r="T41" s="128"/>
      <c r="U41" s="401">
        <f t="shared" si="9"/>
        <v>0</v>
      </c>
      <c r="V41" s="402">
        <f t="shared" si="10"/>
        <v>0</v>
      </c>
      <c r="W41" s="52"/>
      <c r="X41" s="414">
        <f>IFERROR(VLOOKUP($C41,'Proposed Rates'!$B:$J,X$11,FALSE),0)</f>
        <v>2.5918000000000001</v>
      </c>
      <c r="Y41" s="415">
        <f t="shared" si="45"/>
        <v>185</v>
      </c>
      <c r="Z41" s="400">
        <f t="shared" si="46"/>
        <v>479.483</v>
      </c>
      <c r="AA41" s="128"/>
      <c r="AB41" s="401">
        <f t="shared" si="36"/>
        <v>0</v>
      </c>
      <c r="AC41" s="402">
        <f t="shared" si="37"/>
        <v>0</v>
      </c>
      <c r="AD41" s="52"/>
      <c r="AE41" s="414">
        <f>IFERROR(VLOOKUP($C41,'Proposed Rates'!$B:$J,AE$11,FALSE),0)</f>
        <v>2.5918000000000001</v>
      </c>
      <c r="AF41" s="415">
        <f t="shared" si="47"/>
        <v>185</v>
      </c>
      <c r="AG41" s="400">
        <f t="shared" si="48"/>
        <v>479.483</v>
      </c>
      <c r="AH41" s="128"/>
      <c r="AI41" s="401">
        <f t="shared" si="17"/>
        <v>0</v>
      </c>
      <c r="AJ41" s="402">
        <f t="shared" si="18"/>
        <v>0</v>
      </c>
      <c r="AK41" s="52"/>
      <c r="AL41" s="414">
        <f>IFERROR(VLOOKUP($C41,'Proposed Rates'!$B:$J,AL$11,FALSE),0)</f>
        <v>2.5918000000000001</v>
      </c>
      <c r="AM41" s="415">
        <f t="shared" si="49"/>
        <v>185</v>
      </c>
      <c r="AN41" s="400">
        <f t="shared" si="50"/>
        <v>479.483</v>
      </c>
      <c r="AO41" s="128"/>
      <c r="AP41" s="401">
        <f t="shared" si="21"/>
        <v>0</v>
      </c>
      <c r="AQ41" s="402">
        <f t="shared" si="22"/>
        <v>0</v>
      </c>
      <c r="AR41" s="403"/>
      <c r="AS41" s="3"/>
      <c r="AT41" s="3"/>
      <c r="AU41" s="3"/>
      <c r="AV41" s="3"/>
      <c r="AW41" s="3"/>
      <c r="AX41" s="3"/>
    </row>
    <row r="42" spans="1:50" ht="12" customHeight="1">
      <c r="A42" s="551"/>
      <c r="B42" s="405" t="s">
        <v>314</v>
      </c>
      <c r="C42" s="427"/>
      <c r="D42" s="427"/>
      <c r="E42" s="427"/>
      <c r="F42" s="428"/>
      <c r="G42" s="501"/>
      <c r="H42" s="409">
        <f>SUM(H39:H41)</f>
        <v>3111.52855</v>
      </c>
      <c r="I42" s="410"/>
      <c r="J42" s="428"/>
      <c r="K42" s="501"/>
      <c r="L42" s="409">
        <f>SUM(L39:L41)</f>
        <v>3335.9214000000002</v>
      </c>
      <c r="M42" s="410"/>
      <c r="N42" s="411">
        <f t="shared" si="5"/>
        <v>224.39285000000018</v>
      </c>
      <c r="O42" s="412">
        <f t="shared" si="6"/>
        <v>7.211659684112498E-2</v>
      </c>
      <c r="P42" s="52"/>
      <c r="Q42" s="428"/>
      <c r="R42" s="501"/>
      <c r="S42" s="409">
        <f>SUM(S39:S41)</f>
        <v>3156.1409000000003</v>
      </c>
      <c r="T42" s="410"/>
      <c r="U42" s="411">
        <f t="shared" si="9"/>
        <v>-179.78049999999985</v>
      </c>
      <c r="V42" s="412">
        <f t="shared" si="10"/>
        <v>-5.3892306935049442E-2</v>
      </c>
      <c r="W42" s="52"/>
      <c r="X42" s="428"/>
      <c r="Y42" s="501"/>
      <c r="Z42" s="409">
        <f>SUM(Z39:Z41)</f>
        <v>3313.5037499999999</v>
      </c>
      <c r="AA42" s="410"/>
      <c r="AB42" s="411">
        <f t="shared" si="36"/>
        <v>157.36284999999953</v>
      </c>
      <c r="AC42" s="412">
        <f t="shared" si="37"/>
        <v>4.9859260085631636E-2</v>
      </c>
      <c r="AD42" s="52"/>
      <c r="AE42" s="428"/>
      <c r="AF42" s="501"/>
      <c r="AG42" s="409">
        <f>SUM(AG39:AG41)</f>
        <v>3440.6172500000002</v>
      </c>
      <c r="AH42" s="410"/>
      <c r="AI42" s="411">
        <f t="shared" si="17"/>
        <v>127.11350000000039</v>
      </c>
      <c r="AJ42" s="412">
        <f t="shared" si="18"/>
        <v>3.8362262303158819E-2</v>
      </c>
      <c r="AK42" s="52"/>
      <c r="AL42" s="428"/>
      <c r="AM42" s="501"/>
      <c r="AN42" s="409">
        <f>SUM(AN39:AN41)</f>
        <v>3561.3538000000008</v>
      </c>
      <c r="AO42" s="410"/>
      <c r="AP42" s="411">
        <f t="shared" si="21"/>
        <v>120.73655000000053</v>
      </c>
      <c r="AQ42" s="412">
        <f t="shared" si="22"/>
        <v>3.5091537717541969E-2</v>
      </c>
      <c r="AR42" s="413"/>
      <c r="AS42" s="3"/>
      <c r="AT42" s="3"/>
      <c r="AU42" s="3"/>
      <c r="AV42" s="3"/>
      <c r="AW42" s="3"/>
      <c r="AX42" s="3"/>
    </row>
    <row r="43" spans="1:50" ht="12" customHeight="1">
      <c r="A43" s="551"/>
      <c r="B43" s="320" t="s">
        <v>257</v>
      </c>
      <c r="C43" s="395" t="str">
        <f t="shared" ref="C43:C45" si="51">D$6&amp;"."&amp;B43</f>
        <v>General Service 50 to 1,499 KW.Wholesale Market Service Charge (WMSC)</v>
      </c>
      <c r="D43" s="396" t="s">
        <v>308</v>
      </c>
      <c r="E43" s="320"/>
      <c r="F43" s="414">
        <f>IFERROR(VLOOKUP($C43,'Proposed Rates'!$B:$J,F$11,FALSE),0)</f>
        <v>4.4999999999999997E-3</v>
      </c>
      <c r="G43" s="421">
        <f t="shared" ref="G43:G44" si="52">$F$9+G$37</f>
        <v>79065.024000000005</v>
      </c>
      <c r="H43" s="400">
        <f t="shared" ref="H43:H46" si="53">G43*F43</f>
        <v>355.79260799999997</v>
      </c>
      <c r="I43" s="128"/>
      <c r="J43" s="414">
        <f>IFERROR(VLOOKUP($C43,'Proposed Rates'!$B:$J,J$11,FALSE),0)</f>
        <v>4.4999999999999997E-3</v>
      </c>
      <c r="K43" s="421">
        <f t="shared" ref="K43:K44" si="54">$F$9+K$37</f>
        <v>79019.135999999999</v>
      </c>
      <c r="L43" s="400">
        <f t="shared" ref="L43:L46" si="55">K43*J43</f>
        <v>355.58611199999996</v>
      </c>
      <c r="M43" s="128"/>
      <c r="N43" s="401">
        <f t="shared" si="5"/>
        <v>-0.20649600000001556</v>
      </c>
      <c r="O43" s="402">
        <f t="shared" si="6"/>
        <v>-5.8038305281490161E-4</v>
      </c>
      <c r="P43" s="52"/>
      <c r="Q43" s="414">
        <f>IFERROR(VLOOKUP($C43,'Proposed Rates'!$B:$J,Q$11,FALSE),0)</f>
        <v>4.4999999999999997E-3</v>
      </c>
      <c r="R43" s="421">
        <f t="shared" ref="R43:R44" si="56">$F$9+R$37</f>
        <v>79019.135999999999</v>
      </c>
      <c r="S43" s="400">
        <f t="shared" ref="S43:S46" si="57">R43*Q43</f>
        <v>355.58611199999996</v>
      </c>
      <c r="T43" s="128"/>
      <c r="U43" s="401">
        <f t="shared" si="9"/>
        <v>0</v>
      </c>
      <c r="V43" s="402">
        <f t="shared" si="10"/>
        <v>0</v>
      </c>
      <c r="W43" s="52"/>
      <c r="X43" s="414">
        <f>IFERROR(VLOOKUP($C43,'Proposed Rates'!$B:$J,X$11,FALSE),0)</f>
        <v>4.4999999999999997E-3</v>
      </c>
      <c r="Y43" s="421">
        <f t="shared" ref="Y43:Y44" si="58">$F$9+Y$37</f>
        <v>79019.135999999999</v>
      </c>
      <c r="Z43" s="400">
        <f t="shared" ref="Z43:Z46" si="59">Y43*X43</f>
        <v>355.58611199999996</v>
      </c>
      <c r="AA43" s="128"/>
      <c r="AB43" s="401">
        <f t="shared" si="36"/>
        <v>0</v>
      </c>
      <c r="AC43" s="402">
        <f t="shared" si="37"/>
        <v>0</v>
      </c>
      <c r="AD43" s="52"/>
      <c r="AE43" s="414">
        <f>IFERROR(VLOOKUP($C43,'Proposed Rates'!$B:$J,AE$11,FALSE),0)</f>
        <v>4.4999999999999997E-3</v>
      </c>
      <c r="AF43" s="421">
        <f t="shared" ref="AF43:AF44" si="60">$F$9+AF$37</f>
        <v>79019.135999999999</v>
      </c>
      <c r="AG43" s="400">
        <f t="shared" ref="AG43:AG46" si="61">AF43*AE43</f>
        <v>355.58611199999996</v>
      </c>
      <c r="AH43" s="128"/>
      <c r="AI43" s="401">
        <f t="shared" si="17"/>
        <v>0</v>
      </c>
      <c r="AJ43" s="402">
        <f t="shared" si="18"/>
        <v>0</v>
      </c>
      <c r="AK43" s="52"/>
      <c r="AL43" s="414">
        <f>IFERROR(VLOOKUP($C43,'Proposed Rates'!$B:$J,AL$11,FALSE),0)</f>
        <v>4.4999999999999997E-3</v>
      </c>
      <c r="AM43" s="421">
        <f t="shared" ref="AM43:AM44" si="62">$F$9+AM$37</f>
        <v>79019.135999999999</v>
      </c>
      <c r="AN43" s="400">
        <f t="shared" ref="AN43:AN46" si="63">AM43*AL43</f>
        <v>355.58611199999996</v>
      </c>
      <c r="AO43" s="128"/>
      <c r="AP43" s="401">
        <f t="shared" si="21"/>
        <v>0</v>
      </c>
      <c r="AQ43" s="402">
        <f t="shared" si="22"/>
        <v>0</v>
      </c>
      <c r="AR43" s="403"/>
      <c r="AS43" s="3"/>
      <c r="AT43" s="3"/>
      <c r="AU43" s="3"/>
      <c r="AV43" s="3"/>
      <c r="AW43" s="3"/>
      <c r="AX43" s="3"/>
    </row>
    <row r="44" spans="1:50" ht="12" customHeight="1">
      <c r="A44" s="551"/>
      <c r="B44" s="320" t="s">
        <v>258</v>
      </c>
      <c r="C44" s="395" t="str">
        <f t="shared" si="51"/>
        <v>General Service 50 to 1,499 KW.Rural and Remote Rate Protection (RRRP)</v>
      </c>
      <c r="D44" s="396" t="s">
        <v>308</v>
      </c>
      <c r="E44" s="320"/>
      <c r="F44" s="414">
        <f>IFERROR(VLOOKUP($C44,'Proposed Rates'!$B:$J,F$11,FALSE),0)</f>
        <v>1.5E-3</v>
      </c>
      <c r="G44" s="421">
        <f t="shared" si="52"/>
        <v>79065.024000000005</v>
      </c>
      <c r="H44" s="400">
        <f t="shared" si="53"/>
        <v>118.59753600000001</v>
      </c>
      <c r="I44" s="128"/>
      <c r="J44" s="414">
        <f>IFERROR(VLOOKUP($C44,'Proposed Rates'!$B:$J,J$11,FALSE),0)</f>
        <v>1.5E-3</v>
      </c>
      <c r="K44" s="421">
        <f t="shared" si="54"/>
        <v>79019.135999999999</v>
      </c>
      <c r="L44" s="400">
        <f t="shared" si="55"/>
        <v>118.528704</v>
      </c>
      <c r="M44" s="128"/>
      <c r="N44" s="401">
        <f t="shared" si="5"/>
        <v>-6.8832000000000448E-2</v>
      </c>
      <c r="O44" s="402">
        <f t="shared" si="6"/>
        <v>-5.803830528148616E-4</v>
      </c>
      <c r="P44" s="52"/>
      <c r="Q44" s="414">
        <f>IFERROR(VLOOKUP($C44,'Proposed Rates'!$B:$J,Q$11,FALSE),0)</f>
        <v>1.5E-3</v>
      </c>
      <c r="R44" s="421">
        <f t="shared" si="56"/>
        <v>79019.135999999999</v>
      </c>
      <c r="S44" s="400">
        <f t="shared" si="57"/>
        <v>118.528704</v>
      </c>
      <c r="T44" s="128"/>
      <c r="U44" s="401">
        <f t="shared" si="9"/>
        <v>0</v>
      </c>
      <c r="V44" s="402">
        <f t="shared" si="10"/>
        <v>0</v>
      </c>
      <c r="W44" s="52"/>
      <c r="X44" s="414">
        <f>IFERROR(VLOOKUP($C44,'Proposed Rates'!$B:$J,X$11,FALSE),0)</f>
        <v>1.5E-3</v>
      </c>
      <c r="Y44" s="421">
        <f t="shared" si="58"/>
        <v>79019.135999999999</v>
      </c>
      <c r="Z44" s="400">
        <f t="shared" si="59"/>
        <v>118.528704</v>
      </c>
      <c r="AA44" s="128"/>
      <c r="AB44" s="401">
        <f t="shared" si="36"/>
        <v>0</v>
      </c>
      <c r="AC44" s="402">
        <f t="shared" si="37"/>
        <v>0</v>
      </c>
      <c r="AD44" s="52"/>
      <c r="AE44" s="414">
        <f>IFERROR(VLOOKUP($C44,'Proposed Rates'!$B:$J,AE$11,FALSE),0)</f>
        <v>1.5E-3</v>
      </c>
      <c r="AF44" s="421">
        <f t="shared" si="60"/>
        <v>79019.135999999999</v>
      </c>
      <c r="AG44" s="400">
        <f t="shared" si="61"/>
        <v>118.528704</v>
      </c>
      <c r="AH44" s="128"/>
      <c r="AI44" s="401">
        <f t="shared" si="17"/>
        <v>0</v>
      </c>
      <c r="AJ44" s="402">
        <f t="shared" si="18"/>
        <v>0</v>
      </c>
      <c r="AK44" s="52"/>
      <c r="AL44" s="414">
        <f>IFERROR(VLOOKUP($C44,'Proposed Rates'!$B:$J,AL$11,FALSE),0)</f>
        <v>1.5E-3</v>
      </c>
      <c r="AM44" s="421">
        <f t="shared" si="62"/>
        <v>79019.135999999999</v>
      </c>
      <c r="AN44" s="400">
        <f t="shared" si="63"/>
        <v>118.528704</v>
      </c>
      <c r="AO44" s="128"/>
      <c r="AP44" s="401">
        <f t="shared" si="21"/>
        <v>0</v>
      </c>
      <c r="AQ44" s="402">
        <f t="shared" si="22"/>
        <v>0</v>
      </c>
      <c r="AR44" s="403"/>
      <c r="AS44" s="3"/>
      <c r="AT44" s="3"/>
      <c r="AU44" s="3"/>
      <c r="AV44" s="3"/>
      <c r="AW44" s="3"/>
      <c r="AX44" s="3"/>
    </row>
    <row r="45" spans="1:50" ht="12" customHeight="1">
      <c r="A45" s="551"/>
      <c r="B45" s="320" t="s">
        <v>260</v>
      </c>
      <c r="C45" s="395" t="str">
        <f t="shared" si="51"/>
        <v>General Service 50 to 1,499 KW.Standard Supply Service Charge</v>
      </c>
      <c r="D45" s="396" t="s">
        <v>306</v>
      </c>
      <c r="E45" s="320"/>
      <c r="F45" s="397">
        <f>IFERROR(VLOOKUP($C45,'Proposed Rates'!$B:$J,F$11,FALSE),0)</f>
        <v>0.25</v>
      </c>
      <c r="G45" s="415">
        <f>IF($D45="Monthly",1,IF($D45="per KW",$F$10,IF($D45="per kWh",$F$9,0)))</f>
        <v>1</v>
      </c>
      <c r="H45" s="400">
        <f t="shared" si="53"/>
        <v>0.25</v>
      </c>
      <c r="I45" s="128"/>
      <c r="J45" s="397">
        <f>IFERROR(VLOOKUP($C45,'Proposed Rates'!$B:$J,J$11,FALSE),0)</f>
        <v>1.51</v>
      </c>
      <c r="K45" s="415">
        <f>IF($D45="Monthly",1,IF($D45="per KW",$F$10,IF($D45="per kWh",$F$9,0)))</f>
        <v>1</v>
      </c>
      <c r="L45" s="400">
        <f t="shared" si="55"/>
        <v>1.51</v>
      </c>
      <c r="M45" s="128"/>
      <c r="N45" s="401">
        <f t="shared" si="5"/>
        <v>1.26</v>
      </c>
      <c r="O45" s="402">
        <f t="shared" si="6"/>
        <v>5.04</v>
      </c>
      <c r="P45" s="52"/>
      <c r="Q45" s="397">
        <f>IFERROR(VLOOKUP($C45,'Proposed Rates'!$B:$J,Q$11,FALSE),0)</f>
        <v>1.54</v>
      </c>
      <c r="R45" s="415">
        <f>IF($D45="Monthly",1,IF($D45="per KW",$F$10,IF($D45="per kWh",$F$9,0)))</f>
        <v>1</v>
      </c>
      <c r="S45" s="400">
        <f t="shared" si="57"/>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9"/>
        <v>1.57</v>
      </c>
      <c r="AA45" s="128"/>
      <c r="AB45" s="401">
        <f t="shared" si="36"/>
        <v>3.0000000000000027E-2</v>
      </c>
      <c r="AC45" s="402">
        <f t="shared" si="37"/>
        <v>1.9480519480519497E-2</v>
      </c>
      <c r="AD45" s="52"/>
      <c r="AE45" s="397">
        <f>IFERROR(VLOOKUP($C45,'Proposed Rates'!$B:$J,AE$11,FALSE),0)</f>
        <v>1.6</v>
      </c>
      <c r="AF45" s="415">
        <f>IF($D45="Monthly",1,IF($D45="per KW",$F$10,IF($D45="per kWh",$F$9,0)))</f>
        <v>1</v>
      </c>
      <c r="AG45" s="400">
        <f t="shared" si="61"/>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3"/>
        <v>1.63</v>
      </c>
      <c r="AO45" s="128"/>
      <c r="AP45" s="401">
        <f t="shared" si="21"/>
        <v>2.9999999999999805E-2</v>
      </c>
      <c r="AQ45" s="402">
        <f t="shared" si="22"/>
        <v>1.8749999999999878E-2</v>
      </c>
      <c r="AR45" s="403"/>
      <c r="AS45" s="3"/>
      <c r="AT45" s="3"/>
      <c r="AU45" s="3"/>
      <c r="AV45" s="3"/>
      <c r="AW45" s="3"/>
      <c r="AX45" s="3"/>
    </row>
    <row r="46" spans="1:50" ht="12" customHeight="1">
      <c r="A46" s="551"/>
      <c r="B46" s="320" t="s">
        <v>267</v>
      </c>
      <c r="C46" s="395" t="str">
        <f>B46</f>
        <v>Average IESO Wholesale Market Price</v>
      </c>
      <c r="D46" s="396" t="s">
        <v>308</v>
      </c>
      <c r="E46" s="320"/>
      <c r="F46" s="414">
        <f>IFERROR(VLOOKUP($C46,'Proposed Rates'!$B:$J,F$11,FALSE),0)</f>
        <v>0.1045</v>
      </c>
      <c r="G46" s="421">
        <f>$F$9+G$37</f>
        <v>79065.024000000005</v>
      </c>
      <c r="H46" s="400">
        <f t="shared" si="53"/>
        <v>8262.295008000001</v>
      </c>
      <c r="I46" s="128"/>
      <c r="J46" s="414">
        <f>IFERROR(VLOOKUP($C46,'Proposed Rates'!$B:$J,J$11,FALSE),0)</f>
        <v>0.1045</v>
      </c>
      <c r="K46" s="421">
        <f>$F$9+K$37</f>
        <v>79019.135999999999</v>
      </c>
      <c r="L46" s="400">
        <f t="shared" si="55"/>
        <v>8257.4997119999989</v>
      </c>
      <c r="M46" s="128"/>
      <c r="N46" s="401">
        <f t="shared" si="5"/>
        <v>-4.7952960000020539</v>
      </c>
      <c r="O46" s="402">
        <f t="shared" si="6"/>
        <v>-5.8038305281510631E-4</v>
      </c>
      <c r="P46" s="52"/>
      <c r="Q46" s="414">
        <f>IFERROR(VLOOKUP($C46,'Proposed Rates'!$B:$J,Q$11,FALSE),0)</f>
        <v>0.1045</v>
      </c>
      <c r="R46" s="421">
        <f>$F$9+R$37</f>
        <v>79019.135999999999</v>
      </c>
      <c r="S46" s="400">
        <f t="shared" si="57"/>
        <v>8257.4997119999989</v>
      </c>
      <c r="T46" s="128"/>
      <c r="U46" s="401">
        <f t="shared" si="9"/>
        <v>0</v>
      </c>
      <c r="V46" s="402">
        <f t="shared" si="10"/>
        <v>0</v>
      </c>
      <c r="W46" s="52"/>
      <c r="X46" s="414">
        <f>IFERROR(VLOOKUP($C46,'Proposed Rates'!$B:$J,X$11,FALSE),0)</f>
        <v>0.1045</v>
      </c>
      <c r="Y46" s="421">
        <f>$F$9+Y$37</f>
        <v>79019.135999999999</v>
      </c>
      <c r="Z46" s="400">
        <f t="shared" si="59"/>
        <v>8257.4997119999989</v>
      </c>
      <c r="AA46" s="128"/>
      <c r="AB46" s="401">
        <f t="shared" si="36"/>
        <v>0</v>
      </c>
      <c r="AC46" s="402">
        <f t="shared" si="37"/>
        <v>0</v>
      </c>
      <c r="AD46" s="52"/>
      <c r="AE46" s="414">
        <f>IFERROR(VLOOKUP($C46,'Proposed Rates'!$B:$J,AE$11,FALSE),0)</f>
        <v>0.1045</v>
      </c>
      <c r="AF46" s="421">
        <f>$F$9+AF$37</f>
        <v>79019.135999999999</v>
      </c>
      <c r="AG46" s="400">
        <f t="shared" si="61"/>
        <v>8257.4997119999989</v>
      </c>
      <c r="AH46" s="128"/>
      <c r="AI46" s="401">
        <f t="shared" si="17"/>
        <v>0</v>
      </c>
      <c r="AJ46" s="402">
        <f t="shared" si="18"/>
        <v>0</v>
      </c>
      <c r="AK46" s="52"/>
      <c r="AL46" s="414">
        <f>IFERROR(VLOOKUP($C46,'Proposed Rates'!$B:$J,AL$11,FALSE),0)</f>
        <v>0.1045</v>
      </c>
      <c r="AM46" s="421">
        <f>$F$9+AM$37</f>
        <v>79019.135999999999</v>
      </c>
      <c r="AN46" s="400">
        <f t="shared" si="63"/>
        <v>8257.4997119999989</v>
      </c>
      <c r="AO46" s="128"/>
      <c r="AP46" s="401">
        <f t="shared" si="21"/>
        <v>0</v>
      </c>
      <c r="AQ46" s="402">
        <f t="shared" si="22"/>
        <v>0</v>
      </c>
      <c r="AR46" s="403"/>
      <c r="AS46" s="3"/>
      <c r="AT46" s="3"/>
      <c r="AU46" s="3"/>
      <c r="AV46" s="3"/>
      <c r="AW46" s="3"/>
      <c r="AX46" s="3"/>
    </row>
    <row r="47" spans="1:50" ht="12" customHeight="1">
      <c r="A47" s="551"/>
      <c r="B47" s="320"/>
      <c r="C47" s="395" t="str">
        <f t="shared" ref="C47:C50" si="64">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c r="AS47" s="3"/>
      <c r="AT47" s="3"/>
      <c r="AU47" s="3"/>
      <c r="AV47" s="3"/>
      <c r="AW47" s="3"/>
      <c r="AX47" s="3"/>
    </row>
    <row r="48" spans="1:50" ht="12" customHeight="1">
      <c r="A48" s="551"/>
      <c r="B48" s="52"/>
      <c r="C48" s="395" t="str">
        <f t="shared" si="64"/>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c r="AS48" s="3"/>
      <c r="AT48" s="3"/>
      <c r="AU48" s="3"/>
      <c r="AV48" s="3"/>
      <c r="AW48" s="3"/>
      <c r="AX48" s="3"/>
    </row>
    <row r="49" spans="1:50" ht="12" customHeight="1">
      <c r="A49" s="551"/>
      <c r="B49" s="320"/>
      <c r="C49" s="395" t="str">
        <f t="shared" si="64"/>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c r="AS49" s="3"/>
      <c r="AT49" s="3"/>
      <c r="AU49" s="3"/>
      <c r="AV49" s="3"/>
      <c r="AW49" s="3"/>
      <c r="AX49" s="3"/>
    </row>
    <row r="50" spans="1:50" ht="12" customHeight="1">
      <c r="A50" s="551"/>
      <c r="B50" s="320"/>
      <c r="C50" s="395" t="str">
        <f t="shared" si="64"/>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c r="AS50" s="3"/>
      <c r="AT50" s="3"/>
      <c r="AU50" s="3"/>
      <c r="AV50" s="3"/>
      <c r="AW50" s="3"/>
      <c r="AX50" s="3"/>
    </row>
    <row r="51" spans="1:50" ht="12" customHeight="1">
      <c r="A51" s="551"/>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3"/>
      <c r="AT51" s="3"/>
      <c r="AU51" s="3"/>
      <c r="AV51" s="3"/>
      <c r="AW51" s="3"/>
      <c r="AX51" s="3"/>
    </row>
    <row r="52" spans="1:50" ht="12" customHeight="1">
      <c r="A52" s="551"/>
      <c r="B52" s="444" t="s">
        <v>315</v>
      </c>
      <c r="C52" s="320"/>
      <c r="D52" s="320"/>
      <c r="E52" s="320"/>
      <c r="F52" s="445"/>
      <c r="G52" s="489"/>
      <c r="H52" s="447">
        <f>SUM(H43:H48,H42)</f>
        <v>11848.463702000001</v>
      </c>
      <c r="I52" s="482"/>
      <c r="J52" s="446"/>
      <c r="K52" s="446"/>
      <c r="L52" s="447">
        <f>SUM(L43:L48,L42)</f>
        <v>12069.045928</v>
      </c>
      <c r="M52" s="449"/>
      <c r="N52" s="448">
        <f t="shared" ref="N52:N56" si="65">L52-H52</f>
        <v>220.58222599999863</v>
      </c>
      <c r="O52" s="450">
        <f t="shared" ref="O52:O56" si="66">IF((H52)=0,"",(N52/H52))</f>
        <v>1.8616947441275844E-2</v>
      </c>
      <c r="P52" s="52"/>
      <c r="Q52" s="446"/>
      <c r="R52" s="446"/>
      <c r="S52" s="447">
        <f>SUM(S43:S48,S42)</f>
        <v>11889.295427999999</v>
      </c>
      <c r="T52" s="449"/>
      <c r="U52" s="448">
        <f t="shared" ref="U52:U56" si="67">S52-L52</f>
        <v>-179.7505000000001</v>
      </c>
      <c r="V52" s="450">
        <f t="shared" ref="V52:V56" si="68">IF((L52)=0,"",(U52/L52))</f>
        <v>-1.4893513627533866E-2</v>
      </c>
      <c r="W52" s="52"/>
      <c r="X52" s="446"/>
      <c r="Y52" s="446"/>
      <c r="Z52" s="447">
        <f>SUM(Z43:Z48,Z42)</f>
        <v>12046.688277999998</v>
      </c>
      <c r="AA52" s="449"/>
      <c r="AB52" s="448">
        <f t="shared" ref="AB52:AB56" si="69">Z52-S52</f>
        <v>157.39284999999836</v>
      </c>
      <c r="AC52" s="450">
        <f t="shared" ref="AC52:AC56" si="70">IF((S52)=0,"",(AB52/S52))</f>
        <v>1.3238198255998318E-2</v>
      </c>
      <c r="AD52" s="52"/>
      <c r="AE52" s="446"/>
      <c r="AF52" s="446"/>
      <c r="AG52" s="447">
        <f>SUM(AG43:AG48,AG42)</f>
        <v>12173.831778</v>
      </c>
      <c r="AH52" s="449"/>
      <c r="AI52" s="448">
        <f t="shared" ref="AI52:AI56" si="71">AG52-Z52</f>
        <v>127.14350000000195</v>
      </c>
      <c r="AJ52" s="450">
        <f t="shared" ref="AJ52:AJ56" si="72">IF((Z52)=0,"",(AI52/Z52))</f>
        <v>1.0554228437386813E-2</v>
      </c>
      <c r="AK52" s="52"/>
      <c r="AL52" s="446"/>
      <c r="AM52" s="446"/>
      <c r="AN52" s="447">
        <f>SUM(AN43:AN48,AN42)</f>
        <v>12294.598328</v>
      </c>
      <c r="AO52" s="449"/>
      <c r="AP52" s="448">
        <f t="shared" ref="AP52:AP56" si="73">AN52-AG52</f>
        <v>120.76655000000028</v>
      </c>
      <c r="AQ52" s="450">
        <f t="shared" ref="AQ52:AQ56" si="74">IF((AG52)=0,"",(AP52/AG52))</f>
        <v>9.9201756852139306E-3</v>
      </c>
      <c r="AR52" s="451"/>
      <c r="AS52" s="3"/>
      <c r="AT52" s="3"/>
      <c r="AU52" s="3"/>
      <c r="AV52" s="3"/>
      <c r="AW52" s="3"/>
      <c r="AX52" s="3"/>
    </row>
    <row r="53" spans="1:50" ht="12" customHeight="1">
      <c r="A53" s="551"/>
      <c r="B53" s="452" t="s">
        <v>316</v>
      </c>
      <c r="C53" s="320"/>
      <c r="D53" s="320"/>
      <c r="E53" s="320"/>
      <c r="F53" s="445">
        <v>0.13</v>
      </c>
      <c r="G53" s="128"/>
      <c r="H53" s="490">
        <f>H52*F53</f>
        <v>1540.3002812600002</v>
      </c>
      <c r="I53" s="417"/>
      <c r="J53" s="453">
        <v>0.13</v>
      </c>
      <c r="K53" s="417"/>
      <c r="L53" s="400">
        <f>L52*J53</f>
        <v>1568.97597064</v>
      </c>
      <c r="M53" s="128"/>
      <c r="N53" s="401">
        <f t="shared" si="65"/>
        <v>28.675689379999767</v>
      </c>
      <c r="O53" s="402">
        <f t="shared" si="66"/>
        <v>1.8616947441275806E-2</v>
      </c>
      <c r="P53" s="52"/>
      <c r="Q53" s="453">
        <v>0.13</v>
      </c>
      <c r="R53" s="417"/>
      <c r="S53" s="400">
        <f>S52*Q53</f>
        <v>1545.60840564</v>
      </c>
      <c r="T53" s="128"/>
      <c r="U53" s="401">
        <f t="shared" si="67"/>
        <v>-23.367565000000013</v>
      </c>
      <c r="V53" s="402">
        <f t="shared" si="68"/>
        <v>-1.4893513627533864E-2</v>
      </c>
      <c r="W53" s="52"/>
      <c r="X53" s="453">
        <v>0.13</v>
      </c>
      <c r="Y53" s="417"/>
      <c r="Z53" s="400">
        <f>Z52*X53</f>
        <v>1566.0694761399998</v>
      </c>
      <c r="AA53" s="128"/>
      <c r="AB53" s="401">
        <f t="shared" si="69"/>
        <v>20.461070499999778</v>
      </c>
      <c r="AC53" s="402">
        <f t="shared" si="70"/>
        <v>1.3238198255998311E-2</v>
      </c>
      <c r="AD53" s="52"/>
      <c r="AE53" s="453">
        <v>0.13</v>
      </c>
      <c r="AF53" s="417"/>
      <c r="AG53" s="400">
        <f>AG52*AE53</f>
        <v>1582.5981311400001</v>
      </c>
      <c r="AH53" s="128"/>
      <c r="AI53" s="401">
        <f t="shared" si="71"/>
        <v>16.528655000000299</v>
      </c>
      <c r="AJ53" s="402">
        <f t="shared" si="72"/>
        <v>1.0554228437386841E-2</v>
      </c>
      <c r="AK53" s="52"/>
      <c r="AL53" s="453">
        <v>0.13</v>
      </c>
      <c r="AM53" s="417"/>
      <c r="AN53" s="400">
        <f>AN52*AL53</f>
        <v>1598.2977826400002</v>
      </c>
      <c r="AO53" s="128"/>
      <c r="AP53" s="401">
        <f t="shared" si="73"/>
        <v>15.699651500000073</v>
      </c>
      <c r="AQ53" s="402">
        <f t="shared" si="74"/>
        <v>9.9201756852139531E-3</v>
      </c>
      <c r="AR53" s="403"/>
      <c r="AS53" s="3"/>
      <c r="AT53" s="3"/>
      <c r="AU53" s="3"/>
      <c r="AV53" s="3"/>
      <c r="AW53" s="3"/>
      <c r="AX53" s="3"/>
    </row>
    <row r="54" spans="1:50" ht="12" customHeight="1">
      <c r="A54" s="551"/>
      <c r="B54" s="454" t="s">
        <v>381</v>
      </c>
      <c r="C54" s="320"/>
      <c r="D54" s="320"/>
      <c r="E54" s="320"/>
      <c r="F54" s="455"/>
      <c r="G54" s="128"/>
      <c r="H54" s="490">
        <f>H52+H53</f>
        <v>13388.763983260002</v>
      </c>
      <c r="I54" s="417"/>
      <c r="J54" s="417"/>
      <c r="K54" s="417"/>
      <c r="L54" s="400">
        <f>L52+L53</f>
        <v>13638.02189864</v>
      </c>
      <c r="M54" s="128"/>
      <c r="N54" s="401">
        <f t="shared" si="65"/>
        <v>249.25791537999794</v>
      </c>
      <c r="O54" s="402">
        <f t="shared" si="66"/>
        <v>1.8616947441275806E-2</v>
      </c>
      <c r="P54" s="52"/>
      <c r="Q54" s="417"/>
      <c r="R54" s="417"/>
      <c r="S54" s="400">
        <f>S52+S53</f>
        <v>13434.903833639999</v>
      </c>
      <c r="T54" s="128"/>
      <c r="U54" s="401">
        <f t="shared" si="67"/>
        <v>-203.11806500000057</v>
      </c>
      <c r="V54" s="402">
        <f t="shared" si="68"/>
        <v>-1.4893513627533899E-2</v>
      </c>
      <c r="W54" s="52"/>
      <c r="X54" s="417"/>
      <c r="Y54" s="417"/>
      <c r="Z54" s="400">
        <f>Z52+Z53</f>
        <v>13612.757754139997</v>
      </c>
      <c r="AA54" s="128"/>
      <c r="AB54" s="401">
        <f t="shared" si="69"/>
        <v>177.85392049999791</v>
      </c>
      <c r="AC54" s="402">
        <f t="shared" si="70"/>
        <v>1.32381982559983E-2</v>
      </c>
      <c r="AD54" s="52"/>
      <c r="AE54" s="417"/>
      <c r="AF54" s="417"/>
      <c r="AG54" s="400">
        <f>AG52+AG53</f>
        <v>13756.429909139999</v>
      </c>
      <c r="AH54" s="128"/>
      <c r="AI54" s="401">
        <f t="shared" si="71"/>
        <v>143.67215500000202</v>
      </c>
      <c r="AJ54" s="402">
        <f t="shared" si="72"/>
        <v>1.0554228437386799E-2</v>
      </c>
      <c r="AK54" s="52"/>
      <c r="AL54" s="417"/>
      <c r="AM54" s="417"/>
      <c r="AN54" s="400">
        <f>AN52+AN53</f>
        <v>13892.89611064</v>
      </c>
      <c r="AO54" s="128"/>
      <c r="AP54" s="401">
        <f t="shared" si="73"/>
        <v>136.46620150000126</v>
      </c>
      <c r="AQ54" s="402">
        <f t="shared" si="74"/>
        <v>9.9201756852139999E-3</v>
      </c>
      <c r="AR54" s="403"/>
      <c r="AS54" s="3"/>
      <c r="AT54" s="3"/>
      <c r="AU54" s="3"/>
      <c r="AV54" s="3"/>
      <c r="AW54" s="3"/>
      <c r="AX54" s="3"/>
    </row>
    <row r="55" spans="1:50" ht="12" customHeight="1">
      <c r="A55" s="551"/>
      <c r="B55" s="628" t="s">
        <v>273</v>
      </c>
      <c r="C55" s="615"/>
      <c r="D55" s="615"/>
      <c r="E55" s="320"/>
      <c r="F55" s="455"/>
      <c r="G55" s="128"/>
      <c r="H55" s="492">
        <f>F55*H52</f>
        <v>0</v>
      </c>
      <c r="I55" s="417"/>
      <c r="J55" s="417"/>
      <c r="K55" s="417"/>
      <c r="L55" s="512">
        <f>J55*L52</f>
        <v>0</v>
      </c>
      <c r="M55" s="128"/>
      <c r="N55" s="457">
        <f t="shared" si="65"/>
        <v>0</v>
      </c>
      <c r="O55" s="459" t="str">
        <f t="shared" si="66"/>
        <v/>
      </c>
      <c r="P55" s="52"/>
      <c r="Q55" s="417"/>
      <c r="R55" s="417"/>
      <c r="S55" s="512">
        <f>Q55*S52</f>
        <v>0</v>
      </c>
      <c r="T55" s="128"/>
      <c r="U55" s="457">
        <f t="shared" si="67"/>
        <v>0</v>
      </c>
      <c r="V55" s="459" t="str">
        <f t="shared" si="68"/>
        <v/>
      </c>
      <c r="W55" s="52"/>
      <c r="X55" s="417"/>
      <c r="Y55" s="417"/>
      <c r="Z55" s="512">
        <f>X55*Z52</f>
        <v>0</v>
      </c>
      <c r="AA55" s="128"/>
      <c r="AB55" s="457">
        <f t="shared" si="69"/>
        <v>0</v>
      </c>
      <c r="AC55" s="459" t="str">
        <f t="shared" si="70"/>
        <v/>
      </c>
      <c r="AD55" s="52"/>
      <c r="AE55" s="417"/>
      <c r="AF55" s="417"/>
      <c r="AG55" s="512">
        <f>AE55*AG52</f>
        <v>0</v>
      </c>
      <c r="AH55" s="128"/>
      <c r="AI55" s="457">
        <f t="shared" si="71"/>
        <v>0</v>
      </c>
      <c r="AJ55" s="459" t="str">
        <f t="shared" si="72"/>
        <v/>
      </c>
      <c r="AK55" s="52"/>
      <c r="AL55" s="417"/>
      <c r="AM55" s="417"/>
      <c r="AN55" s="512">
        <f>AL55*AN52</f>
        <v>0</v>
      </c>
      <c r="AO55" s="128"/>
      <c r="AP55" s="457">
        <f t="shared" si="73"/>
        <v>0</v>
      </c>
      <c r="AQ55" s="459" t="str">
        <f t="shared" si="74"/>
        <v/>
      </c>
      <c r="AR55" s="460"/>
      <c r="AS55" s="3"/>
      <c r="AT55" s="3"/>
      <c r="AU55" s="3"/>
      <c r="AV55" s="3"/>
      <c r="AW55" s="3"/>
      <c r="AX55" s="3"/>
    </row>
    <row r="56" spans="1:50" ht="12" customHeight="1">
      <c r="A56" s="551"/>
      <c r="B56" s="627" t="s">
        <v>318</v>
      </c>
      <c r="C56" s="613"/>
      <c r="D56" s="613"/>
      <c r="E56" s="461"/>
      <c r="F56" s="462"/>
      <c r="G56" s="493"/>
      <c r="H56" s="494">
        <f>H54-H55</f>
        <v>13388.763983260002</v>
      </c>
      <c r="I56" s="463"/>
      <c r="J56" s="463"/>
      <c r="K56" s="463"/>
      <c r="L56" s="464">
        <f>L54-L55</f>
        <v>13638.02189864</v>
      </c>
      <c r="M56" s="465"/>
      <c r="N56" s="466">
        <f t="shared" si="65"/>
        <v>249.25791537999794</v>
      </c>
      <c r="O56" s="467">
        <f t="shared" si="66"/>
        <v>1.8616947441275806E-2</v>
      </c>
      <c r="P56" s="52"/>
      <c r="Q56" s="463"/>
      <c r="R56" s="463"/>
      <c r="S56" s="464">
        <f>S54-S55</f>
        <v>13434.903833639999</v>
      </c>
      <c r="T56" s="465"/>
      <c r="U56" s="466">
        <f t="shared" si="67"/>
        <v>-203.11806500000057</v>
      </c>
      <c r="V56" s="467">
        <f t="shared" si="68"/>
        <v>-1.4893513627533899E-2</v>
      </c>
      <c r="W56" s="52"/>
      <c r="X56" s="463"/>
      <c r="Y56" s="463"/>
      <c r="Z56" s="464">
        <f>Z54-Z55</f>
        <v>13612.757754139997</v>
      </c>
      <c r="AA56" s="465"/>
      <c r="AB56" s="466">
        <f t="shared" si="69"/>
        <v>177.85392049999791</v>
      </c>
      <c r="AC56" s="467">
        <f t="shared" si="70"/>
        <v>1.32381982559983E-2</v>
      </c>
      <c r="AD56" s="52"/>
      <c r="AE56" s="463"/>
      <c r="AF56" s="463"/>
      <c r="AG56" s="464">
        <f>AG54-AG55</f>
        <v>13756.429909139999</v>
      </c>
      <c r="AH56" s="465"/>
      <c r="AI56" s="466">
        <f t="shared" si="71"/>
        <v>143.67215500000202</v>
      </c>
      <c r="AJ56" s="467">
        <f t="shared" si="72"/>
        <v>1.0554228437386799E-2</v>
      </c>
      <c r="AK56" s="52"/>
      <c r="AL56" s="463"/>
      <c r="AM56" s="463"/>
      <c r="AN56" s="464">
        <f>AN54-AN55</f>
        <v>13892.89611064</v>
      </c>
      <c r="AO56" s="465"/>
      <c r="AP56" s="466">
        <f t="shared" si="73"/>
        <v>136.46620150000126</v>
      </c>
      <c r="AQ56" s="467">
        <f t="shared" si="74"/>
        <v>9.9201756852139999E-3</v>
      </c>
      <c r="AR56" s="468"/>
      <c r="AS56" s="3"/>
      <c r="AT56" s="3"/>
      <c r="AU56" s="3"/>
      <c r="AV56" s="3"/>
      <c r="AW56" s="3"/>
      <c r="AX56" s="3"/>
    </row>
    <row r="57" spans="1:50" ht="12" customHeight="1">
      <c r="A57" s="551"/>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3"/>
      <c r="AT57" s="3"/>
      <c r="AU57" s="3"/>
      <c r="AV57" s="3"/>
      <c r="AW57" s="3"/>
      <c r="AX57" s="3"/>
    </row>
    <row r="58" spans="1:50" ht="12" customHeight="1">
      <c r="A58" s="552"/>
      <c r="B58" s="514" t="s">
        <v>319</v>
      </c>
      <c r="C58" s="515"/>
      <c r="D58" s="515"/>
      <c r="E58" s="515"/>
      <c r="F58" s="516"/>
      <c r="G58" s="517"/>
      <c r="H58" s="518">
        <f>SUM(H49:H50,H42,H43:H45)</f>
        <v>3586.168694</v>
      </c>
      <c r="I58" s="519"/>
      <c r="J58" s="520"/>
      <c r="K58" s="520"/>
      <c r="L58" s="518">
        <f>SUM(L49:L50,L42,L43:L45)</f>
        <v>3811.5462160000002</v>
      </c>
      <c r="M58" s="521"/>
      <c r="N58" s="522">
        <f t="shared" ref="N58:N62" si="75">L58-H58</f>
        <v>225.37752200000023</v>
      </c>
      <c r="O58" s="523">
        <f t="shared" ref="O58:O62" si="76">IF((H58)=0,"",(N58/H58))</f>
        <v>6.2846324652010427E-2</v>
      </c>
      <c r="P58" s="513"/>
      <c r="Q58" s="520"/>
      <c r="R58" s="520"/>
      <c r="S58" s="518">
        <f>SUM(S49:S50,S42,S43:S45)</f>
        <v>3631.7957160000001</v>
      </c>
      <c r="T58" s="521"/>
      <c r="U58" s="522">
        <f t="shared" ref="U58:U62" si="77">S58-L58</f>
        <v>-179.7505000000001</v>
      </c>
      <c r="V58" s="523">
        <f t="shared" ref="V58:V62" si="78">IF((L58)=0,"",(U58/L58))</f>
        <v>-4.7159470150315526E-2</v>
      </c>
      <c r="W58" s="513"/>
      <c r="X58" s="520"/>
      <c r="Y58" s="520"/>
      <c r="Z58" s="518">
        <f>SUM(Z49:Z50,Z42,Z43:Z45)</f>
        <v>3789.1885659999998</v>
      </c>
      <c r="AA58" s="521"/>
      <c r="AB58" s="522">
        <f t="shared" ref="AB58:AB62" si="79">Z58-S58</f>
        <v>157.39284999999973</v>
      </c>
      <c r="AC58" s="523">
        <f t="shared" ref="AC58:AC62" si="80">IF((S58)=0,"",(AB58/S58))</f>
        <v>4.3337473334912571E-2</v>
      </c>
      <c r="AD58" s="513"/>
      <c r="AE58" s="520"/>
      <c r="AF58" s="520"/>
      <c r="AG58" s="518">
        <f>SUM(AG49:AG50,AG42,AG43:AG45)</f>
        <v>3916.3320659999999</v>
      </c>
      <c r="AH58" s="521"/>
      <c r="AI58" s="522">
        <f t="shared" ref="AI58:AI62" si="81">AG58-Z58</f>
        <v>127.14350000000013</v>
      </c>
      <c r="AJ58" s="523">
        <f t="shared" ref="AJ58:AJ62" si="82">IF((Z58)=0,"",(AI58/Z58))</f>
        <v>3.3554281552743433E-2</v>
      </c>
      <c r="AK58" s="513"/>
      <c r="AL58" s="520"/>
      <c r="AM58" s="520"/>
      <c r="AN58" s="518">
        <f>SUM(AN49:AN50,AN42,AN43:AN45)</f>
        <v>4037.0986160000007</v>
      </c>
      <c r="AO58" s="521"/>
      <c r="AP58" s="522">
        <f t="shared" ref="AP58:AP62" si="83">AN58-AG58</f>
        <v>120.76655000000073</v>
      </c>
      <c r="AQ58" s="523">
        <f t="shared" ref="AQ58:AQ62" si="84">IF((AG58)=0,"",(AP58/AG58))</f>
        <v>3.0836647139410558E-2</v>
      </c>
      <c r="AR58" s="524"/>
      <c r="AS58" s="553"/>
      <c r="AT58" s="553"/>
      <c r="AU58" s="553"/>
      <c r="AV58" s="553"/>
      <c r="AW58" s="553"/>
      <c r="AX58" s="553"/>
    </row>
    <row r="59" spans="1:50" ht="12" customHeight="1">
      <c r="A59" s="552"/>
      <c r="B59" s="525" t="s">
        <v>316</v>
      </c>
      <c r="C59" s="515"/>
      <c r="D59" s="515"/>
      <c r="E59" s="515"/>
      <c r="F59" s="516">
        <v>0.13</v>
      </c>
      <c r="G59" s="517"/>
      <c r="H59" s="526">
        <f>H58*F59</f>
        <v>466.20193022000001</v>
      </c>
      <c r="I59" s="527"/>
      <c r="J59" s="516">
        <v>0.13</v>
      </c>
      <c r="K59" s="528"/>
      <c r="L59" s="529">
        <f>L58*J59</f>
        <v>495.50100808000002</v>
      </c>
      <c r="M59" s="530"/>
      <c r="N59" s="531">
        <f t="shared" si="75"/>
        <v>29.299077860000011</v>
      </c>
      <c r="O59" s="532">
        <f t="shared" si="76"/>
        <v>6.2846324652010385E-2</v>
      </c>
      <c r="P59" s="513"/>
      <c r="Q59" s="516">
        <v>0.13</v>
      </c>
      <c r="R59" s="528"/>
      <c r="S59" s="529">
        <f>S58*Q59</f>
        <v>472.13344308000001</v>
      </c>
      <c r="T59" s="530"/>
      <c r="U59" s="531">
        <f t="shared" si="77"/>
        <v>-23.367565000000013</v>
      </c>
      <c r="V59" s="532">
        <f t="shared" si="78"/>
        <v>-4.7159470150315526E-2</v>
      </c>
      <c r="W59" s="513"/>
      <c r="X59" s="516">
        <v>0.13</v>
      </c>
      <c r="Y59" s="528"/>
      <c r="Z59" s="529">
        <f>Z58*X59</f>
        <v>492.59451358000001</v>
      </c>
      <c r="AA59" s="530"/>
      <c r="AB59" s="531">
        <f t="shared" si="79"/>
        <v>20.461070500000005</v>
      </c>
      <c r="AC59" s="532">
        <f t="shared" si="80"/>
        <v>4.3337473334912661E-2</v>
      </c>
      <c r="AD59" s="513"/>
      <c r="AE59" s="516">
        <v>0.13</v>
      </c>
      <c r="AF59" s="528"/>
      <c r="AG59" s="529">
        <f>AG58*AE59</f>
        <v>509.12316858000003</v>
      </c>
      <c r="AH59" s="530"/>
      <c r="AI59" s="531">
        <f t="shared" si="81"/>
        <v>16.528655000000015</v>
      </c>
      <c r="AJ59" s="532">
        <f t="shared" si="82"/>
        <v>3.3554281552743426E-2</v>
      </c>
      <c r="AK59" s="513"/>
      <c r="AL59" s="516">
        <v>0.13</v>
      </c>
      <c r="AM59" s="528"/>
      <c r="AN59" s="529">
        <f>AN58*AL59</f>
        <v>524.82282008000016</v>
      </c>
      <c r="AO59" s="530"/>
      <c r="AP59" s="531">
        <f t="shared" si="83"/>
        <v>15.69965150000013</v>
      </c>
      <c r="AQ59" s="532">
        <f t="shared" si="84"/>
        <v>3.083664713941062E-2</v>
      </c>
      <c r="AR59" s="533"/>
      <c r="AS59" s="553"/>
      <c r="AT59" s="553"/>
      <c r="AU59" s="553"/>
      <c r="AV59" s="553"/>
      <c r="AW59" s="553"/>
      <c r="AX59" s="553"/>
    </row>
    <row r="60" spans="1:50" ht="12" customHeight="1">
      <c r="A60" s="552"/>
      <c r="B60" s="534" t="s">
        <v>382</v>
      </c>
      <c r="C60" s="515"/>
      <c r="D60" s="515"/>
      <c r="E60" s="515"/>
      <c r="F60" s="535"/>
      <c r="G60" s="530"/>
      <c r="H60" s="526">
        <f>H58+H59</f>
        <v>4052.3706242200001</v>
      </c>
      <c r="I60" s="527"/>
      <c r="J60" s="527"/>
      <c r="K60" s="527"/>
      <c r="L60" s="529">
        <f>L58+L59</f>
        <v>4307.04722408</v>
      </c>
      <c r="M60" s="530"/>
      <c r="N60" s="531">
        <f t="shared" si="75"/>
        <v>254.6765998599999</v>
      </c>
      <c r="O60" s="532">
        <f t="shared" si="76"/>
        <v>6.284632465201033E-2</v>
      </c>
      <c r="P60" s="513"/>
      <c r="Q60" s="527"/>
      <c r="R60" s="527"/>
      <c r="S60" s="529">
        <f>S58+S59</f>
        <v>4103.9291590800003</v>
      </c>
      <c r="T60" s="530"/>
      <c r="U60" s="531">
        <f t="shared" si="77"/>
        <v>-203.11806499999966</v>
      </c>
      <c r="V60" s="532">
        <f t="shared" si="78"/>
        <v>-4.7159470150315422E-2</v>
      </c>
      <c r="W60" s="513"/>
      <c r="X60" s="527"/>
      <c r="Y60" s="527"/>
      <c r="Z60" s="529">
        <f>Z58+Z59</f>
        <v>4281.78307958</v>
      </c>
      <c r="AA60" s="530"/>
      <c r="AB60" s="531">
        <f t="shared" si="79"/>
        <v>177.85392049999973</v>
      </c>
      <c r="AC60" s="532">
        <f t="shared" si="80"/>
        <v>4.3337473334912585E-2</v>
      </c>
      <c r="AD60" s="513"/>
      <c r="AE60" s="527"/>
      <c r="AF60" s="527"/>
      <c r="AG60" s="529">
        <f>AG58+AG59</f>
        <v>4425.4552345800003</v>
      </c>
      <c r="AH60" s="530"/>
      <c r="AI60" s="531">
        <f t="shared" si="81"/>
        <v>143.6721550000002</v>
      </c>
      <c r="AJ60" s="532">
        <f t="shared" si="82"/>
        <v>3.355428155274344E-2</v>
      </c>
      <c r="AK60" s="513"/>
      <c r="AL60" s="527"/>
      <c r="AM60" s="527"/>
      <c r="AN60" s="529">
        <f>AN58+AN59</f>
        <v>4561.9214360800006</v>
      </c>
      <c r="AO60" s="530"/>
      <c r="AP60" s="531">
        <f t="shared" si="83"/>
        <v>136.46620150000035</v>
      </c>
      <c r="AQ60" s="532">
        <f t="shared" si="84"/>
        <v>3.0836647139410447E-2</v>
      </c>
      <c r="AR60" s="533"/>
      <c r="AS60" s="553"/>
      <c r="AT60" s="553"/>
      <c r="AU60" s="553"/>
      <c r="AV60" s="553"/>
      <c r="AW60" s="553"/>
      <c r="AX60" s="553"/>
    </row>
    <row r="61" spans="1:50" ht="12" customHeight="1">
      <c r="A61" s="552"/>
      <c r="B61" s="636" t="s">
        <v>273</v>
      </c>
      <c r="C61" s="615"/>
      <c r="D61" s="615"/>
      <c r="E61" s="515"/>
      <c r="F61" s="535"/>
      <c r="G61" s="530"/>
      <c r="H61" s="536">
        <f>F61*H58</f>
        <v>0</v>
      </c>
      <c r="I61" s="527"/>
      <c r="J61" s="527"/>
      <c r="K61" s="527"/>
      <c r="L61" s="537">
        <f>J61*L58</f>
        <v>0</v>
      </c>
      <c r="M61" s="530"/>
      <c r="N61" s="538">
        <f t="shared" si="75"/>
        <v>0</v>
      </c>
      <c r="O61" s="539" t="str">
        <f t="shared" si="76"/>
        <v/>
      </c>
      <c r="P61" s="513"/>
      <c r="Q61" s="527"/>
      <c r="R61" s="527"/>
      <c r="S61" s="537">
        <f>Q61*S58</f>
        <v>0</v>
      </c>
      <c r="T61" s="530"/>
      <c r="U61" s="538">
        <f t="shared" si="77"/>
        <v>0</v>
      </c>
      <c r="V61" s="539" t="str">
        <f t="shared" si="78"/>
        <v/>
      </c>
      <c r="W61" s="513"/>
      <c r="X61" s="527"/>
      <c r="Y61" s="527"/>
      <c r="Z61" s="537">
        <f>X61*Z58</f>
        <v>0</v>
      </c>
      <c r="AA61" s="530"/>
      <c r="AB61" s="538">
        <f t="shared" si="79"/>
        <v>0</v>
      </c>
      <c r="AC61" s="539" t="str">
        <f t="shared" si="80"/>
        <v/>
      </c>
      <c r="AD61" s="513"/>
      <c r="AE61" s="527"/>
      <c r="AF61" s="527"/>
      <c r="AG61" s="537">
        <f>AE61*AG58</f>
        <v>0</v>
      </c>
      <c r="AH61" s="530"/>
      <c r="AI61" s="538">
        <f t="shared" si="81"/>
        <v>0</v>
      </c>
      <c r="AJ61" s="539" t="str">
        <f t="shared" si="82"/>
        <v/>
      </c>
      <c r="AK61" s="513"/>
      <c r="AL61" s="527"/>
      <c r="AM61" s="527"/>
      <c r="AN61" s="537">
        <f>AL61*AN58</f>
        <v>0</v>
      </c>
      <c r="AO61" s="530"/>
      <c r="AP61" s="538">
        <f t="shared" si="83"/>
        <v>0</v>
      </c>
      <c r="AQ61" s="539" t="str">
        <f t="shared" si="84"/>
        <v/>
      </c>
      <c r="AR61" s="540"/>
      <c r="AS61" s="553"/>
      <c r="AT61" s="553"/>
      <c r="AU61" s="553"/>
      <c r="AV61" s="553"/>
      <c r="AW61" s="553"/>
      <c r="AX61" s="553"/>
    </row>
    <row r="62" spans="1:50" ht="12" customHeight="1">
      <c r="A62" s="552"/>
      <c r="B62" s="635" t="s">
        <v>321</v>
      </c>
      <c r="C62" s="613"/>
      <c r="D62" s="613"/>
      <c r="E62" s="541"/>
      <c r="F62" s="542"/>
      <c r="G62" s="543"/>
      <c r="H62" s="544">
        <f>H60-H61</f>
        <v>4052.3706242200001</v>
      </c>
      <c r="I62" s="545"/>
      <c r="J62" s="545"/>
      <c r="K62" s="545"/>
      <c r="L62" s="546">
        <f>L60-L61</f>
        <v>4307.04722408</v>
      </c>
      <c r="M62" s="547"/>
      <c r="N62" s="548">
        <f t="shared" si="75"/>
        <v>254.6765998599999</v>
      </c>
      <c r="O62" s="549">
        <f t="shared" si="76"/>
        <v>6.284632465201033E-2</v>
      </c>
      <c r="P62" s="513"/>
      <c r="Q62" s="545"/>
      <c r="R62" s="545"/>
      <c r="S62" s="546">
        <f>S60-S61</f>
        <v>4103.9291590800003</v>
      </c>
      <c r="T62" s="547"/>
      <c r="U62" s="548">
        <f t="shared" si="77"/>
        <v>-203.11806499999966</v>
      </c>
      <c r="V62" s="549">
        <f t="shared" si="78"/>
        <v>-4.7159470150315422E-2</v>
      </c>
      <c r="W62" s="513"/>
      <c r="X62" s="545"/>
      <c r="Y62" s="545"/>
      <c r="Z62" s="546">
        <f>Z60-Z61</f>
        <v>4281.78307958</v>
      </c>
      <c r="AA62" s="547"/>
      <c r="AB62" s="548">
        <f t="shared" si="79"/>
        <v>177.85392049999973</v>
      </c>
      <c r="AC62" s="549">
        <f t="shared" si="80"/>
        <v>4.3337473334912585E-2</v>
      </c>
      <c r="AD62" s="513"/>
      <c r="AE62" s="545"/>
      <c r="AF62" s="545"/>
      <c r="AG62" s="546">
        <f>AG60-AG61</f>
        <v>4425.4552345800003</v>
      </c>
      <c r="AH62" s="547"/>
      <c r="AI62" s="548">
        <f t="shared" si="81"/>
        <v>143.6721550000002</v>
      </c>
      <c r="AJ62" s="549">
        <f t="shared" si="82"/>
        <v>3.355428155274344E-2</v>
      </c>
      <c r="AK62" s="513"/>
      <c r="AL62" s="545"/>
      <c r="AM62" s="545"/>
      <c r="AN62" s="546">
        <f>AN60-AN61</f>
        <v>4561.9214360800006</v>
      </c>
      <c r="AO62" s="547"/>
      <c r="AP62" s="548">
        <f t="shared" si="83"/>
        <v>136.46620150000035</v>
      </c>
      <c r="AQ62" s="549">
        <f t="shared" si="84"/>
        <v>3.0836647139410447E-2</v>
      </c>
      <c r="AR62" s="550"/>
      <c r="AS62" s="553"/>
      <c r="AT62" s="553"/>
      <c r="AU62" s="553"/>
      <c r="AV62" s="553"/>
      <c r="AW62" s="553"/>
      <c r="AX62" s="553"/>
    </row>
    <row r="63" spans="1:50" ht="12" customHeight="1">
      <c r="A63" s="551"/>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3"/>
      <c r="AT63" s="3"/>
      <c r="AU63" s="3"/>
      <c r="AV63" s="3"/>
      <c r="AW63" s="3"/>
      <c r="AX63" s="3"/>
    </row>
    <row r="64" spans="1:50" ht="12" customHeight="1">
      <c r="A64" s="551"/>
      <c r="B64" s="52"/>
      <c r="C64" s="52"/>
      <c r="D64" s="52"/>
      <c r="E64" s="52"/>
      <c r="F64" s="52"/>
      <c r="G64" s="52"/>
      <c r="H64" s="52">
        <v>17559.439999999999</v>
      </c>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3"/>
      <c r="AT64" s="3"/>
      <c r="AU64" s="3"/>
      <c r="AV64" s="3"/>
      <c r="AW64" s="3"/>
      <c r="AX64" s="3"/>
    </row>
    <row r="65" spans="1:50" ht="12" customHeight="1">
      <c r="A65" s="551"/>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3"/>
      <c r="AT65" s="3"/>
      <c r="AU65" s="3"/>
      <c r="AV65" s="3"/>
      <c r="AW65" s="3"/>
      <c r="AX65" s="3"/>
    </row>
    <row r="66" spans="1:50"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3"/>
      <c r="AT66" s="3"/>
      <c r="AU66" s="3"/>
      <c r="AV66" s="3"/>
      <c r="AW66" s="3"/>
      <c r="AX66" s="3"/>
    </row>
    <row r="67" spans="1:50" ht="12" customHeight="1">
      <c r="A67" s="479" t="s">
        <v>383</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3"/>
      <c r="AT67" s="3"/>
      <c r="AU67" s="3"/>
      <c r="AV67" s="3"/>
      <c r="AW67" s="3"/>
      <c r="AX67" s="3"/>
    </row>
    <row r="68" spans="1:50"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3"/>
      <c r="AT68" s="3"/>
      <c r="AU68" s="3"/>
      <c r="AV68" s="3"/>
      <c r="AW68" s="3"/>
      <c r="AX68" s="3"/>
    </row>
    <row r="69" spans="1:50" ht="12"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3"/>
      <c r="AT69" s="3"/>
      <c r="AU69" s="3"/>
      <c r="AV69" s="3"/>
      <c r="AW69" s="3"/>
      <c r="AX69" s="3"/>
    </row>
    <row r="70" spans="1:50" ht="12"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3"/>
      <c r="AT70" s="3"/>
      <c r="AU70" s="3"/>
      <c r="AV70" s="3"/>
      <c r="AW70" s="3"/>
      <c r="AX70" s="3"/>
    </row>
    <row r="71" spans="1:50"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3"/>
      <c r="AT71" s="3"/>
      <c r="AU71" s="3"/>
      <c r="AV71" s="3"/>
      <c r="AW71" s="3"/>
      <c r="AX71" s="3"/>
    </row>
    <row r="72" spans="1:50" ht="12"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3"/>
      <c r="AT72" s="3"/>
      <c r="AU72" s="3"/>
      <c r="AV72" s="3"/>
      <c r="AW72" s="3"/>
      <c r="AX72" s="3"/>
    </row>
    <row r="73" spans="1:50" ht="12"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3"/>
      <c r="AT73" s="3"/>
      <c r="AU73" s="3"/>
      <c r="AV73" s="3"/>
      <c r="AW73" s="3"/>
      <c r="AX73" s="3"/>
    </row>
    <row r="74" spans="1:50"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3"/>
      <c r="AT74" s="3"/>
      <c r="AU74" s="3"/>
      <c r="AV74" s="3"/>
      <c r="AW74" s="3"/>
      <c r="AX74" s="3"/>
    </row>
    <row r="75" spans="1:50" ht="12"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3"/>
      <c r="AT75" s="3"/>
      <c r="AU75" s="3"/>
      <c r="AV75" s="3"/>
      <c r="AW75" s="3"/>
      <c r="AX75" s="3"/>
    </row>
    <row r="76" spans="1:50" ht="12"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3"/>
      <c r="AT76" s="3"/>
      <c r="AU76" s="3"/>
      <c r="AV76" s="3"/>
      <c r="AW76" s="3"/>
      <c r="AX76" s="3"/>
    </row>
    <row r="77" spans="1:50" ht="12"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3"/>
      <c r="AT77" s="3"/>
      <c r="AU77" s="3"/>
      <c r="AV77" s="3"/>
      <c r="AW77" s="3"/>
      <c r="AX77" s="3"/>
    </row>
    <row r="78" spans="1:50" ht="12"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3"/>
      <c r="AT78" s="3"/>
      <c r="AU78" s="3"/>
      <c r="AV78" s="3"/>
      <c r="AW78" s="3"/>
      <c r="AX78" s="3"/>
    </row>
    <row r="79" spans="1:50" ht="12"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3"/>
      <c r="AT79" s="3"/>
      <c r="AU79" s="3"/>
      <c r="AV79" s="3"/>
      <c r="AW79" s="3"/>
      <c r="AX79" s="3"/>
    </row>
    <row r="80" spans="1:50"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3"/>
      <c r="AT80" s="3"/>
      <c r="AU80" s="3"/>
      <c r="AV80" s="3"/>
      <c r="AW80" s="3"/>
      <c r="AX80" s="3"/>
    </row>
    <row r="81" spans="1:50"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3"/>
      <c r="AT81" s="3"/>
      <c r="AU81" s="3"/>
      <c r="AV81" s="3"/>
      <c r="AW81" s="3"/>
      <c r="AX81" s="3"/>
    </row>
    <row r="82" spans="1:50"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3"/>
      <c r="AT82" s="3"/>
      <c r="AU82" s="3"/>
      <c r="AV82" s="3"/>
      <c r="AW82" s="3"/>
      <c r="AX82" s="3"/>
    </row>
    <row r="83" spans="1:50"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3"/>
      <c r="AT83" s="3"/>
      <c r="AU83" s="3"/>
      <c r="AV83" s="3"/>
      <c r="AW83" s="3"/>
      <c r="AX83" s="3"/>
    </row>
    <row r="84" spans="1:50"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3"/>
      <c r="AT84" s="3"/>
      <c r="AU84" s="3"/>
      <c r="AV84" s="3"/>
      <c r="AW84" s="3"/>
      <c r="AX84" s="3"/>
    </row>
    <row r="85" spans="1:50"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3"/>
      <c r="AT85" s="3"/>
      <c r="AU85" s="3"/>
      <c r="AV85" s="3"/>
      <c r="AW85" s="3"/>
      <c r="AX85" s="3"/>
    </row>
    <row r="86" spans="1:50"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3"/>
      <c r="AT86" s="3"/>
      <c r="AU86" s="3"/>
      <c r="AV86" s="3"/>
      <c r="AW86" s="3"/>
      <c r="AX86" s="3"/>
    </row>
    <row r="87" spans="1:50"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3"/>
      <c r="AT87" s="3"/>
      <c r="AU87" s="3"/>
      <c r="AV87" s="3"/>
      <c r="AW87" s="3"/>
      <c r="AX87" s="3"/>
    </row>
    <row r="88" spans="1:50"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3"/>
      <c r="AT88" s="3"/>
      <c r="AU88" s="3"/>
      <c r="AV88" s="3"/>
      <c r="AW88" s="3"/>
      <c r="AX88" s="3"/>
    </row>
    <row r="89" spans="1:50"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3"/>
      <c r="AT89" s="3"/>
      <c r="AU89" s="3"/>
      <c r="AV89" s="3"/>
      <c r="AW89" s="3"/>
      <c r="AX89" s="3"/>
    </row>
    <row r="90" spans="1:50"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3"/>
      <c r="AT90" s="3"/>
      <c r="AU90" s="3"/>
      <c r="AV90" s="3"/>
      <c r="AW90" s="3"/>
      <c r="AX90" s="3"/>
    </row>
    <row r="91" spans="1:50"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3"/>
      <c r="AT91" s="3"/>
      <c r="AU91" s="3"/>
      <c r="AV91" s="3"/>
      <c r="AW91" s="3"/>
      <c r="AX91" s="3"/>
    </row>
    <row r="92" spans="1:50"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3"/>
      <c r="AT92" s="3"/>
      <c r="AU92" s="3"/>
      <c r="AV92" s="3"/>
      <c r="AW92" s="3"/>
      <c r="AX92" s="3"/>
    </row>
    <row r="93" spans="1:50"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3"/>
      <c r="AT93" s="3"/>
      <c r="AU93" s="3"/>
      <c r="AV93" s="3"/>
      <c r="AW93" s="3"/>
      <c r="AX93" s="3"/>
    </row>
    <row r="94" spans="1:50"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3"/>
      <c r="AT94" s="3"/>
      <c r="AU94" s="3"/>
      <c r="AV94" s="3"/>
      <c r="AW94" s="3"/>
      <c r="AX94" s="3"/>
    </row>
    <row r="95" spans="1:50"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3"/>
      <c r="AT95" s="3"/>
      <c r="AU95" s="3"/>
      <c r="AV95" s="3"/>
      <c r="AW95" s="3"/>
      <c r="AX95" s="3"/>
    </row>
    <row r="96" spans="1:50"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3"/>
      <c r="AT96" s="3"/>
      <c r="AU96" s="3"/>
      <c r="AV96" s="3"/>
      <c r="AW96" s="3"/>
      <c r="AX96" s="3"/>
    </row>
    <row r="97" spans="1:50"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3"/>
      <c r="AT97" s="3"/>
      <c r="AU97" s="3"/>
      <c r="AV97" s="3"/>
      <c r="AW97" s="3"/>
      <c r="AX97" s="3"/>
    </row>
    <row r="98" spans="1:50"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3"/>
      <c r="AT98" s="3"/>
      <c r="AU98" s="3"/>
      <c r="AV98" s="3"/>
      <c r="AW98" s="3"/>
      <c r="AX98" s="3"/>
    </row>
    <row r="99" spans="1:50"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3"/>
      <c r="AT99" s="3"/>
      <c r="AU99" s="3"/>
      <c r="AV99" s="3"/>
      <c r="AW99" s="3"/>
      <c r="AX99" s="3"/>
    </row>
    <row r="100" spans="1:50"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3"/>
      <c r="AT100" s="3"/>
      <c r="AU100" s="3"/>
      <c r="AV100" s="3"/>
      <c r="AW100" s="3"/>
      <c r="AX100" s="3"/>
    </row>
    <row r="101" spans="1:50"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3"/>
      <c r="AT101" s="3"/>
      <c r="AU101" s="3"/>
      <c r="AV101" s="3"/>
      <c r="AW101" s="3"/>
      <c r="AX101" s="3"/>
    </row>
    <row r="102" spans="1:50"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3"/>
      <c r="AT102" s="3"/>
      <c r="AU102" s="3"/>
      <c r="AV102" s="3"/>
      <c r="AW102" s="3"/>
      <c r="AX102" s="3"/>
    </row>
    <row r="103" spans="1:50"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3"/>
      <c r="AT103" s="3"/>
      <c r="AU103" s="3"/>
      <c r="AV103" s="3"/>
      <c r="AW103" s="3"/>
      <c r="AX103" s="3"/>
    </row>
    <row r="104" spans="1:50"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3"/>
      <c r="AT104" s="3"/>
      <c r="AU104" s="3"/>
      <c r="AV104" s="3"/>
      <c r="AW104" s="3"/>
      <c r="AX104" s="3"/>
    </row>
    <row r="105" spans="1:50"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3"/>
      <c r="AT105" s="3"/>
      <c r="AU105" s="3"/>
      <c r="AV105" s="3"/>
      <c r="AW105" s="3"/>
      <c r="AX105" s="3"/>
    </row>
    <row r="106" spans="1:50"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3"/>
      <c r="AT106" s="3"/>
      <c r="AU106" s="3"/>
      <c r="AV106" s="3"/>
      <c r="AW106" s="3"/>
      <c r="AX106" s="3"/>
    </row>
    <row r="107" spans="1:50"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3"/>
      <c r="AT107" s="3"/>
      <c r="AU107" s="3"/>
      <c r="AV107" s="3"/>
      <c r="AW107" s="3"/>
      <c r="AX107" s="3"/>
    </row>
    <row r="108" spans="1:50"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3"/>
      <c r="AT108" s="3"/>
      <c r="AU108" s="3"/>
      <c r="AV108" s="3"/>
      <c r="AW108" s="3"/>
      <c r="AX108" s="3"/>
    </row>
    <row r="109" spans="1:50"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3"/>
      <c r="AT109" s="3"/>
      <c r="AU109" s="3"/>
      <c r="AV109" s="3"/>
      <c r="AW109" s="3"/>
      <c r="AX109" s="3"/>
    </row>
    <row r="110" spans="1:50"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3"/>
      <c r="AT110" s="3"/>
      <c r="AU110" s="3"/>
      <c r="AV110" s="3"/>
      <c r="AW110" s="3"/>
      <c r="AX110" s="3"/>
    </row>
    <row r="111" spans="1:50"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3"/>
      <c r="AT111" s="3"/>
      <c r="AU111" s="3"/>
      <c r="AV111" s="3"/>
      <c r="AW111" s="3"/>
      <c r="AX111" s="3"/>
    </row>
    <row r="112" spans="1:50"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3"/>
      <c r="AT112" s="3"/>
      <c r="AU112" s="3"/>
      <c r="AV112" s="3"/>
      <c r="AW112" s="3"/>
      <c r="AX112" s="3"/>
    </row>
    <row r="113" spans="1:50"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3"/>
      <c r="AT113" s="3"/>
      <c r="AU113" s="3"/>
      <c r="AV113" s="3"/>
      <c r="AW113" s="3"/>
      <c r="AX113" s="3"/>
    </row>
    <row r="114" spans="1:50"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3"/>
      <c r="AT114" s="3"/>
      <c r="AU114" s="3"/>
      <c r="AV114" s="3"/>
      <c r="AW114" s="3"/>
      <c r="AX114" s="3"/>
    </row>
    <row r="115" spans="1:50"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3"/>
      <c r="AT115" s="3"/>
      <c r="AU115" s="3"/>
      <c r="AV115" s="3"/>
      <c r="AW115" s="3"/>
      <c r="AX115" s="3"/>
    </row>
    <row r="116" spans="1:50"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3"/>
      <c r="AT116" s="3"/>
      <c r="AU116" s="3"/>
      <c r="AV116" s="3"/>
      <c r="AW116" s="3"/>
      <c r="AX116" s="3"/>
    </row>
    <row r="117" spans="1:50"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3"/>
      <c r="AT117" s="3"/>
      <c r="AU117" s="3"/>
      <c r="AV117" s="3"/>
      <c r="AW117" s="3"/>
      <c r="AX117" s="3"/>
    </row>
    <row r="118" spans="1:50"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3"/>
      <c r="AT118" s="3"/>
      <c r="AU118" s="3"/>
      <c r="AV118" s="3"/>
      <c r="AW118" s="3"/>
      <c r="AX118" s="3"/>
    </row>
    <row r="119" spans="1:50"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3"/>
      <c r="AT119" s="3"/>
      <c r="AU119" s="3"/>
      <c r="AV119" s="3"/>
      <c r="AW119" s="3"/>
      <c r="AX119" s="3"/>
    </row>
    <row r="120" spans="1:50"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3"/>
      <c r="AT120" s="3"/>
      <c r="AU120" s="3"/>
      <c r="AV120" s="3"/>
      <c r="AW120" s="3"/>
      <c r="AX120" s="3"/>
    </row>
    <row r="121" spans="1:50"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3"/>
      <c r="AT121" s="3"/>
      <c r="AU121" s="3"/>
      <c r="AV121" s="3"/>
      <c r="AW121" s="3"/>
      <c r="AX121" s="3"/>
    </row>
    <row r="122" spans="1:50"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3"/>
      <c r="AT122" s="3"/>
      <c r="AU122" s="3"/>
      <c r="AV122" s="3"/>
      <c r="AW122" s="3"/>
      <c r="AX122" s="3"/>
    </row>
    <row r="123" spans="1:50"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3"/>
      <c r="AT123" s="3"/>
      <c r="AU123" s="3"/>
      <c r="AV123" s="3"/>
      <c r="AW123" s="3"/>
      <c r="AX123" s="3"/>
    </row>
    <row r="124" spans="1:50"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3"/>
      <c r="AT124" s="3"/>
      <c r="AU124" s="3"/>
      <c r="AV124" s="3"/>
      <c r="AW124" s="3"/>
      <c r="AX124" s="3"/>
    </row>
    <row r="125" spans="1:50"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3"/>
      <c r="AT125" s="3"/>
      <c r="AU125" s="3"/>
      <c r="AV125" s="3"/>
      <c r="AW125" s="3"/>
      <c r="AX125" s="3"/>
    </row>
    <row r="126" spans="1:50"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3"/>
      <c r="AT126" s="3"/>
      <c r="AU126" s="3"/>
      <c r="AV126" s="3"/>
      <c r="AW126" s="3"/>
      <c r="AX126" s="3"/>
    </row>
    <row r="127" spans="1:50"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3"/>
      <c r="AT127" s="3"/>
      <c r="AU127" s="3"/>
      <c r="AV127" s="3"/>
      <c r="AW127" s="3"/>
      <c r="AX127" s="3"/>
    </row>
    <row r="128" spans="1:50"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3"/>
      <c r="AT128" s="3"/>
      <c r="AU128" s="3"/>
      <c r="AV128" s="3"/>
      <c r="AW128" s="3"/>
      <c r="AX128" s="3"/>
    </row>
    <row r="129" spans="1:50"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3"/>
      <c r="AT129" s="3"/>
      <c r="AU129" s="3"/>
      <c r="AV129" s="3"/>
      <c r="AW129" s="3"/>
      <c r="AX129" s="3"/>
    </row>
    <row r="130" spans="1:50"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3"/>
      <c r="AT130" s="3"/>
      <c r="AU130" s="3"/>
      <c r="AV130" s="3"/>
      <c r="AW130" s="3"/>
      <c r="AX130" s="3"/>
    </row>
    <row r="131" spans="1:50"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3"/>
      <c r="AT131" s="3"/>
      <c r="AU131" s="3"/>
      <c r="AV131" s="3"/>
      <c r="AW131" s="3"/>
      <c r="AX131" s="3"/>
    </row>
    <row r="132" spans="1:50"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3"/>
      <c r="AT132" s="3"/>
      <c r="AU132" s="3"/>
      <c r="AV132" s="3"/>
      <c r="AW132" s="3"/>
      <c r="AX132" s="3"/>
    </row>
    <row r="133" spans="1:50"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3"/>
      <c r="AT133" s="3"/>
      <c r="AU133" s="3"/>
      <c r="AV133" s="3"/>
      <c r="AW133" s="3"/>
      <c r="AX133" s="3"/>
    </row>
    <row r="134" spans="1:50"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3"/>
      <c r="AT134" s="3"/>
      <c r="AU134" s="3"/>
      <c r="AV134" s="3"/>
      <c r="AW134" s="3"/>
      <c r="AX134" s="3"/>
    </row>
    <row r="135" spans="1:50"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3"/>
      <c r="AT135" s="3"/>
      <c r="AU135" s="3"/>
      <c r="AV135" s="3"/>
      <c r="AW135" s="3"/>
      <c r="AX135" s="3"/>
    </row>
    <row r="136" spans="1:50"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3"/>
      <c r="AT136" s="3"/>
      <c r="AU136" s="3"/>
      <c r="AV136" s="3"/>
      <c r="AW136" s="3"/>
      <c r="AX136" s="3"/>
    </row>
    <row r="137" spans="1:50"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3"/>
      <c r="AT137" s="3"/>
      <c r="AU137" s="3"/>
      <c r="AV137" s="3"/>
      <c r="AW137" s="3"/>
      <c r="AX137" s="3"/>
    </row>
    <row r="138" spans="1:50"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3"/>
      <c r="AT138" s="3"/>
      <c r="AU138" s="3"/>
      <c r="AV138" s="3"/>
      <c r="AW138" s="3"/>
      <c r="AX138" s="3"/>
    </row>
    <row r="139" spans="1:50"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3"/>
      <c r="AT139" s="3"/>
      <c r="AU139" s="3"/>
      <c r="AV139" s="3"/>
      <c r="AW139" s="3"/>
      <c r="AX139" s="3"/>
    </row>
    <row r="140" spans="1:50"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3"/>
      <c r="AT140" s="3"/>
      <c r="AU140" s="3"/>
      <c r="AV140" s="3"/>
      <c r="AW140" s="3"/>
      <c r="AX140" s="3"/>
    </row>
    <row r="141" spans="1:50"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3"/>
      <c r="AT141" s="3"/>
      <c r="AU141" s="3"/>
      <c r="AV141" s="3"/>
      <c r="AW141" s="3"/>
      <c r="AX141" s="3"/>
    </row>
    <row r="142" spans="1:50"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3"/>
      <c r="AT142" s="3"/>
      <c r="AU142" s="3"/>
      <c r="AV142" s="3"/>
      <c r="AW142" s="3"/>
      <c r="AX142" s="3"/>
    </row>
    <row r="143" spans="1:50"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3"/>
      <c r="AT143" s="3"/>
      <c r="AU143" s="3"/>
      <c r="AV143" s="3"/>
      <c r="AW143" s="3"/>
      <c r="AX143" s="3"/>
    </row>
    <row r="144" spans="1:50"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3"/>
      <c r="AT144" s="3"/>
      <c r="AU144" s="3"/>
      <c r="AV144" s="3"/>
      <c r="AW144" s="3"/>
      <c r="AX144" s="3"/>
    </row>
    <row r="145" spans="1:50"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3"/>
      <c r="AT145" s="3"/>
      <c r="AU145" s="3"/>
      <c r="AV145" s="3"/>
      <c r="AW145" s="3"/>
      <c r="AX145" s="3"/>
    </row>
    <row r="146" spans="1:50"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3"/>
      <c r="AT146" s="3"/>
      <c r="AU146" s="3"/>
      <c r="AV146" s="3"/>
      <c r="AW146" s="3"/>
      <c r="AX146" s="3"/>
    </row>
    <row r="147" spans="1:50"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3"/>
      <c r="AT147" s="3"/>
      <c r="AU147" s="3"/>
      <c r="AV147" s="3"/>
      <c r="AW147" s="3"/>
      <c r="AX147" s="3"/>
    </row>
    <row r="148" spans="1:50"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3"/>
      <c r="AT148" s="3"/>
      <c r="AU148" s="3"/>
      <c r="AV148" s="3"/>
      <c r="AW148" s="3"/>
      <c r="AX148" s="3"/>
    </row>
    <row r="149" spans="1:50"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3"/>
      <c r="AT149" s="3"/>
      <c r="AU149" s="3"/>
      <c r="AV149" s="3"/>
      <c r="AW149" s="3"/>
      <c r="AX149" s="3"/>
    </row>
    <row r="150" spans="1:50"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3"/>
      <c r="AT150" s="3"/>
      <c r="AU150" s="3"/>
      <c r="AV150" s="3"/>
      <c r="AW150" s="3"/>
      <c r="AX150" s="3"/>
    </row>
    <row r="151" spans="1:50"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3"/>
      <c r="AT151" s="3"/>
      <c r="AU151" s="3"/>
      <c r="AV151" s="3"/>
      <c r="AW151" s="3"/>
      <c r="AX151" s="3"/>
    </row>
    <row r="152" spans="1:50"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3"/>
      <c r="AT152" s="3"/>
      <c r="AU152" s="3"/>
      <c r="AV152" s="3"/>
      <c r="AW152" s="3"/>
      <c r="AX152" s="3"/>
    </row>
    <row r="153" spans="1:50"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3"/>
      <c r="AT153" s="3"/>
      <c r="AU153" s="3"/>
      <c r="AV153" s="3"/>
      <c r="AW153" s="3"/>
      <c r="AX153" s="3"/>
    </row>
    <row r="154" spans="1:50"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3"/>
      <c r="AT154" s="3"/>
      <c r="AU154" s="3"/>
      <c r="AV154" s="3"/>
      <c r="AW154" s="3"/>
      <c r="AX154" s="3"/>
    </row>
    <row r="155" spans="1:50"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3"/>
      <c r="AT155" s="3"/>
      <c r="AU155" s="3"/>
      <c r="AV155" s="3"/>
      <c r="AW155" s="3"/>
      <c r="AX155" s="3"/>
    </row>
    <row r="156" spans="1:50"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3"/>
      <c r="AT156" s="3"/>
      <c r="AU156" s="3"/>
      <c r="AV156" s="3"/>
      <c r="AW156" s="3"/>
      <c r="AX156" s="3"/>
    </row>
    <row r="157" spans="1:50"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3"/>
      <c r="AT157" s="3"/>
      <c r="AU157" s="3"/>
      <c r="AV157" s="3"/>
      <c r="AW157" s="3"/>
      <c r="AX157" s="3"/>
    </row>
    <row r="158" spans="1:50"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3"/>
      <c r="AT158" s="3"/>
      <c r="AU158" s="3"/>
      <c r="AV158" s="3"/>
      <c r="AW158" s="3"/>
      <c r="AX158" s="3"/>
    </row>
    <row r="159" spans="1:50"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3"/>
      <c r="AT159" s="3"/>
      <c r="AU159" s="3"/>
      <c r="AV159" s="3"/>
      <c r="AW159" s="3"/>
      <c r="AX159" s="3"/>
    </row>
    <row r="160" spans="1:50"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3"/>
      <c r="AT160" s="3"/>
      <c r="AU160" s="3"/>
      <c r="AV160" s="3"/>
      <c r="AW160" s="3"/>
      <c r="AX160" s="3"/>
    </row>
    <row r="161" spans="1:50"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3"/>
      <c r="AT161" s="3"/>
      <c r="AU161" s="3"/>
      <c r="AV161" s="3"/>
      <c r="AW161" s="3"/>
      <c r="AX161" s="3"/>
    </row>
    <row r="162" spans="1:50"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3"/>
      <c r="AT162" s="3"/>
      <c r="AU162" s="3"/>
      <c r="AV162" s="3"/>
      <c r="AW162" s="3"/>
      <c r="AX162" s="3"/>
    </row>
    <row r="163" spans="1:50"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3"/>
      <c r="AT163" s="3"/>
      <c r="AU163" s="3"/>
      <c r="AV163" s="3"/>
      <c r="AW163" s="3"/>
      <c r="AX163" s="3"/>
    </row>
    <row r="164" spans="1:50"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3"/>
      <c r="AT164" s="3"/>
      <c r="AU164" s="3"/>
      <c r="AV164" s="3"/>
      <c r="AW164" s="3"/>
      <c r="AX164" s="3"/>
    </row>
    <row r="165" spans="1:50"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3"/>
      <c r="AT165" s="3"/>
      <c r="AU165" s="3"/>
      <c r="AV165" s="3"/>
      <c r="AW165" s="3"/>
      <c r="AX165" s="3"/>
    </row>
    <row r="166" spans="1:50"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3"/>
      <c r="AT166" s="3"/>
      <c r="AU166" s="3"/>
      <c r="AV166" s="3"/>
      <c r="AW166" s="3"/>
      <c r="AX166" s="3"/>
    </row>
    <row r="167" spans="1:50"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3"/>
      <c r="AT167" s="3"/>
      <c r="AU167" s="3"/>
      <c r="AV167" s="3"/>
      <c r="AW167" s="3"/>
      <c r="AX167" s="3"/>
    </row>
    <row r="168" spans="1:50"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3"/>
      <c r="AT168" s="3"/>
      <c r="AU168" s="3"/>
      <c r="AV168" s="3"/>
      <c r="AW168" s="3"/>
      <c r="AX168" s="3"/>
    </row>
    <row r="169" spans="1:50"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3"/>
      <c r="AT169" s="3"/>
      <c r="AU169" s="3"/>
      <c r="AV169" s="3"/>
      <c r="AW169" s="3"/>
      <c r="AX169" s="3"/>
    </row>
    <row r="170" spans="1:50"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3"/>
      <c r="AT170" s="3"/>
      <c r="AU170" s="3"/>
      <c r="AV170" s="3"/>
      <c r="AW170" s="3"/>
      <c r="AX170" s="3"/>
    </row>
    <row r="171" spans="1:50"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3"/>
      <c r="AT171" s="3"/>
      <c r="AU171" s="3"/>
      <c r="AV171" s="3"/>
      <c r="AW171" s="3"/>
      <c r="AX171" s="3"/>
    </row>
    <row r="172" spans="1:50"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3"/>
      <c r="AT172" s="3"/>
      <c r="AU172" s="3"/>
      <c r="AV172" s="3"/>
      <c r="AW172" s="3"/>
      <c r="AX172" s="3"/>
    </row>
    <row r="173" spans="1:50"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3"/>
      <c r="AT173" s="3"/>
      <c r="AU173" s="3"/>
      <c r="AV173" s="3"/>
      <c r="AW173" s="3"/>
      <c r="AX173" s="3"/>
    </row>
    <row r="174" spans="1:50"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3"/>
      <c r="AT174" s="3"/>
      <c r="AU174" s="3"/>
      <c r="AV174" s="3"/>
      <c r="AW174" s="3"/>
      <c r="AX174" s="3"/>
    </row>
    <row r="175" spans="1:50"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3"/>
      <c r="AT175" s="3"/>
      <c r="AU175" s="3"/>
      <c r="AV175" s="3"/>
      <c r="AW175" s="3"/>
      <c r="AX175" s="3"/>
    </row>
    <row r="176" spans="1:50"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3"/>
      <c r="AT176" s="3"/>
      <c r="AU176" s="3"/>
      <c r="AV176" s="3"/>
      <c r="AW176" s="3"/>
      <c r="AX176" s="3"/>
    </row>
    <row r="177" spans="1:50"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3"/>
      <c r="AT177" s="3"/>
      <c r="AU177" s="3"/>
      <c r="AV177" s="3"/>
      <c r="AW177" s="3"/>
      <c r="AX177" s="3"/>
    </row>
    <row r="178" spans="1:50"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3"/>
      <c r="AT178" s="3"/>
      <c r="AU178" s="3"/>
      <c r="AV178" s="3"/>
      <c r="AW178" s="3"/>
      <c r="AX178" s="3"/>
    </row>
    <row r="179" spans="1:50"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3"/>
      <c r="AT179" s="3"/>
      <c r="AU179" s="3"/>
      <c r="AV179" s="3"/>
      <c r="AW179" s="3"/>
      <c r="AX179" s="3"/>
    </row>
    <row r="180" spans="1:50"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3"/>
      <c r="AT180" s="3"/>
      <c r="AU180" s="3"/>
      <c r="AV180" s="3"/>
      <c r="AW180" s="3"/>
      <c r="AX180" s="3"/>
    </row>
    <row r="181" spans="1:50"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3"/>
      <c r="AT181" s="3"/>
      <c r="AU181" s="3"/>
      <c r="AV181" s="3"/>
      <c r="AW181" s="3"/>
      <c r="AX181" s="3"/>
    </row>
    <row r="182" spans="1:50"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3"/>
      <c r="AT182" s="3"/>
      <c r="AU182" s="3"/>
      <c r="AV182" s="3"/>
      <c r="AW182" s="3"/>
      <c r="AX182" s="3"/>
    </row>
    <row r="183" spans="1:50"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3"/>
      <c r="AT183" s="3"/>
      <c r="AU183" s="3"/>
      <c r="AV183" s="3"/>
      <c r="AW183" s="3"/>
      <c r="AX183" s="3"/>
    </row>
    <row r="184" spans="1:50"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3"/>
      <c r="AT184" s="3"/>
      <c r="AU184" s="3"/>
      <c r="AV184" s="3"/>
      <c r="AW184" s="3"/>
      <c r="AX184" s="3"/>
    </row>
    <row r="185" spans="1:50"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3"/>
      <c r="AT185" s="3"/>
      <c r="AU185" s="3"/>
      <c r="AV185" s="3"/>
      <c r="AW185" s="3"/>
      <c r="AX185" s="3"/>
    </row>
    <row r="186" spans="1:50"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3"/>
      <c r="AT186" s="3"/>
      <c r="AU186" s="3"/>
      <c r="AV186" s="3"/>
      <c r="AW186" s="3"/>
      <c r="AX186" s="3"/>
    </row>
    <row r="187" spans="1:50"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3"/>
      <c r="AT187" s="3"/>
      <c r="AU187" s="3"/>
      <c r="AV187" s="3"/>
      <c r="AW187" s="3"/>
      <c r="AX187" s="3"/>
    </row>
    <row r="188" spans="1:50"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3"/>
      <c r="AT188" s="3"/>
      <c r="AU188" s="3"/>
      <c r="AV188" s="3"/>
      <c r="AW188" s="3"/>
      <c r="AX188" s="3"/>
    </row>
    <row r="189" spans="1:50"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3"/>
      <c r="AT189" s="3"/>
      <c r="AU189" s="3"/>
      <c r="AV189" s="3"/>
      <c r="AW189" s="3"/>
      <c r="AX189" s="3"/>
    </row>
    <row r="190" spans="1:50"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3"/>
      <c r="AT190" s="3"/>
      <c r="AU190" s="3"/>
      <c r="AV190" s="3"/>
      <c r="AW190" s="3"/>
      <c r="AX190" s="3"/>
    </row>
    <row r="191" spans="1:50"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3"/>
      <c r="AT191" s="3"/>
      <c r="AU191" s="3"/>
      <c r="AV191" s="3"/>
      <c r="AW191" s="3"/>
      <c r="AX191" s="3"/>
    </row>
    <row r="192" spans="1:50"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c r="AS192" s="3"/>
      <c r="AT192" s="3"/>
      <c r="AU192" s="3"/>
      <c r="AV192" s="3"/>
      <c r="AW192" s="3"/>
      <c r="AX192" s="3"/>
    </row>
    <row r="193" spans="1:50"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c r="AS193" s="3"/>
      <c r="AT193" s="3"/>
      <c r="AU193" s="3"/>
      <c r="AV193" s="3"/>
      <c r="AW193" s="3"/>
      <c r="AX193" s="3"/>
    </row>
    <row r="194" spans="1:50"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c r="AS194" s="3"/>
      <c r="AT194" s="3"/>
      <c r="AU194" s="3"/>
      <c r="AV194" s="3"/>
      <c r="AW194" s="3"/>
      <c r="AX194" s="3"/>
    </row>
    <row r="195" spans="1:50"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c r="AS195" s="3"/>
      <c r="AT195" s="3"/>
      <c r="AU195" s="3"/>
      <c r="AV195" s="3"/>
      <c r="AW195" s="3"/>
      <c r="AX195" s="3"/>
    </row>
    <row r="196" spans="1:50"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c r="AS196" s="3"/>
      <c r="AT196" s="3"/>
      <c r="AU196" s="3"/>
      <c r="AV196" s="3"/>
      <c r="AW196" s="3"/>
      <c r="AX196" s="3"/>
    </row>
    <row r="197" spans="1:50"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c r="AS197" s="3"/>
      <c r="AT197" s="3"/>
      <c r="AU197" s="3"/>
      <c r="AV197" s="3"/>
      <c r="AW197" s="3"/>
      <c r="AX197" s="3"/>
    </row>
    <row r="198" spans="1:50"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c r="AS198" s="3"/>
      <c r="AT198" s="3"/>
      <c r="AU198" s="3"/>
      <c r="AV198" s="3"/>
      <c r="AW198" s="3"/>
      <c r="AX198" s="3"/>
    </row>
    <row r="199" spans="1:50"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c r="AS199" s="3"/>
      <c r="AT199" s="3"/>
      <c r="AU199" s="3"/>
      <c r="AV199" s="3"/>
      <c r="AW199" s="3"/>
      <c r="AX199" s="3"/>
    </row>
    <row r="200" spans="1:50"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c r="AS200" s="3"/>
      <c r="AT200" s="3"/>
      <c r="AU200" s="3"/>
      <c r="AV200" s="3"/>
      <c r="AW200" s="3"/>
      <c r="AX200" s="3"/>
    </row>
    <row r="201" spans="1:50"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c r="AS201" s="3"/>
      <c r="AT201" s="3"/>
      <c r="AU201" s="3"/>
      <c r="AV201" s="3"/>
      <c r="AW201" s="3"/>
      <c r="AX201" s="3"/>
    </row>
    <row r="202" spans="1:50"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c r="AS202" s="3"/>
      <c r="AT202" s="3"/>
      <c r="AU202" s="3"/>
      <c r="AV202" s="3"/>
      <c r="AW202" s="3"/>
      <c r="AX202" s="3"/>
    </row>
    <row r="203" spans="1:50"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c r="AS203" s="3"/>
      <c r="AT203" s="3"/>
      <c r="AU203" s="3"/>
      <c r="AV203" s="3"/>
      <c r="AW203" s="3"/>
      <c r="AX203" s="3"/>
    </row>
    <row r="204" spans="1:50"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c r="AS204" s="3"/>
      <c r="AT204" s="3"/>
      <c r="AU204" s="3"/>
      <c r="AV204" s="3"/>
      <c r="AW204" s="3"/>
      <c r="AX204" s="3"/>
    </row>
    <row r="205" spans="1:50"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c r="AS205" s="3"/>
      <c r="AT205" s="3"/>
      <c r="AU205" s="3"/>
      <c r="AV205" s="3"/>
      <c r="AW205" s="3"/>
      <c r="AX205" s="3"/>
    </row>
    <row r="206" spans="1:50"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c r="AS206" s="3"/>
      <c r="AT206" s="3"/>
      <c r="AU206" s="3"/>
      <c r="AV206" s="3"/>
      <c r="AW206" s="3"/>
      <c r="AX206" s="3"/>
    </row>
    <row r="207" spans="1:50"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c r="AS207" s="3"/>
      <c r="AT207" s="3"/>
      <c r="AU207" s="3"/>
      <c r="AV207" s="3"/>
      <c r="AW207" s="3"/>
      <c r="AX207" s="3"/>
    </row>
    <row r="208" spans="1:50"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c r="AS208" s="3"/>
      <c r="AT208" s="3"/>
      <c r="AU208" s="3"/>
      <c r="AV208" s="3"/>
      <c r="AW208" s="3"/>
      <c r="AX208" s="3"/>
    </row>
    <row r="209" spans="1:50"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c r="AS209" s="3"/>
      <c r="AT209" s="3"/>
      <c r="AU209" s="3"/>
      <c r="AV209" s="3"/>
      <c r="AW209" s="3"/>
      <c r="AX209" s="3"/>
    </row>
    <row r="210" spans="1:50"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c r="AS210" s="3"/>
      <c r="AT210" s="3"/>
      <c r="AU210" s="3"/>
      <c r="AV210" s="3"/>
      <c r="AW210" s="3"/>
      <c r="AX210" s="3"/>
    </row>
    <row r="211" spans="1:50"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c r="AS211" s="3"/>
      <c r="AT211" s="3"/>
      <c r="AU211" s="3"/>
      <c r="AV211" s="3"/>
      <c r="AW211" s="3"/>
      <c r="AX211" s="3"/>
    </row>
    <row r="212" spans="1:50"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c r="AS212" s="3"/>
      <c r="AT212" s="3"/>
      <c r="AU212" s="3"/>
      <c r="AV212" s="3"/>
      <c r="AW212" s="3"/>
      <c r="AX212" s="3"/>
    </row>
    <row r="213" spans="1:50"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c r="AS213" s="3"/>
      <c r="AT213" s="3"/>
      <c r="AU213" s="3"/>
      <c r="AV213" s="3"/>
      <c r="AW213" s="3"/>
      <c r="AX213" s="3"/>
    </row>
    <row r="214" spans="1:50"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c r="AS214" s="3"/>
      <c r="AT214" s="3"/>
      <c r="AU214" s="3"/>
      <c r="AV214" s="3"/>
      <c r="AW214" s="3"/>
      <c r="AX214" s="3"/>
    </row>
    <row r="215" spans="1:50"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c r="AS215" s="3"/>
      <c r="AT215" s="3"/>
      <c r="AU215" s="3"/>
      <c r="AV215" s="3"/>
      <c r="AW215" s="3"/>
      <c r="AX215" s="3"/>
    </row>
    <row r="216" spans="1:50"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c r="AS216" s="3"/>
      <c r="AT216" s="3"/>
      <c r="AU216" s="3"/>
      <c r="AV216" s="3"/>
      <c r="AW216" s="3"/>
      <c r="AX216" s="3"/>
    </row>
    <row r="217" spans="1:50"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c r="AS217" s="3"/>
      <c r="AT217" s="3"/>
      <c r="AU217" s="3"/>
      <c r="AV217" s="3"/>
      <c r="AW217" s="3"/>
      <c r="AX217" s="3"/>
    </row>
    <row r="218" spans="1:50"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c r="AS218" s="3"/>
      <c r="AT218" s="3"/>
      <c r="AU218" s="3"/>
      <c r="AV218" s="3"/>
      <c r="AW218" s="3"/>
      <c r="AX218" s="3"/>
    </row>
    <row r="219" spans="1:50"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c r="AS219" s="3"/>
      <c r="AT219" s="3"/>
      <c r="AU219" s="3"/>
      <c r="AV219" s="3"/>
      <c r="AW219" s="3"/>
      <c r="AX219" s="3"/>
    </row>
    <row r="220" spans="1:50"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c r="AS220" s="3"/>
      <c r="AT220" s="3"/>
      <c r="AU220" s="3"/>
      <c r="AV220" s="3"/>
      <c r="AW220" s="3"/>
      <c r="AX220" s="3"/>
    </row>
    <row r="221" spans="1:50"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c r="AS221" s="3"/>
      <c r="AT221" s="3"/>
      <c r="AU221" s="3"/>
      <c r="AV221" s="3"/>
      <c r="AW221" s="3"/>
      <c r="AX221" s="3"/>
    </row>
    <row r="222" spans="1:50"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c r="AS222" s="3"/>
      <c r="AT222" s="3"/>
      <c r="AU222" s="3"/>
      <c r="AV222" s="3"/>
      <c r="AW222" s="3"/>
      <c r="AX222" s="3"/>
    </row>
    <row r="223" spans="1:50"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c r="AS223" s="3"/>
      <c r="AT223" s="3"/>
      <c r="AU223" s="3"/>
      <c r="AV223" s="3"/>
      <c r="AW223" s="3"/>
      <c r="AX223" s="3"/>
    </row>
    <row r="224" spans="1:50"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c r="AS224" s="3"/>
      <c r="AT224" s="3"/>
      <c r="AU224" s="3"/>
      <c r="AV224" s="3"/>
      <c r="AW224" s="3"/>
      <c r="AX224" s="3"/>
    </row>
    <row r="225" spans="1:50"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c r="AS225" s="3"/>
      <c r="AT225" s="3"/>
      <c r="AU225" s="3"/>
      <c r="AV225" s="3"/>
      <c r="AW225" s="3"/>
      <c r="AX225" s="3"/>
    </row>
    <row r="226" spans="1:50"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c r="AS226" s="3"/>
      <c r="AT226" s="3"/>
      <c r="AU226" s="3"/>
      <c r="AV226" s="3"/>
      <c r="AW226" s="3"/>
      <c r="AX226" s="3"/>
    </row>
    <row r="227" spans="1:50"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c r="AS227" s="3"/>
      <c r="AT227" s="3"/>
      <c r="AU227" s="3"/>
      <c r="AV227" s="3"/>
      <c r="AW227" s="3"/>
      <c r="AX227" s="3"/>
    </row>
    <row r="228" spans="1:50"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c r="AS228" s="3"/>
      <c r="AT228" s="3"/>
      <c r="AU228" s="3"/>
      <c r="AV228" s="3"/>
      <c r="AW228" s="3"/>
      <c r="AX228" s="3"/>
    </row>
    <row r="229" spans="1:50"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c r="AS229" s="3"/>
      <c r="AT229" s="3"/>
      <c r="AU229" s="3"/>
      <c r="AV229" s="3"/>
      <c r="AW229" s="3"/>
      <c r="AX229" s="3"/>
    </row>
    <row r="230" spans="1:50"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c r="AS230" s="3"/>
      <c r="AT230" s="3"/>
      <c r="AU230" s="3"/>
      <c r="AV230" s="3"/>
      <c r="AW230" s="3"/>
      <c r="AX230" s="3"/>
    </row>
    <row r="231" spans="1:50"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c r="AS231" s="3"/>
      <c r="AT231" s="3"/>
      <c r="AU231" s="3"/>
      <c r="AV231" s="3"/>
      <c r="AW231" s="3"/>
      <c r="AX231" s="3"/>
    </row>
    <row r="232" spans="1:50"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c r="AS232" s="3"/>
      <c r="AT232" s="3"/>
      <c r="AU232" s="3"/>
      <c r="AV232" s="3"/>
      <c r="AW232" s="3"/>
      <c r="AX232" s="3"/>
    </row>
    <row r="233" spans="1:50"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c r="AS233" s="3"/>
      <c r="AT233" s="3"/>
      <c r="AU233" s="3"/>
      <c r="AV233" s="3"/>
      <c r="AW233" s="3"/>
      <c r="AX233" s="3"/>
    </row>
    <row r="234" spans="1:50"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c r="AS234" s="3"/>
      <c r="AT234" s="3"/>
      <c r="AU234" s="3"/>
      <c r="AV234" s="3"/>
      <c r="AW234" s="3"/>
      <c r="AX234" s="3"/>
    </row>
    <row r="235" spans="1:50"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c r="AS235" s="3"/>
      <c r="AT235" s="3"/>
      <c r="AU235" s="3"/>
      <c r="AV235" s="3"/>
      <c r="AW235" s="3"/>
      <c r="AX235" s="3"/>
    </row>
    <row r="236" spans="1:50"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c r="AS236" s="3"/>
      <c r="AT236" s="3"/>
      <c r="AU236" s="3"/>
      <c r="AV236" s="3"/>
      <c r="AW236" s="3"/>
      <c r="AX236" s="3"/>
    </row>
    <row r="237" spans="1:50"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c r="AS237" s="3"/>
      <c r="AT237" s="3"/>
      <c r="AU237" s="3"/>
      <c r="AV237" s="3"/>
      <c r="AW237" s="3"/>
      <c r="AX237" s="3"/>
    </row>
    <row r="238" spans="1:50"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c r="AS238" s="3"/>
      <c r="AT238" s="3"/>
      <c r="AU238" s="3"/>
      <c r="AV238" s="3"/>
      <c r="AW238" s="3"/>
      <c r="AX238" s="3"/>
    </row>
    <row r="239" spans="1:50"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c r="AS239" s="3"/>
      <c r="AT239" s="3"/>
      <c r="AU239" s="3"/>
      <c r="AV239" s="3"/>
      <c r="AW239" s="3"/>
      <c r="AX239" s="3"/>
    </row>
    <row r="240" spans="1:50"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c r="AS240" s="3"/>
      <c r="AT240" s="3"/>
      <c r="AU240" s="3"/>
      <c r="AV240" s="3"/>
      <c r="AW240" s="3"/>
      <c r="AX240" s="3"/>
    </row>
    <row r="241" spans="1:50"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c r="AS241" s="3"/>
      <c r="AT241" s="3"/>
      <c r="AU241" s="3"/>
      <c r="AV241" s="3"/>
      <c r="AW241" s="3"/>
      <c r="AX241" s="3"/>
    </row>
    <row r="242" spans="1:50"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c r="AS242" s="3"/>
      <c r="AT242" s="3"/>
      <c r="AU242" s="3"/>
      <c r="AV242" s="3"/>
      <c r="AW242" s="3"/>
      <c r="AX242" s="3"/>
    </row>
    <row r="243" spans="1:50"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c r="AS243" s="3"/>
      <c r="AT243" s="3"/>
      <c r="AU243" s="3"/>
      <c r="AV243" s="3"/>
      <c r="AW243" s="3"/>
      <c r="AX243" s="3"/>
    </row>
    <row r="244" spans="1:50"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c r="AS244" s="3"/>
      <c r="AT244" s="3"/>
      <c r="AU244" s="3"/>
      <c r="AV244" s="3"/>
      <c r="AW244" s="3"/>
      <c r="AX244" s="3"/>
    </row>
    <row r="245" spans="1:50"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c r="AS245" s="3"/>
      <c r="AT245" s="3"/>
      <c r="AU245" s="3"/>
      <c r="AV245" s="3"/>
      <c r="AW245" s="3"/>
      <c r="AX245" s="3"/>
    </row>
    <row r="246" spans="1:50"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c r="AS246" s="3"/>
      <c r="AT246" s="3"/>
      <c r="AU246" s="3"/>
      <c r="AV246" s="3"/>
      <c r="AW246" s="3"/>
      <c r="AX246" s="3"/>
    </row>
    <row r="247" spans="1:50"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c r="AS247" s="3"/>
      <c r="AT247" s="3"/>
      <c r="AU247" s="3"/>
      <c r="AV247" s="3"/>
      <c r="AW247" s="3"/>
      <c r="AX247" s="3"/>
    </row>
    <row r="248" spans="1:50"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c r="AS248" s="3"/>
      <c r="AT248" s="3"/>
      <c r="AU248" s="3"/>
      <c r="AV248" s="3"/>
      <c r="AW248" s="3"/>
      <c r="AX248" s="3"/>
    </row>
    <row r="249" spans="1:50"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c r="AS249" s="3"/>
      <c r="AT249" s="3"/>
      <c r="AU249" s="3"/>
      <c r="AV249" s="3"/>
      <c r="AW249" s="3"/>
      <c r="AX249" s="3"/>
    </row>
    <row r="250" spans="1:50"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c r="AS250" s="3"/>
      <c r="AT250" s="3"/>
      <c r="AU250" s="3"/>
      <c r="AV250" s="3"/>
      <c r="AW250" s="3"/>
      <c r="AX250" s="3"/>
    </row>
    <row r="251" spans="1:50"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c r="AS251" s="3"/>
      <c r="AT251" s="3"/>
      <c r="AU251" s="3"/>
      <c r="AV251" s="3"/>
      <c r="AW251" s="3"/>
      <c r="AX251" s="3"/>
    </row>
    <row r="252" spans="1:50"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c r="AS252" s="3"/>
      <c r="AT252" s="3"/>
      <c r="AU252" s="3"/>
      <c r="AV252" s="3"/>
      <c r="AW252" s="3"/>
      <c r="AX252" s="3"/>
    </row>
    <row r="253" spans="1:50"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c r="AS253" s="3"/>
      <c r="AT253" s="3"/>
      <c r="AU253" s="3"/>
      <c r="AV253" s="3"/>
      <c r="AW253" s="3"/>
      <c r="AX253" s="3"/>
    </row>
    <row r="254" spans="1:50"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c r="AS254" s="3"/>
      <c r="AT254" s="3"/>
      <c r="AU254" s="3"/>
      <c r="AV254" s="3"/>
      <c r="AW254" s="3"/>
      <c r="AX254" s="3"/>
    </row>
    <row r="255" spans="1:50"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c r="AS255" s="3"/>
      <c r="AT255" s="3"/>
      <c r="AU255" s="3"/>
      <c r="AV255" s="3"/>
      <c r="AW255" s="3"/>
      <c r="AX255" s="3"/>
    </row>
    <row r="256" spans="1:50"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c r="AS256" s="3"/>
      <c r="AT256" s="3"/>
      <c r="AU256" s="3"/>
      <c r="AV256" s="3"/>
      <c r="AW256" s="3"/>
      <c r="AX256" s="3"/>
    </row>
    <row r="257" spans="1:50"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c r="AS257" s="3"/>
      <c r="AT257" s="3"/>
      <c r="AU257" s="3"/>
      <c r="AV257" s="3"/>
      <c r="AW257" s="3"/>
      <c r="AX257" s="3"/>
    </row>
    <row r="258" spans="1:50"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c r="AS258" s="3"/>
      <c r="AT258" s="3"/>
      <c r="AU258" s="3"/>
      <c r="AV258" s="3"/>
      <c r="AW258" s="3"/>
      <c r="AX258" s="3"/>
    </row>
    <row r="259" spans="1:50"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c r="AS259" s="3"/>
      <c r="AT259" s="3"/>
      <c r="AU259" s="3"/>
      <c r="AV259" s="3"/>
      <c r="AW259" s="3"/>
      <c r="AX259" s="3"/>
    </row>
    <row r="260" spans="1:50"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c r="AS260" s="3"/>
      <c r="AT260" s="3"/>
      <c r="AU260" s="3"/>
      <c r="AV260" s="3"/>
      <c r="AW260" s="3"/>
      <c r="AX260" s="3"/>
    </row>
    <row r="261" spans="1:50"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c r="AS261" s="3"/>
      <c r="AT261" s="3"/>
      <c r="AU261" s="3"/>
      <c r="AV261" s="3"/>
      <c r="AW261" s="3"/>
      <c r="AX261" s="3"/>
    </row>
    <row r="262" spans="1:50"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c r="AS262" s="3"/>
      <c r="AT262" s="3"/>
      <c r="AU262" s="3"/>
      <c r="AV262" s="3"/>
      <c r="AW262" s="3"/>
      <c r="AX262" s="3"/>
    </row>
    <row r="263" spans="1:50"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c r="AS263" s="3"/>
      <c r="AT263" s="3"/>
      <c r="AU263" s="3"/>
      <c r="AV263" s="3"/>
      <c r="AW263" s="3"/>
      <c r="AX263" s="3"/>
    </row>
    <row r="264" spans="1:50"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c r="AS264" s="3"/>
      <c r="AT264" s="3"/>
      <c r="AU264" s="3"/>
      <c r="AV264" s="3"/>
      <c r="AW264" s="3"/>
      <c r="AX264" s="3"/>
    </row>
    <row r="265" spans="1:50"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c r="AS265" s="3"/>
      <c r="AT265" s="3"/>
      <c r="AU265" s="3"/>
      <c r="AV265" s="3"/>
      <c r="AW265" s="3"/>
      <c r="AX265" s="3"/>
    </row>
    <row r="266" spans="1:50"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c r="AS266" s="3"/>
      <c r="AT266" s="3"/>
      <c r="AU266" s="3"/>
      <c r="AV266" s="3"/>
      <c r="AW266" s="3"/>
      <c r="AX266" s="3"/>
    </row>
    <row r="267" spans="1:50"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c r="AS267" s="3"/>
      <c r="AT267" s="3"/>
      <c r="AU267" s="3"/>
      <c r="AV267" s="3"/>
      <c r="AW267" s="3"/>
      <c r="AX267" s="3"/>
    </row>
    <row r="268" spans="1:50"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c r="AS268" s="3"/>
      <c r="AT268" s="3"/>
      <c r="AU268" s="3"/>
      <c r="AV268" s="3"/>
      <c r="AW268" s="3"/>
      <c r="AX268" s="3"/>
    </row>
    <row r="269" spans="1:50"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c r="AS269" s="3"/>
      <c r="AT269" s="3"/>
      <c r="AU269" s="3"/>
      <c r="AV269" s="3"/>
      <c r="AW269" s="3"/>
      <c r="AX269" s="3"/>
    </row>
    <row r="270" spans="1:50"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c r="AS270" s="3"/>
      <c r="AT270" s="3"/>
      <c r="AU270" s="3"/>
      <c r="AV270" s="3"/>
      <c r="AW270" s="3"/>
      <c r="AX270" s="3"/>
    </row>
    <row r="271" spans="1:50"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c r="AS271" s="3"/>
      <c r="AT271" s="3"/>
      <c r="AU271" s="3"/>
      <c r="AV271" s="3"/>
      <c r="AW271" s="3"/>
      <c r="AX271" s="3"/>
    </row>
    <row r="272" spans="1:50"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c r="AS272" s="3"/>
      <c r="AT272" s="3"/>
      <c r="AU272" s="3"/>
      <c r="AV272" s="3"/>
      <c r="AW272" s="3"/>
      <c r="AX272" s="3"/>
    </row>
    <row r="273" spans="1:50"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c r="AS273" s="3"/>
      <c r="AT273" s="3"/>
      <c r="AU273" s="3"/>
      <c r="AV273" s="3"/>
      <c r="AW273" s="3"/>
      <c r="AX273" s="3"/>
    </row>
    <row r="274" spans="1:50"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c r="AS274" s="3"/>
      <c r="AT274" s="3"/>
      <c r="AU274" s="3"/>
      <c r="AV274" s="3"/>
      <c r="AW274" s="3"/>
      <c r="AX274" s="3"/>
    </row>
    <row r="275" spans="1:50"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c r="AS275" s="3"/>
      <c r="AT275" s="3"/>
      <c r="AU275" s="3"/>
      <c r="AV275" s="3"/>
      <c r="AW275" s="3"/>
      <c r="AX275" s="3"/>
    </row>
    <row r="276" spans="1:50"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3"/>
      <c r="AS276" s="3"/>
      <c r="AT276" s="3"/>
      <c r="AU276" s="3"/>
      <c r="AV276" s="3"/>
      <c r="AW276" s="3"/>
      <c r="AX276" s="3"/>
    </row>
    <row r="277" spans="1:50"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3"/>
      <c r="AS277" s="3"/>
      <c r="AT277" s="3"/>
      <c r="AU277" s="3"/>
      <c r="AV277" s="3"/>
      <c r="AW277" s="3"/>
      <c r="AX277" s="3"/>
    </row>
    <row r="278" spans="1:50"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3"/>
      <c r="AS278" s="3"/>
      <c r="AT278" s="3"/>
      <c r="AU278" s="3"/>
      <c r="AV278" s="3"/>
      <c r="AW278" s="3"/>
      <c r="AX278" s="3"/>
    </row>
    <row r="279" spans="1:50"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3"/>
      <c r="AS279" s="3"/>
      <c r="AT279" s="3"/>
      <c r="AU279" s="3"/>
      <c r="AV279" s="3"/>
      <c r="AW279" s="3"/>
      <c r="AX279" s="3"/>
    </row>
    <row r="280" spans="1:50"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3"/>
      <c r="AS280" s="3"/>
      <c r="AT280" s="3"/>
      <c r="AU280" s="3"/>
      <c r="AV280" s="3"/>
      <c r="AW280" s="3"/>
      <c r="AX280" s="3"/>
    </row>
    <row r="281" spans="1:50"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3"/>
      <c r="AS281" s="3"/>
      <c r="AT281" s="3"/>
      <c r="AU281" s="3"/>
      <c r="AV281" s="3"/>
      <c r="AW281" s="3"/>
      <c r="AX281" s="3"/>
    </row>
    <row r="282" spans="1:50"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3"/>
      <c r="AS282" s="3"/>
      <c r="AT282" s="3"/>
      <c r="AU282" s="3"/>
      <c r="AV282" s="3"/>
      <c r="AW282" s="3"/>
      <c r="AX282" s="3"/>
    </row>
    <row r="283" spans="1:50"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3"/>
      <c r="AS283" s="3"/>
      <c r="AT283" s="3"/>
      <c r="AU283" s="3"/>
      <c r="AV283" s="3"/>
      <c r="AW283" s="3"/>
      <c r="AX283" s="3"/>
    </row>
    <row r="284" spans="1:5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900-000000000000}">
      <formula1>"TOU,non-TOU"</formula1>
    </dataValidation>
    <dataValidation type="list" allowBlank="1" showErrorMessage="1" sqref="E15:E28 E30:E38 E40:E41 E43:E51 E57 E63" xr:uid="{00000000-0002-0000-1900-000001000000}">
      <formula1>#REF!</formula1>
    </dataValidation>
    <dataValidation type="list" allowBlank="1" showInputMessage="1" showErrorMessage="1" prompt="Select Charge Unit - monthly, per kWh, per kW" sqref="D15:D28 D30:D38 D40:D41 D43:D51 D57 D63" xr:uid="{00000000-0002-0000-1900-000002000000}">
      <formula1>"Monthly,per kWh,per kW"</formula1>
    </dataValidation>
  </dataValidations>
  <pageMargins left="0.74803149606299213" right="0.74803149606299213" top="0.98425196850393704" bottom="0.98425196850393704"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X1000"/>
  <sheetViews>
    <sheetView showGridLines="0" workbookViewId="0">
      <selection activeCell="K57" sqref="K57"/>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9.28515625" customWidth="1"/>
    <col min="8" max="8" width="12.28515625" customWidth="1"/>
    <col min="9" max="9" width="0.7109375" customWidth="1"/>
    <col min="10" max="11" width="9.28515625" customWidth="1"/>
    <col min="12" max="12" width="12.28515625" customWidth="1"/>
    <col min="13" max="13" width="0.42578125" customWidth="1"/>
    <col min="14" max="14" width="9.42578125" customWidth="1"/>
    <col min="15" max="15" width="10" customWidth="1"/>
    <col min="16" max="16" width="0.42578125" customWidth="1"/>
    <col min="17" max="18" width="9.28515625" customWidth="1"/>
    <col min="19" max="19" width="12.28515625" customWidth="1"/>
    <col min="20" max="20" width="0.42578125" customWidth="1"/>
    <col min="21" max="21" width="9.42578125" customWidth="1"/>
    <col min="22" max="22" width="10" customWidth="1"/>
    <col min="23" max="23" width="0.42578125" customWidth="1"/>
    <col min="24" max="25" width="9.2851562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2"/>
      <c r="B1" s="52"/>
      <c r="C1" s="52"/>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50" ht="12" customHeight="1">
      <c r="A2" s="52"/>
      <c r="B2" s="52"/>
      <c r="C2" s="379"/>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50"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50"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50"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50" ht="12"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c r="AW6" s="3"/>
      <c r="AX6" s="3"/>
    </row>
    <row r="7" spans="1:50"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50" ht="12"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50" ht="12" customHeight="1">
      <c r="A9" s="52"/>
      <c r="B9" s="383"/>
      <c r="C9" s="52"/>
      <c r="D9" s="306" t="s">
        <v>297</v>
      </c>
      <c r="E9" s="306"/>
      <c r="F9" s="386">
        <v>127750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50" ht="12" customHeight="1">
      <c r="A10" s="52"/>
      <c r="B10" s="52"/>
      <c r="C10" s="52"/>
      <c r="D10" s="52"/>
      <c r="E10" s="52"/>
      <c r="F10" s="386">
        <v>250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50" ht="12" customHeight="1">
      <c r="A11" s="551"/>
      <c r="B11" s="52"/>
      <c r="C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50" ht="12" customHeight="1">
      <c r="A12" s="551"/>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50" ht="12" customHeight="1">
      <c r="A13" s="551"/>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50" ht="12" customHeight="1">
      <c r="A14" s="551"/>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50" ht="12" customHeight="1">
      <c r="A15" s="551"/>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34" si="13">Z15-S15</f>
        <v>0</v>
      </c>
      <c r="AC15" s="402">
        <f t="shared" ref="AC15:AC34"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row>
    <row r="16" spans="1:50" ht="12" customHeight="1">
      <c r="A16" s="551"/>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 customHeight="1">
      <c r="A17" s="551"/>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250</v>
      </c>
      <c r="H17" s="400">
        <f t="shared" si="2"/>
        <v>0</v>
      </c>
      <c r="I17" s="128"/>
      <c r="J17" s="397">
        <f>IFERROR(VLOOKUP($C17,'Proposed Rates'!$B:$J,J$11,FALSE),0)</f>
        <v>0</v>
      </c>
      <c r="K17" s="415">
        <f t="shared" si="3"/>
        <v>250</v>
      </c>
      <c r="L17" s="400">
        <f t="shared" si="4"/>
        <v>0</v>
      </c>
      <c r="M17" s="128"/>
      <c r="N17" s="401">
        <f t="shared" si="5"/>
        <v>0</v>
      </c>
      <c r="O17" s="402" t="str">
        <f t="shared" si="6"/>
        <v/>
      </c>
      <c r="P17" s="52"/>
      <c r="Q17" s="397">
        <f>IFERROR(VLOOKUP($C17,'Proposed Rates'!$B:$J,Q$11,FALSE),0)</f>
        <v>0</v>
      </c>
      <c r="R17" s="415">
        <f t="shared" si="7"/>
        <v>250</v>
      </c>
      <c r="S17" s="400">
        <f t="shared" si="8"/>
        <v>0</v>
      </c>
      <c r="T17" s="128"/>
      <c r="U17" s="401">
        <f t="shared" si="9"/>
        <v>0</v>
      </c>
      <c r="V17" s="402" t="str">
        <f t="shared" si="10"/>
        <v/>
      </c>
      <c r="W17" s="52"/>
      <c r="X17" s="397">
        <f>IFERROR(VLOOKUP($C17,'Proposed Rates'!$B:$J,X$11,FALSE),0)</f>
        <v>0</v>
      </c>
      <c r="Y17" s="415">
        <f t="shared" si="11"/>
        <v>250</v>
      </c>
      <c r="Z17" s="400">
        <f t="shared" si="12"/>
        <v>0</v>
      </c>
      <c r="AA17" s="128"/>
      <c r="AB17" s="401">
        <f t="shared" si="13"/>
        <v>0</v>
      </c>
      <c r="AC17" s="402" t="str">
        <f t="shared" si="14"/>
        <v/>
      </c>
      <c r="AD17" s="52"/>
      <c r="AE17" s="397">
        <f>IFERROR(VLOOKUP($C17,'Proposed Rates'!$B:$J,AE$11,FALSE),0)</f>
        <v>0</v>
      </c>
      <c r="AF17" s="415">
        <f t="shared" si="15"/>
        <v>250</v>
      </c>
      <c r="AG17" s="400">
        <f t="shared" si="16"/>
        <v>0</v>
      </c>
      <c r="AH17" s="128"/>
      <c r="AI17" s="401">
        <f t="shared" si="17"/>
        <v>0</v>
      </c>
      <c r="AJ17" s="402" t="str">
        <f t="shared" si="18"/>
        <v/>
      </c>
      <c r="AK17" s="52"/>
      <c r="AL17" s="397">
        <f>IFERROR(VLOOKUP($C17,'Proposed Rates'!$B:$J,AL$11,FALSE),0)</f>
        <v>0</v>
      </c>
      <c r="AM17" s="415">
        <f t="shared" si="19"/>
        <v>250</v>
      </c>
      <c r="AN17" s="400">
        <f t="shared" si="20"/>
        <v>0</v>
      </c>
      <c r="AO17" s="128"/>
      <c r="AP17" s="401">
        <f t="shared" si="21"/>
        <v>0</v>
      </c>
      <c r="AQ17" s="402" t="str">
        <f t="shared" si="22"/>
        <v/>
      </c>
      <c r="AR17" s="403"/>
    </row>
    <row r="18" spans="1:44" ht="12" customHeight="1">
      <c r="A18" s="551"/>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250</v>
      </c>
      <c r="H18" s="400">
        <f t="shared" si="2"/>
        <v>0</v>
      </c>
      <c r="I18" s="128"/>
      <c r="J18" s="397">
        <f>IFERROR(VLOOKUP($C18,'Proposed Rates'!$B:$J,J$11,FALSE),0)</f>
        <v>0</v>
      </c>
      <c r="K18" s="415">
        <f t="shared" si="3"/>
        <v>250</v>
      </c>
      <c r="L18" s="400">
        <f t="shared" si="4"/>
        <v>0</v>
      </c>
      <c r="M18" s="128"/>
      <c r="N18" s="401">
        <f t="shared" si="5"/>
        <v>0</v>
      </c>
      <c r="O18" s="402" t="str">
        <f t="shared" si="6"/>
        <v/>
      </c>
      <c r="P18" s="52"/>
      <c r="Q18" s="397">
        <f>IFERROR(VLOOKUP($C18,'Proposed Rates'!$B:$J,Q$11,FALSE),0)</f>
        <v>0</v>
      </c>
      <c r="R18" s="415">
        <f t="shared" si="7"/>
        <v>250</v>
      </c>
      <c r="S18" s="400">
        <f t="shared" si="8"/>
        <v>0</v>
      </c>
      <c r="T18" s="128"/>
      <c r="U18" s="401">
        <f t="shared" si="9"/>
        <v>0</v>
      </c>
      <c r="V18" s="402" t="str">
        <f t="shared" si="10"/>
        <v/>
      </c>
      <c r="W18" s="52"/>
      <c r="X18" s="397">
        <f>IFERROR(VLOOKUP($C18,'Proposed Rates'!$B:$J,X$11,FALSE),0)</f>
        <v>0</v>
      </c>
      <c r="Y18" s="415">
        <f t="shared" si="11"/>
        <v>250</v>
      </c>
      <c r="Z18" s="400">
        <f t="shared" si="12"/>
        <v>0</v>
      </c>
      <c r="AA18" s="128"/>
      <c r="AB18" s="401">
        <f t="shared" si="13"/>
        <v>0</v>
      </c>
      <c r="AC18" s="402" t="str">
        <f t="shared" si="14"/>
        <v/>
      </c>
      <c r="AD18" s="52"/>
      <c r="AE18" s="397">
        <f>IFERROR(VLOOKUP($C18,'Proposed Rates'!$B:$J,AE$11,FALSE),0)</f>
        <v>0</v>
      </c>
      <c r="AF18" s="415">
        <f t="shared" si="15"/>
        <v>250</v>
      </c>
      <c r="AG18" s="400">
        <f t="shared" si="16"/>
        <v>0</v>
      </c>
      <c r="AH18" s="128"/>
      <c r="AI18" s="401">
        <f t="shared" si="17"/>
        <v>0</v>
      </c>
      <c r="AJ18" s="402" t="str">
        <f t="shared" si="18"/>
        <v/>
      </c>
      <c r="AK18" s="52"/>
      <c r="AL18" s="397">
        <f>IFERROR(VLOOKUP($C18,'Proposed Rates'!$B:$J,AL$11,FALSE),0)</f>
        <v>0</v>
      </c>
      <c r="AM18" s="415">
        <f t="shared" si="19"/>
        <v>250</v>
      </c>
      <c r="AN18" s="400">
        <f t="shared" si="20"/>
        <v>0</v>
      </c>
      <c r="AO18" s="128"/>
      <c r="AP18" s="401">
        <f t="shared" si="21"/>
        <v>0</v>
      </c>
      <c r="AQ18" s="402" t="str">
        <f t="shared" si="22"/>
        <v/>
      </c>
      <c r="AR18" s="403"/>
    </row>
    <row r="19" spans="1:44" ht="12" customHeight="1">
      <c r="A19" s="551"/>
      <c r="B19" s="320" t="s">
        <v>59</v>
      </c>
      <c r="C19" s="395" t="str">
        <f t="shared" si="0"/>
        <v>General Service 50 to 1,499 KW.Distribution Volumetric Rate</v>
      </c>
      <c r="D19" s="396" t="s">
        <v>377</v>
      </c>
      <c r="E19" s="320"/>
      <c r="F19" s="414">
        <f>IFERROR(VLOOKUP($C19,'Proposed Rates'!$B:$J,F$11,FALSE),0)</f>
        <v>6.5552999999999999</v>
      </c>
      <c r="G19" s="415">
        <f t="shared" si="1"/>
        <v>250</v>
      </c>
      <c r="H19" s="400">
        <f t="shared" si="2"/>
        <v>1638.825</v>
      </c>
      <c r="I19" s="128"/>
      <c r="J19" s="414">
        <f>IFERROR(VLOOKUP($C19,'Proposed Rates'!$B:$J,J$11,FALSE),0)</f>
        <v>8.0635999999999992</v>
      </c>
      <c r="K19" s="415">
        <f t="shared" si="3"/>
        <v>250</v>
      </c>
      <c r="L19" s="400">
        <f t="shared" si="4"/>
        <v>2015.8999999999999</v>
      </c>
      <c r="M19" s="128"/>
      <c r="N19" s="401">
        <f t="shared" si="5"/>
        <v>377.07499999999982</v>
      </c>
      <c r="O19" s="402">
        <f t="shared" si="6"/>
        <v>0.2300886305737341</v>
      </c>
      <c r="P19" s="52"/>
      <c r="Q19" s="414">
        <f>IFERROR(VLOOKUP($C19,'Proposed Rates'!$B:$J,Q$11,FALSE),0)</f>
        <v>8.7552000000000003</v>
      </c>
      <c r="R19" s="415">
        <f t="shared" si="7"/>
        <v>250</v>
      </c>
      <c r="S19" s="400">
        <f t="shared" si="8"/>
        <v>2188.8000000000002</v>
      </c>
      <c r="T19" s="128"/>
      <c r="U19" s="401">
        <f t="shared" si="9"/>
        <v>172.90000000000032</v>
      </c>
      <c r="V19" s="402">
        <f t="shared" si="10"/>
        <v>8.5768143261074625E-2</v>
      </c>
      <c r="W19" s="52"/>
      <c r="X19" s="414">
        <f>IFERROR(VLOOKUP($C19,'Proposed Rates'!$B:$J,X$11,FALSE),0)</f>
        <v>9.6349999999999998</v>
      </c>
      <c r="Y19" s="415">
        <f t="shared" si="11"/>
        <v>250</v>
      </c>
      <c r="Z19" s="400">
        <f t="shared" si="12"/>
        <v>2408.75</v>
      </c>
      <c r="AA19" s="128"/>
      <c r="AB19" s="401">
        <f t="shared" si="13"/>
        <v>219.94999999999982</v>
      </c>
      <c r="AC19" s="402">
        <f t="shared" si="14"/>
        <v>0.1004888523391812</v>
      </c>
      <c r="AD19" s="52"/>
      <c r="AE19" s="414">
        <f>IFERROR(VLOOKUP($C19,'Proposed Rates'!$B:$J,AE$11,FALSE),0)</f>
        <v>10.3217</v>
      </c>
      <c r="AF19" s="415">
        <f t="shared" si="15"/>
        <v>250</v>
      </c>
      <c r="AG19" s="400">
        <f t="shared" si="16"/>
        <v>2580.4250000000002</v>
      </c>
      <c r="AH19" s="128"/>
      <c r="AI19" s="401">
        <f t="shared" si="17"/>
        <v>171.67500000000018</v>
      </c>
      <c r="AJ19" s="402">
        <f t="shared" si="18"/>
        <v>7.1271406331084669E-2</v>
      </c>
      <c r="AK19" s="52"/>
      <c r="AL19" s="414">
        <f>IFERROR(VLOOKUP($C19,'Proposed Rates'!$B:$J,AL$11,FALSE),0)</f>
        <v>10.9739</v>
      </c>
      <c r="AM19" s="415">
        <f t="shared" si="19"/>
        <v>250</v>
      </c>
      <c r="AN19" s="400">
        <f t="shared" si="20"/>
        <v>2743.4749999999999</v>
      </c>
      <c r="AO19" s="128"/>
      <c r="AP19" s="401">
        <f t="shared" si="21"/>
        <v>163.04999999999973</v>
      </c>
      <c r="AQ19" s="402">
        <f t="shared" si="22"/>
        <v>6.3187265663601819E-2</v>
      </c>
      <c r="AR19" s="403"/>
    </row>
    <row r="20" spans="1:44" ht="12" customHeight="1">
      <c r="A20" s="551"/>
      <c r="B20" s="320" t="s">
        <v>309</v>
      </c>
      <c r="C20" s="395" t="str">
        <f t="shared" si="0"/>
        <v>General Service 50 to 1,499 KW.Smart Meter Disposition Rider</v>
      </c>
      <c r="D20" s="396" t="s">
        <v>308</v>
      </c>
      <c r="E20" s="320"/>
      <c r="F20" s="397">
        <f>IFERROR(VLOOKUP($C20,'Proposed Rates'!$B:$J,F$11,FALSE),0)</f>
        <v>0</v>
      </c>
      <c r="G20" s="415">
        <f t="shared" si="1"/>
        <v>127750</v>
      </c>
      <c r="H20" s="400">
        <f t="shared" si="2"/>
        <v>0</v>
      </c>
      <c r="I20" s="128"/>
      <c r="J20" s="397">
        <f>IFERROR(VLOOKUP($C20,'Proposed Rates'!$B:$J,J$11,FALSE),0)</f>
        <v>0</v>
      </c>
      <c r="K20" s="415">
        <f t="shared" si="3"/>
        <v>127750</v>
      </c>
      <c r="L20" s="400">
        <f t="shared" si="4"/>
        <v>0</v>
      </c>
      <c r="M20" s="128"/>
      <c r="N20" s="401">
        <f t="shared" si="5"/>
        <v>0</v>
      </c>
      <c r="O20" s="402" t="str">
        <f t="shared" si="6"/>
        <v/>
      </c>
      <c r="P20" s="52"/>
      <c r="Q20" s="397">
        <f>IFERROR(VLOOKUP($C20,'Proposed Rates'!$B:$J,Q$11,FALSE),0)</f>
        <v>0</v>
      </c>
      <c r="R20" s="415">
        <f t="shared" si="7"/>
        <v>127750</v>
      </c>
      <c r="S20" s="400">
        <f t="shared" si="8"/>
        <v>0</v>
      </c>
      <c r="T20" s="128"/>
      <c r="U20" s="401">
        <f t="shared" si="9"/>
        <v>0</v>
      </c>
      <c r="V20" s="402" t="str">
        <f t="shared" si="10"/>
        <v/>
      </c>
      <c r="W20" s="52"/>
      <c r="X20" s="397">
        <f>IFERROR(VLOOKUP($C20,'Proposed Rates'!$B:$J,X$11,FALSE),0)</f>
        <v>0</v>
      </c>
      <c r="Y20" s="415">
        <f t="shared" si="11"/>
        <v>127750</v>
      </c>
      <c r="Z20" s="400">
        <f t="shared" si="12"/>
        <v>0</v>
      </c>
      <c r="AA20" s="128"/>
      <c r="AB20" s="401">
        <f t="shared" si="13"/>
        <v>0</v>
      </c>
      <c r="AC20" s="402" t="str">
        <f t="shared" si="14"/>
        <v/>
      </c>
      <c r="AD20" s="52"/>
      <c r="AE20" s="397">
        <f>IFERROR(VLOOKUP($C20,'Proposed Rates'!$B:$J,AE$11,FALSE),0)</f>
        <v>0</v>
      </c>
      <c r="AF20" s="415">
        <f t="shared" si="15"/>
        <v>127750</v>
      </c>
      <c r="AG20" s="400">
        <f t="shared" si="16"/>
        <v>0</v>
      </c>
      <c r="AH20" s="128"/>
      <c r="AI20" s="401">
        <f t="shared" si="17"/>
        <v>0</v>
      </c>
      <c r="AJ20" s="402" t="str">
        <f t="shared" si="18"/>
        <v/>
      </c>
      <c r="AK20" s="52"/>
      <c r="AL20" s="397">
        <f>IFERROR(VLOOKUP($C20,'Proposed Rates'!$B:$J,AL$11,FALSE),0)</f>
        <v>0</v>
      </c>
      <c r="AM20" s="415">
        <f t="shared" si="19"/>
        <v>127750</v>
      </c>
      <c r="AN20" s="400">
        <f t="shared" si="20"/>
        <v>0</v>
      </c>
      <c r="AO20" s="128"/>
      <c r="AP20" s="401">
        <f t="shared" si="21"/>
        <v>0</v>
      </c>
      <c r="AQ20" s="402" t="str">
        <f t="shared" si="22"/>
        <v/>
      </c>
      <c r="AR20" s="403"/>
    </row>
    <row r="21" spans="1:44" ht="12" customHeight="1">
      <c r="A21" s="551"/>
      <c r="B21" s="320" t="s">
        <v>241</v>
      </c>
      <c r="C21" s="395" t="str">
        <f t="shared" si="0"/>
        <v>General Service 50 to 1,499 KW.LRAM Rate Rider</v>
      </c>
      <c r="D21" s="396" t="s">
        <v>377</v>
      </c>
      <c r="E21" s="320"/>
      <c r="F21" s="414">
        <f>'Proposed Rates'!E79+'Proposed Rates'!E92</f>
        <v>-0.2477</v>
      </c>
      <c r="G21" s="415">
        <f t="shared" si="1"/>
        <v>250</v>
      </c>
      <c r="H21" s="400">
        <f t="shared" si="2"/>
        <v>-61.925000000000004</v>
      </c>
      <c r="I21" s="128"/>
      <c r="J21" s="414">
        <f>'Proposed Rates'!F79+'Proposed Rates'!F92</f>
        <v>0</v>
      </c>
      <c r="K21" s="415">
        <f t="shared" si="3"/>
        <v>250</v>
      </c>
      <c r="L21" s="400">
        <f t="shared" si="4"/>
        <v>0</v>
      </c>
      <c r="M21" s="128"/>
      <c r="N21" s="401">
        <f t="shared" si="5"/>
        <v>61.925000000000004</v>
      </c>
      <c r="O21" s="402">
        <f t="shared" si="6"/>
        <v>-1</v>
      </c>
      <c r="P21" s="52"/>
      <c r="Q21" s="414">
        <f>'Proposed Rates'!G79+'Proposed Rates'!G92</f>
        <v>2.9499999999999998E-2</v>
      </c>
      <c r="R21" s="415">
        <f t="shared" si="7"/>
        <v>250</v>
      </c>
      <c r="S21" s="400">
        <f t="shared" si="8"/>
        <v>7.375</v>
      </c>
      <c r="T21" s="128"/>
      <c r="U21" s="401">
        <f t="shared" si="9"/>
        <v>7.375</v>
      </c>
      <c r="V21" s="402" t="str">
        <f t="shared" si="10"/>
        <v/>
      </c>
      <c r="W21" s="52"/>
      <c r="X21" s="414">
        <f>IFERROR(VLOOKUP($C21,'Proposed Rates'!$B:$J,X$11,FALSE),0)</f>
        <v>0</v>
      </c>
      <c r="Y21" s="415">
        <f t="shared" si="11"/>
        <v>250</v>
      </c>
      <c r="Z21" s="400">
        <f t="shared" si="12"/>
        <v>0</v>
      </c>
      <c r="AA21" s="128"/>
      <c r="AB21" s="401">
        <f t="shared" si="13"/>
        <v>-7.375</v>
      </c>
      <c r="AC21" s="402">
        <f t="shared" si="14"/>
        <v>-1</v>
      </c>
      <c r="AD21" s="52"/>
      <c r="AE21" s="414">
        <f>IFERROR(VLOOKUP($C21,'Proposed Rates'!$B:$J,AE$11,FALSE),0)</f>
        <v>0</v>
      </c>
      <c r="AF21" s="415">
        <f t="shared" si="15"/>
        <v>250</v>
      </c>
      <c r="AG21" s="400">
        <f t="shared" si="16"/>
        <v>0</v>
      </c>
      <c r="AH21" s="128"/>
      <c r="AI21" s="401">
        <f t="shared" si="17"/>
        <v>0</v>
      </c>
      <c r="AJ21" s="402" t="str">
        <f t="shared" si="18"/>
        <v/>
      </c>
      <c r="AK21" s="52"/>
      <c r="AL21" s="414">
        <f>IFERROR(VLOOKUP($C21,'Proposed Rates'!$B:$J,AL$11,FALSE),0)</f>
        <v>0</v>
      </c>
      <c r="AM21" s="415">
        <f t="shared" si="19"/>
        <v>250</v>
      </c>
      <c r="AN21" s="400">
        <f t="shared" si="20"/>
        <v>0</v>
      </c>
      <c r="AO21" s="128"/>
      <c r="AP21" s="401">
        <f t="shared" si="21"/>
        <v>0</v>
      </c>
      <c r="AQ21" s="402" t="str">
        <f t="shared" si="22"/>
        <v/>
      </c>
      <c r="AR21" s="403"/>
    </row>
    <row r="22" spans="1:44" ht="12" customHeight="1">
      <c r="A22" s="551"/>
      <c r="B22" s="404" t="s">
        <v>237</v>
      </c>
      <c r="C22" s="395" t="str">
        <f t="shared" si="0"/>
        <v>General Service 50 to 1,499 KW.Deferral/Variance Account Disposition Rate Rider Group 2</v>
      </c>
      <c r="D22" s="396" t="s">
        <v>377</v>
      </c>
      <c r="E22" s="320"/>
      <c r="F22" s="397">
        <f>IFERROR(VLOOKUP($C22,'Proposed Rates'!$B:$J,F$11,FALSE),0)</f>
        <v>0</v>
      </c>
      <c r="G22" s="415">
        <f t="shared" si="1"/>
        <v>250</v>
      </c>
      <c r="H22" s="400">
        <f t="shared" si="2"/>
        <v>0</v>
      </c>
      <c r="I22" s="128"/>
      <c r="J22" s="397">
        <f>IFERROR(VLOOKUP($C22,'Proposed Rates'!$B:$J,J$11,FALSE),0)</f>
        <v>-0.1202</v>
      </c>
      <c r="K22" s="415">
        <f t="shared" si="3"/>
        <v>250</v>
      </c>
      <c r="L22" s="400">
        <f t="shared" si="4"/>
        <v>-30.05</v>
      </c>
      <c r="M22" s="128"/>
      <c r="N22" s="401">
        <f t="shared" si="5"/>
        <v>-30.05</v>
      </c>
      <c r="O22" s="402" t="str">
        <f t="shared" si="6"/>
        <v/>
      </c>
      <c r="P22" s="52"/>
      <c r="Q22" s="397">
        <f>IFERROR(VLOOKUP($C22,'Proposed Rates'!$B:$J,Q$11,FALSE),0)</f>
        <v>0</v>
      </c>
      <c r="R22" s="415">
        <f t="shared" si="7"/>
        <v>250</v>
      </c>
      <c r="S22" s="400">
        <f t="shared" si="8"/>
        <v>0</v>
      </c>
      <c r="T22" s="128"/>
      <c r="U22" s="401">
        <f t="shared" si="9"/>
        <v>30.05</v>
      </c>
      <c r="V22" s="402">
        <f t="shared" si="10"/>
        <v>-1</v>
      </c>
      <c r="W22" s="52"/>
      <c r="X22" s="397">
        <f>IFERROR(VLOOKUP($C22,'Proposed Rates'!$B:$J,X$11,FALSE),0)</f>
        <v>0</v>
      </c>
      <c r="Y22" s="415">
        <f t="shared" si="11"/>
        <v>250</v>
      </c>
      <c r="Z22" s="400">
        <f t="shared" si="12"/>
        <v>0</v>
      </c>
      <c r="AA22" s="128"/>
      <c r="AB22" s="401">
        <f t="shared" si="13"/>
        <v>0</v>
      </c>
      <c r="AC22" s="402" t="str">
        <f t="shared" si="14"/>
        <v/>
      </c>
      <c r="AD22" s="52"/>
      <c r="AE22" s="397">
        <f>IFERROR(VLOOKUP($C22,'Proposed Rates'!$B:$J,AE$11,FALSE),0)</f>
        <v>0</v>
      </c>
      <c r="AF22" s="415">
        <f t="shared" si="15"/>
        <v>250</v>
      </c>
      <c r="AG22" s="400">
        <f t="shared" si="16"/>
        <v>0</v>
      </c>
      <c r="AH22" s="128"/>
      <c r="AI22" s="401">
        <f t="shared" si="17"/>
        <v>0</v>
      </c>
      <c r="AJ22" s="402" t="str">
        <f t="shared" si="18"/>
        <v/>
      </c>
      <c r="AK22" s="52"/>
      <c r="AL22" s="397">
        <f>IFERROR(VLOOKUP($C22,'Proposed Rates'!$B:$J,AL$11,FALSE),0)</f>
        <v>0</v>
      </c>
      <c r="AM22" s="415">
        <f t="shared" si="19"/>
        <v>250</v>
      </c>
      <c r="AN22" s="400">
        <f t="shared" si="20"/>
        <v>0</v>
      </c>
      <c r="AO22" s="128"/>
      <c r="AP22" s="401">
        <f t="shared" si="21"/>
        <v>0</v>
      </c>
      <c r="AQ22" s="402" t="str">
        <f t="shared" si="22"/>
        <v/>
      </c>
      <c r="AR22" s="403"/>
    </row>
    <row r="23" spans="1:44" ht="12" customHeight="1">
      <c r="A23" s="551"/>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 customHeight="1">
      <c r="A24" s="551"/>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 customHeight="1">
      <c r="A25" s="551"/>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 customHeight="1">
      <c r="A26" s="551"/>
      <c r="B26" s="40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 customHeight="1">
      <c r="A27" s="551"/>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 customHeight="1">
      <c r="A28" s="551"/>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 customHeight="1">
      <c r="A29" s="551"/>
      <c r="B29" s="405" t="s">
        <v>310</v>
      </c>
      <c r="C29" s="406"/>
      <c r="D29" s="406"/>
      <c r="E29" s="406"/>
      <c r="F29" s="407"/>
      <c r="G29" s="500"/>
      <c r="H29" s="409">
        <f>SUM(H15:H28)</f>
        <v>1776.9</v>
      </c>
      <c r="I29" s="410"/>
      <c r="J29" s="407"/>
      <c r="K29" s="500"/>
      <c r="L29" s="409">
        <f>SUM(L15:L28)</f>
        <v>2185.8499999999995</v>
      </c>
      <c r="M29" s="410"/>
      <c r="N29" s="411">
        <f t="shared" si="5"/>
        <v>408.94999999999936</v>
      </c>
      <c r="O29" s="412">
        <f t="shared" si="6"/>
        <v>0.23014801058022361</v>
      </c>
      <c r="P29" s="306"/>
      <c r="Q29" s="407"/>
      <c r="R29" s="500"/>
      <c r="S29" s="409">
        <f>SUM(S15:S28)</f>
        <v>2396.1750000000002</v>
      </c>
      <c r="T29" s="410"/>
      <c r="U29" s="411">
        <f t="shared" si="9"/>
        <v>210.32500000000073</v>
      </c>
      <c r="V29" s="412">
        <f t="shared" si="10"/>
        <v>9.6221149667177888E-2</v>
      </c>
      <c r="W29" s="306"/>
      <c r="X29" s="407"/>
      <c r="Y29" s="500"/>
      <c r="Z29" s="409">
        <f>SUM(Z15:Z28)</f>
        <v>2608.75</v>
      </c>
      <c r="AA29" s="410"/>
      <c r="AB29" s="411">
        <f t="shared" si="13"/>
        <v>212.57499999999982</v>
      </c>
      <c r="AC29" s="412">
        <f t="shared" si="14"/>
        <v>8.8714305090404413E-2</v>
      </c>
      <c r="AD29" s="306"/>
      <c r="AE29" s="407"/>
      <c r="AF29" s="500"/>
      <c r="AG29" s="409">
        <f>SUM(AG15:AG28)</f>
        <v>2780.4250000000002</v>
      </c>
      <c r="AH29" s="410"/>
      <c r="AI29" s="411">
        <f t="shared" si="17"/>
        <v>171.67500000000018</v>
      </c>
      <c r="AJ29" s="412">
        <f t="shared" si="18"/>
        <v>6.5807379012937303E-2</v>
      </c>
      <c r="AK29" s="306"/>
      <c r="AL29" s="407"/>
      <c r="AM29" s="500"/>
      <c r="AN29" s="409">
        <f>SUM(AN15:AN28)</f>
        <v>2943.4749999999999</v>
      </c>
      <c r="AO29" s="410"/>
      <c r="AP29" s="411">
        <f t="shared" si="21"/>
        <v>163.04999999999973</v>
      </c>
      <c r="AQ29" s="412">
        <f t="shared" si="22"/>
        <v>5.8642114065295674E-2</v>
      </c>
      <c r="AR29" s="413"/>
    </row>
    <row r="30" spans="1:44" ht="12" customHeight="1">
      <c r="A30" s="551"/>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250</v>
      </c>
      <c r="H30" s="400">
        <f t="shared" ref="H30:H38" si="25">G30*F30</f>
        <v>88.275000000000006</v>
      </c>
      <c r="I30" s="128"/>
      <c r="J30" s="414">
        <f>IFERROR(VLOOKUP($C30,'Proposed Rates'!$B:$J,J$11,FALSE),0)</f>
        <v>7.1999999999999998E-3</v>
      </c>
      <c r="K30" s="415">
        <f t="shared" ref="K30:K36" si="26">IF($D30="Monthly",1,IF($D30="per KW",$F$10,IF($D30="per kWh",$F$9,0)))</f>
        <v>250</v>
      </c>
      <c r="L30" s="400">
        <f t="shared" ref="L30:L38" si="27">K30*J30</f>
        <v>1.8</v>
      </c>
      <c r="M30" s="128"/>
      <c r="N30" s="401">
        <f t="shared" si="5"/>
        <v>-86.475000000000009</v>
      </c>
      <c r="O30" s="402">
        <f t="shared" si="6"/>
        <v>-0.97960917587085816</v>
      </c>
      <c r="P30" s="52"/>
      <c r="Q30" s="414">
        <f>IFERROR(VLOOKUP($C30,'Proposed Rates'!$B:$J,Q$11,FALSE),0)</f>
        <v>0</v>
      </c>
      <c r="R30" s="415">
        <f t="shared" ref="R30:R36" si="28">IF($D30="Monthly",1,IF($D30="per KW",$F$10,IF($D30="per kWh",$F$9,0)))</f>
        <v>250</v>
      </c>
      <c r="S30" s="400">
        <f t="shared" ref="S30:S38" si="29">R30*Q30</f>
        <v>0</v>
      </c>
      <c r="T30" s="128"/>
      <c r="U30" s="401">
        <f t="shared" si="9"/>
        <v>-1.8</v>
      </c>
      <c r="V30" s="402">
        <f t="shared" si="10"/>
        <v>-1</v>
      </c>
      <c r="W30" s="52"/>
      <c r="X30" s="414">
        <f>IFERROR(VLOOKUP($C30,'Proposed Rates'!$B:$J,X$11,FALSE),0)</f>
        <v>0</v>
      </c>
      <c r="Y30" s="415">
        <f t="shared" ref="Y30:Y36" si="30">IF($D30="Monthly",1,IF($D30="per KW",$F$10,IF($D30="per kWh",$F$9,0)))</f>
        <v>250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250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250</v>
      </c>
      <c r="AN30" s="400">
        <f t="shared" ref="AN30:AN38" si="35">AM30*AL30</f>
        <v>0</v>
      </c>
      <c r="AO30" s="128"/>
      <c r="AP30" s="401">
        <f t="shared" si="21"/>
        <v>0</v>
      </c>
      <c r="AQ30" s="402" t="str">
        <f t="shared" si="22"/>
        <v/>
      </c>
      <c r="AR30" s="403"/>
    </row>
    <row r="31" spans="1:44" ht="12" customHeight="1">
      <c r="A31" s="551"/>
      <c r="B31" s="404" t="s">
        <v>236</v>
      </c>
      <c r="C31" s="395" t="str">
        <f t="shared" si="23"/>
        <v>General Service 50 to 1,499 KW.DVA Disposition Rate Rider Group 1 - 2024</v>
      </c>
      <c r="D31" s="396" t="s">
        <v>377</v>
      </c>
      <c r="E31" s="320"/>
      <c r="F31" s="414">
        <f>IFERROR(VLOOKUP($C31,'Proposed Rates'!$B:$J,F$11,FALSE),0)</f>
        <v>0</v>
      </c>
      <c r="G31" s="415">
        <f t="shared" si="24"/>
        <v>250</v>
      </c>
      <c r="H31" s="400">
        <f t="shared" si="25"/>
        <v>0</v>
      </c>
      <c r="I31" s="128"/>
      <c r="J31" s="414">
        <f>IFERROR(VLOOKUP($C31,'Proposed Rates'!$B:$J,J$11,FALSE),0)</f>
        <v>0</v>
      </c>
      <c r="K31" s="415">
        <f t="shared" si="26"/>
        <v>250</v>
      </c>
      <c r="L31" s="400">
        <f t="shared" si="27"/>
        <v>0</v>
      </c>
      <c r="M31" s="128"/>
      <c r="N31" s="401">
        <f t="shared" si="5"/>
        <v>0</v>
      </c>
      <c r="O31" s="402" t="str">
        <f t="shared" si="6"/>
        <v/>
      </c>
      <c r="P31" s="52"/>
      <c r="Q31" s="414">
        <f>IFERROR(VLOOKUP($C31,'Proposed Rates'!$B:$J,Q$11,FALSE),0)</f>
        <v>0</v>
      </c>
      <c r="R31" s="415">
        <f t="shared" si="28"/>
        <v>250</v>
      </c>
      <c r="S31" s="400">
        <f t="shared" si="29"/>
        <v>0</v>
      </c>
      <c r="T31" s="128"/>
      <c r="U31" s="401">
        <f t="shared" si="9"/>
        <v>0</v>
      </c>
      <c r="V31" s="402" t="str">
        <f t="shared" si="10"/>
        <v/>
      </c>
      <c r="W31" s="52"/>
      <c r="X31" s="414">
        <f>IFERROR(VLOOKUP($C31,'Proposed Rates'!$B:$J,X$11,FALSE),0)</f>
        <v>0</v>
      </c>
      <c r="Y31" s="415">
        <f t="shared" si="30"/>
        <v>250</v>
      </c>
      <c r="Z31" s="400">
        <f t="shared" si="31"/>
        <v>0</v>
      </c>
      <c r="AA31" s="128"/>
      <c r="AB31" s="401">
        <f t="shared" si="13"/>
        <v>0</v>
      </c>
      <c r="AC31" s="402" t="str">
        <f t="shared" si="14"/>
        <v/>
      </c>
      <c r="AD31" s="52"/>
      <c r="AE31" s="414">
        <f>IFERROR(VLOOKUP($C31,'Proposed Rates'!$B:$J,AE$11,FALSE),0)</f>
        <v>0</v>
      </c>
      <c r="AF31" s="415">
        <f t="shared" si="32"/>
        <v>250</v>
      </c>
      <c r="AG31" s="400">
        <f t="shared" si="33"/>
        <v>0</v>
      </c>
      <c r="AH31" s="128"/>
      <c r="AI31" s="401">
        <f t="shared" si="17"/>
        <v>0</v>
      </c>
      <c r="AJ31" s="402" t="str">
        <f t="shared" si="18"/>
        <v/>
      </c>
      <c r="AK31" s="52"/>
      <c r="AL31" s="414">
        <f>IFERROR(VLOOKUP($C31,'Proposed Rates'!$B:$J,AL$11,FALSE),0)</f>
        <v>0</v>
      </c>
      <c r="AM31" s="415">
        <f t="shared" si="34"/>
        <v>250</v>
      </c>
      <c r="AN31" s="400">
        <f t="shared" si="35"/>
        <v>0</v>
      </c>
      <c r="AO31" s="128"/>
      <c r="AP31" s="401">
        <f t="shared" si="21"/>
        <v>0</v>
      </c>
      <c r="AQ31" s="402" t="str">
        <f t="shared" si="22"/>
        <v/>
      </c>
      <c r="AR31" s="403"/>
    </row>
    <row r="32" spans="1:44" ht="12" customHeight="1">
      <c r="A32" s="551"/>
      <c r="B32" s="404" t="s">
        <v>244</v>
      </c>
      <c r="C32" s="395" t="str">
        <f t="shared" si="23"/>
        <v>General Service 50 to 1,499 KW.CBR Class B Rate Riders</v>
      </c>
      <c r="D32" s="396" t="s">
        <v>308</v>
      </c>
      <c r="E32" s="320"/>
      <c r="F32" s="414">
        <f>IFERROR(VLOOKUP($C32,'Proposed Rates'!$B:$J,F$11,FALSE),0)</f>
        <v>2.0000000000000001E-4</v>
      </c>
      <c r="G32" s="415">
        <f t="shared" si="24"/>
        <v>127750</v>
      </c>
      <c r="H32" s="400">
        <f t="shared" si="25"/>
        <v>25.55</v>
      </c>
      <c r="I32" s="485"/>
      <c r="J32" s="414">
        <f>IFERROR(VLOOKUP($C32,'Proposed Rates'!$B:$J,J$11,FALSE),0)</f>
        <v>4.0000000000000002E-4</v>
      </c>
      <c r="K32" s="415">
        <f t="shared" si="26"/>
        <v>127750</v>
      </c>
      <c r="L32" s="400">
        <f t="shared" si="27"/>
        <v>51.1</v>
      </c>
      <c r="M32" s="417"/>
      <c r="N32" s="401">
        <f t="shared" si="5"/>
        <v>25.55</v>
      </c>
      <c r="O32" s="402">
        <f t="shared" si="6"/>
        <v>1</v>
      </c>
      <c r="P32" s="52"/>
      <c r="Q32" s="414">
        <f>IFERROR(VLOOKUP($C32,'Proposed Rates'!$B:$J,Q$11,FALSE),0)</f>
        <v>0</v>
      </c>
      <c r="R32" s="415">
        <f t="shared" si="28"/>
        <v>127750</v>
      </c>
      <c r="S32" s="400">
        <f t="shared" si="29"/>
        <v>0</v>
      </c>
      <c r="T32" s="417"/>
      <c r="U32" s="401">
        <f t="shared" si="9"/>
        <v>-51.1</v>
      </c>
      <c r="V32" s="402">
        <f t="shared" si="10"/>
        <v>-1</v>
      </c>
      <c r="W32" s="52"/>
      <c r="X32" s="414">
        <f>IFERROR(VLOOKUP($C32,'Proposed Rates'!$B:$J,X$11,FALSE),0)</f>
        <v>0</v>
      </c>
      <c r="Y32" s="415">
        <f t="shared" si="30"/>
        <v>127750</v>
      </c>
      <c r="Z32" s="400">
        <f t="shared" si="31"/>
        <v>0</v>
      </c>
      <c r="AA32" s="128"/>
      <c r="AB32" s="401">
        <f t="shared" si="13"/>
        <v>0</v>
      </c>
      <c r="AC32" s="402" t="str">
        <f t="shared" si="14"/>
        <v/>
      </c>
      <c r="AD32" s="52"/>
      <c r="AE32" s="414">
        <f>IFERROR(VLOOKUP($C32,'Proposed Rates'!$B:$J,AE$11,FALSE),0)</f>
        <v>0</v>
      </c>
      <c r="AF32" s="415">
        <f t="shared" si="32"/>
        <v>127750</v>
      </c>
      <c r="AG32" s="400">
        <f t="shared" si="33"/>
        <v>0</v>
      </c>
      <c r="AH32" s="128"/>
      <c r="AI32" s="401">
        <f t="shared" si="17"/>
        <v>0</v>
      </c>
      <c r="AJ32" s="402" t="str">
        <f t="shared" si="18"/>
        <v/>
      </c>
      <c r="AK32" s="52"/>
      <c r="AL32" s="414">
        <f>IFERROR(VLOOKUP($C32,'Proposed Rates'!$B:$J,AL$11,FALSE),0)</f>
        <v>0</v>
      </c>
      <c r="AM32" s="415">
        <f t="shared" si="34"/>
        <v>127750</v>
      </c>
      <c r="AN32" s="400">
        <f t="shared" si="35"/>
        <v>0</v>
      </c>
      <c r="AO32" s="417"/>
      <c r="AP32" s="401">
        <f t="shared" si="21"/>
        <v>0</v>
      </c>
      <c r="AQ32" s="402" t="str">
        <f t="shared" si="22"/>
        <v/>
      </c>
      <c r="AR32" s="403"/>
    </row>
    <row r="33" spans="1:44" ht="12" customHeight="1">
      <c r="A33" s="551"/>
      <c r="B33" s="404" t="s">
        <v>249</v>
      </c>
      <c r="C33" s="395" t="str">
        <f t="shared" si="23"/>
        <v>General Service 50 to 1,499 KW.GA Rate Riders</v>
      </c>
      <c r="D33" s="396" t="s">
        <v>308</v>
      </c>
      <c r="E33" s="320"/>
      <c r="F33" s="414">
        <f>IFERROR(VLOOKUP($C33,'Proposed Rates'!$B:$J,F$11,FALSE),0)</f>
        <v>3.8999999999999998E-3</v>
      </c>
      <c r="G33" s="415">
        <f t="shared" si="24"/>
        <v>127750</v>
      </c>
      <c r="H33" s="400">
        <f t="shared" si="25"/>
        <v>498.22499999999997</v>
      </c>
      <c r="I33" s="485"/>
      <c r="J33" s="414">
        <f>IFERROR(VLOOKUP($C33,'Proposed Rates'!$B:$J,J$11,FALSE),0)</f>
        <v>4.4999999999999997E-3</v>
      </c>
      <c r="K33" s="415">
        <f t="shared" si="26"/>
        <v>127750</v>
      </c>
      <c r="L33" s="400">
        <f t="shared" si="27"/>
        <v>574.875</v>
      </c>
      <c r="M33" s="417"/>
      <c r="N33" s="401">
        <f t="shared" si="5"/>
        <v>76.650000000000034</v>
      </c>
      <c r="O33" s="402">
        <f t="shared" si="6"/>
        <v>0.15384615384615394</v>
      </c>
      <c r="P33" s="52"/>
      <c r="Q33" s="414">
        <f>IFERROR(VLOOKUP($C33,'Proposed Rates'!$B:$J,Q$11,FALSE),0)</f>
        <v>0</v>
      </c>
      <c r="R33" s="415">
        <f t="shared" si="28"/>
        <v>127750</v>
      </c>
      <c r="S33" s="400">
        <f t="shared" si="29"/>
        <v>0</v>
      </c>
      <c r="T33" s="417"/>
      <c r="U33" s="401">
        <f t="shared" si="9"/>
        <v>-574.875</v>
      </c>
      <c r="V33" s="402">
        <f t="shared" si="10"/>
        <v>-1</v>
      </c>
      <c r="W33" s="52"/>
      <c r="X33" s="414">
        <f>IFERROR(VLOOKUP($C33,'Proposed Rates'!$B:$J,X$11,FALSE),0)</f>
        <v>0</v>
      </c>
      <c r="Y33" s="415">
        <f t="shared" si="30"/>
        <v>127750</v>
      </c>
      <c r="Z33" s="400">
        <f t="shared" si="31"/>
        <v>0</v>
      </c>
      <c r="AA33" s="417"/>
      <c r="AB33" s="401">
        <f t="shared" si="13"/>
        <v>0</v>
      </c>
      <c r="AC33" s="402" t="str">
        <f t="shared" si="14"/>
        <v/>
      </c>
      <c r="AD33" s="52"/>
      <c r="AE33" s="414">
        <f>IFERROR(VLOOKUP($C33,'Proposed Rates'!$B:$J,AE$11,FALSE),0)</f>
        <v>0</v>
      </c>
      <c r="AF33" s="415">
        <f t="shared" si="32"/>
        <v>127750</v>
      </c>
      <c r="AG33" s="400">
        <f t="shared" si="33"/>
        <v>0</v>
      </c>
      <c r="AH33" s="417"/>
      <c r="AI33" s="401">
        <f t="shared" si="17"/>
        <v>0</v>
      </c>
      <c r="AJ33" s="402" t="str">
        <f t="shared" si="18"/>
        <v/>
      </c>
      <c r="AK33" s="52"/>
      <c r="AL33" s="414">
        <f>IFERROR(VLOOKUP($C33,'Proposed Rates'!$B:$J,AL$11,FALSE),0)</f>
        <v>0</v>
      </c>
      <c r="AM33" s="415">
        <f t="shared" si="34"/>
        <v>127750</v>
      </c>
      <c r="AN33" s="400">
        <f t="shared" si="35"/>
        <v>0</v>
      </c>
      <c r="AO33" s="417"/>
      <c r="AP33" s="401">
        <f t="shared" si="21"/>
        <v>0</v>
      </c>
      <c r="AQ33" s="402" t="str">
        <f t="shared" si="22"/>
        <v/>
      </c>
      <c r="AR33" s="403"/>
    </row>
    <row r="34" spans="1:44" ht="12" customHeight="1">
      <c r="A34" s="551"/>
      <c r="B34" s="404" t="s">
        <v>252</v>
      </c>
      <c r="C34" s="395" t="str">
        <f t="shared" si="23"/>
        <v>General Service 50 to 1,499 KW.Total Deferral/Variance Account Rate RidersYr2</v>
      </c>
      <c r="D34" s="396" t="s">
        <v>377</v>
      </c>
      <c r="E34" s="320"/>
      <c r="F34" s="414">
        <f>IFERROR(VLOOKUP($C34,'Proposed Rates'!$B:$J,F$11,FALSE),0)</f>
        <v>-0.30499999999999999</v>
      </c>
      <c r="G34" s="415">
        <f t="shared" si="24"/>
        <v>250</v>
      </c>
      <c r="H34" s="400">
        <f t="shared" si="25"/>
        <v>-76.25</v>
      </c>
      <c r="I34" s="485"/>
      <c r="J34" s="414">
        <f>IFERROR(VLOOKUP($C34,'Proposed Rates'!$B:$J,J$11,FALSE),0)</f>
        <v>-0.21920000000000001</v>
      </c>
      <c r="K34" s="415">
        <f t="shared" si="26"/>
        <v>250</v>
      </c>
      <c r="L34" s="400">
        <f t="shared" si="27"/>
        <v>-54.800000000000004</v>
      </c>
      <c r="M34" s="417"/>
      <c r="N34" s="401">
        <f t="shared" si="5"/>
        <v>21.449999999999996</v>
      </c>
      <c r="O34" s="402">
        <f t="shared" si="6"/>
        <v>-0.28131147540983603</v>
      </c>
      <c r="P34" s="52"/>
      <c r="Q34" s="414">
        <f>IFERROR(VLOOKUP($C34,'Proposed Rates'!$B:$J,Q$11,FALSE),0)</f>
        <v>0</v>
      </c>
      <c r="R34" s="415">
        <f t="shared" si="28"/>
        <v>250</v>
      </c>
      <c r="S34" s="400">
        <f t="shared" si="29"/>
        <v>0</v>
      </c>
      <c r="T34" s="417"/>
      <c r="U34" s="401">
        <f t="shared" si="9"/>
        <v>54.800000000000004</v>
      </c>
      <c r="V34" s="402">
        <f t="shared" si="10"/>
        <v>-1</v>
      </c>
      <c r="W34" s="52"/>
      <c r="X34" s="414">
        <f>IFERROR(VLOOKUP($C34,'Proposed Rates'!$B:$J,X$11,FALSE),0)</f>
        <v>0</v>
      </c>
      <c r="Y34" s="415">
        <f t="shared" si="30"/>
        <v>250</v>
      </c>
      <c r="Z34" s="400">
        <f t="shared" si="31"/>
        <v>0</v>
      </c>
      <c r="AA34" s="417"/>
      <c r="AB34" s="401">
        <f t="shared" si="13"/>
        <v>0</v>
      </c>
      <c r="AC34" s="402" t="str">
        <f t="shared" si="14"/>
        <v/>
      </c>
      <c r="AD34" s="52"/>
      <c r="AE34" s="414">
        <f>IFERROR(VLOOKUP($C34,'Proposed Rates'!$B:$J,AE$11,FALSE),0)</f>
        <v>0</v>
      </c>
      <c r="AF34" s="415">
        <f t="shared" si="32"/>
        <v>250</v>
      </c>
      <c r="AG34" s="400">
        <f t="shared" si="33"/>
        <v>0</v>
      </c>
      <c r="AH34" s="417"/>
      <c r="AI34" s="401">
        <f t="shared" si="17"/>
        <v>0</v>
      </c>
      <c r="AJ34" s="402" t="str">
        <f t="shared" si="18"/>
        <v/>
      </c>
      <c r="AK34" s="52"/>
      <c r="AL34" s="414">
        <f>IFERROR(VLOOKUP($C34,'Proposed Rates'!$B:$J,AL$11,FALSE),0)</f>
        <v>0</v>
      </c>
      <c r="AM34" s="415">
        <f t="shared" si="34"/>
        <v>250</v>
      </c>
      <c r="AN34" s="400">
        <f t="shared" si="35"/>
        <v>0</v>
      </c>
      <c r="AO34" s="417"/>
      <c r="AP34" s="401">
        <f t="shared" si="21"/>
        <v>0</v>
      </c>
      <c r="AQ34" s="402" t="str">
        <f t="shared" si="22"/>
        <v/>
      </c>
      <c r="AR34" s="403"/>
    </row>
    <row r="35" spans="1:44" ht="12" customHeight="1">
      <c r="A35" s="551"/>
      <c r="B35" s="404" t="s">
        <v>254</v>
      </c>
      <c r="C35" s="395" t="str">
        <f t="shared" si="23"/>
        <v>General Service 50 to 1,499 KW.Total Deferral/Variance Account Rate Riders</v>
      </c>
      <c r="D35" s="396" t="s">
        <v>377</v>
      </c>
      <c r="E35" s="320"/>
      <c r="F35" s="414">
        <f>IFERROR(VLOOKUP($C35,'Proposed Rates'!$B:$J,F$11,FALSE),0)</f>
        <v>0</v>
      </c>
      <c r="G35" s="415">
        <f t="shared" si="24"/>
        <v>250</v>
      </c>
      <c r="H35" s="400">
        <f t="shared" si="25"/>
        <v>0</v>
      </c>
      <c r="I35" s="128"/>
      <c r="J35" s="414">
        <f>IFERROR(VLOOKUP($C35,'Proposed Rates'!$B:$J,J$11,FALSE),0)</f>
        <v>0</v>
      </c>
      <c r="K35" s="415">
        <f t="shared" si="26"/>
        <v>250</v>
      </c>
      <c r="L35" s="400">
        <f t="shared" si="27"/>
        <v>0</v>
      </c>
      <c r="M35" s="128"/>
      <c r="N35" s="401">
        <f t="shared" si="5"/>
        <v>0</v>
      </c>
      <c r="O35" s="402" t="str">
        <f t="shared" si="6"/>
        <v/>
      </c>
      <c r="P35" s="52"/>
      <c r="Q35" s="414">
        <f>IFERROR(VLOOKUP($C35,'Proposed Rates'!$B:$J,Q$11,FALSE),0)</f>
        <v>0</v>
      </c>
      <c r="R35" s="415">
        <f t="shared" si="28"/>
        <v>250</v>
      </c>
      <c r="S35" s="400">
        <f t="shared" si="29"/>
        <v>0</v>
      </c>
      <c r="T35" s="128"/>
      <c r="U35" s="401">
        <f t="shared" si="9"/>
        <v>0</v>
      </c>
      <c r="V35" s="402" t="str">
        <f t="shared" si="10"/>
        <v/>
      </c>
      <c r="W35" s="52"/>
      <c r="X35" s="414">
        <f>IFERROR(VLOOKUP($C35,'Proposed Rates'!$B:$J,X$11,FALSE),0)</f>
        <v>0</v>
      </c>
      <c r="Y35" s="415">
        <f t="shared" si="30"/>
        <v>250</v>
      </c>
      <c r="Z35" s="400">
        <f t="shared" si="31"/>
        <v>0</v>
      </c>
      <c r="AA35" s="128"/>
      <c r="AB35" s="401"/>
      <c r="AC35" s="402"/>
      <c r="AD35" s="52"/>
      <c r="AE35" s="414">
        <f>IFERROR(VLOOKUP($C35,'Proposed Rates'!$B:$J,AE$11,FALSE),0)</f>
        <v>0</v>
      </c>
      <c r="AF35" s="415">
        <f t="shared" si="32"/>
        <v>250</v>
      </c>
      <c r="AG35" s="400">
        <f t="shared" si="33"/>
        <v>0</v>
      </c>
      <c r="AH35" s="128"/>
      <c r="AI35" s="401">
        <f t="shared" si="17"/>
        <v>0</v>
      </c>
      <c r="AJ35" s="402" t="str">
        <f t="shared" si="18"/>
        <v/>
      </c>
      <c r="AK35" s="52"/>
      <c r="AL35" s="414">
        <f>IFERROR(VLOOKUP($C35,'Proposed Rates'!$B:$J,AL$11,FALSE),0)</f>
        <v>0</v>
      </c>
      <c r="AM35" s="415">
        <f t="shared" si="34"/>
        <v>250</v>
      </c>
      <c r="AN35" s="400">
        <f t="shared" si="35"/>
        <v>0</v>
      </c>
      <c r="AO35" s="128"/>
      <c r="AP35" s="401">
        <f t="shared" si="21"/>
        <v>0</v>
      </c>
      <c r="AQ35" s="402" t="str">
        <f t="shared" si="22"/>
        <v/>
      </c>
      <c r="AR35" s="403"/>
    </row>
    <row r="36" spans="1:44" ht="12" customHeight="1">
      <c r="A36" s="551"/>
      <c r="B36" s="320" t="s">
        <v>269</v>
      </c>
      <c r="C36" s="395" t="str">
        <f t="shared" si="23"/>
        <v>General Service 50 to 1,499 KW.Low Voltage Service Charge</v>
      </c>
      <c r="D36" s="396" t="s">
        <v>377</v>
      </c>
      <c r="E36" s="320"/>
      <c r="F36" s="414">
        <f>IFERROR(VLOOKUP($C36,'Proposed Rates'!$B:$J,F$11,FALSE),0)</f>
        <v>2.0629999999999999E-2</v>
      </c>
      <c r="G36" s="415">
        <f t="shared" si="24"/>
        <v>250</v>
      </c>
      <c r="H36" s="400">
        <f t="shared" si="25"/>
        <v>5.1574999999999998</v>
      </c>
      <c r="I36" s="128"/>
      <c r="J36" s="414">
        <f>IFERROR(VLOOKUP($C36,'Proposed Rates'!$B:$J,J$11,FALSE),0)</f>
        <v>2.334E-2</v>
      </c>
      <c r="K36" s="415">
        <f t="shared" si="26"/>
        <v>250</v>
      </c>
      <c r="L36" s="400">
        <f t="shared" si="27"/>
        <v>5.835</v>
      </c>
      <c r="M36" s="128"/>
      <c r="N36" s="401">
        <f t="shared" si="5"/>
        <v>0.67750000000000021</v>
      </c>
      <c r="O36" s="402">
        <f t="shared" si="6"/>
        <v>0.13136209403780907</v>
      </c>
      <c r="P36" s="52"/>
      <c r="Q36" s="414">
        <f>IFERROR(VLOOKUP($C36,'Proposed Rates'!$B:$J,Q$11,FALSE),0)</f>
        <v>2.3939999999999999E-2</v>
      </c>
      <c r="R36" s="415">
        <f t="shared" si="28"/>
        <v>250</v>
      </c>
      <c r="S36" s="400">
        <f t="shared" si="29"/>
        <v>5.9849999999999994</v>
      </c>
      <c r="T36" s="128"/>
      <c r="U36" s="401">
        <f t="shared" si="9"/>
        <v>0.14999999999999947</v>
      </c>
      <c r="V36" s="402">
        <f t="shared" si="10"/>
        <v>2.57069408740359E-2</v>
      </c>
      <c r="W36" s="52"/>
      <c r="X36" s="414">
        <f>IFERROR(VLOOKUP($C36,'Proposed Rates'!$B:$J,X$11,FALSE),0)</f>
        <v>2.4250000000000001E-2</v>
      </c>
      <c r="Y36" s="415">
        <f t="shared" si="30"/>
        <v>250</v>
      </c>
      <c r="Z36" s="400">
        <f t="shared" si="31"/>
        <v>6.0625</v>
      </c>
      <c r="AA36" s="128"/>
      <c r="AB36" s="401">
        <f t="shared" ref="AB36:AB46" si="36">Z36-S36</f>
        <v>7.7500000000000568E-2</v>
      </c>
      <c r="AC36" s="402">
        <f t="shared" ref="AC36:AC46" si="37">IF((S36)=0,"",(AB36/S36))</f>
        <v>1.2949039264828835E-2</v>
      </c>
      <c r="AD36" s="52"/>
      <c r="AE36" s="414">
        <f>IFERROR(VLOOKUP($C36,'Proposed Rates'!$B:$J,AE$11,FALSE),0)</f>
        <v>2.4649999999999998E-2</v>
      </c>
      <c r="AF36" s="415">
        <f t="shared" si="32"/>
        <v>250</v>
      </c>
      <c r="AG36" s="400">
        <f t="shared" si="33"/>
        <v>6.1624999999999996</v>
      </c>
      <c r="AH36" s="128"/>
      <c r="AI36" s="401">
        <f t="shared" si="17"/>
        <v>9.9999999999999645E-2</v>
      </c>
      <c r="AJ36" s="402">
        <f t="shared" si="18"/>
        <v>1.6494845360824684E-2</v>
      </c>
      <c r="AK36" s="52"/>
      <c r="AL36" s="414">
        <f>IFERROR(VLOOKUP($C36,'Proposed Rates'!$B:$J,AL$11,FALSE),0)</f>
        <v>2.5080000000000002E-2</v>
      </c>
      <c r="AM36" s="415">
        <f t="shared" si="34"/>
        <v>250</v>
      </c>
      <c r="AN36" s="400">
        <f t="shared" si="35"/>
        <v>6.2700000000000005</v>
      </c>
      <c r="AO36" s="128"/>
      <c r="AP36" s="401">
        <f t="shared" si="21"/>
        <v>0.10750000000000082</v>
      </c>
      <c r="AQ36" s="402">
        <f t="shared" si="22"/>
        <v>1.7444219066937255E-2</v>
      </c>
      <c r="AR36" s="403"/>
    </row>
    <row r="37" spans="1:44" ht="12" customHeight="1">
      <c r="A37" s="551"/>
      <c r="B37" s="320" t="s">
        <v>312</v>
      </c>
      <c r="C37" s="395" t="str">
        <f t="shared" si="23"/>
        <v>General Service 50 to 1,499 KW.Line Losses on Cost of Power</v>
      </c>
      <c r="D37" s="396" t="s">
        <v>308</v>
      </c>
      <c r="E37" s="320"/>
      <c r="F37" s="430"/>
      <c r="G37" s="421">
        <f>$F$9*(1+F$65)-$F$9</f>
        <v>4317.9500000000116</v>
      </c>
      <c r="H37" s="400">
        <f t="shared" si="25"/>
        <v>0</v>
      </c>
      <c r="I37" s="128"/>
      <c r="J37" s="430"/>
      <c r="K37" s="421">
        <f>$F$9*(1+J$65)-$F$9</f>
        <v>4241.2999999999884</v>
      </c>
      <c r="L37" s="400">
        <f t="shared" si="27"/>
        <v>0</v>
      </c>
      <c r="M37" s="128"/>
      <c r="N37" s="401">
        <f t="shared" si="5"/>
        <v>0</v>
      </c>
      <c r="O37" s="402" t="str">
        <f t="shared" si="6"/>
        <v/>
      </c>
      <c r="P37" s="52"/>
      <c r="Q37" s="430"/>
      <c r="R37" s="421">
        <f>$F$9*(1+Q$65)-$F$9</f>
        <v>4241.2999999999884</v>
      </c>
      <c r="S37" s="400">
        <f t="shared" si="29"/>
        <v>0</v>
      </c>
      <c r="T37" s="128"/>
      <c r="U37" s="401">
        <f t="shared" si="9"/>
        <v>0</v>
      </c>
      <c r="V37" s="402" t="str">
        <f t="shared" si="10"/>
        <v/>
      </c>
      <c r="W37" s="52"/>
      <c r="X37" s="430"/>
      <c r="Y37" s="421">
        <f>$F$9*(1+X$65)-$F$9</f>
        <v>4241.2999999999884</v>
      </c>
      <c r="Z37" s="400">
        <f t="shared" si="31"/>
        <v>0</v>
      </c>
      <c r="AA37" s="128"/>
      <c r="AB37" s="401">
        <f t="shared" si="36"/>
        <v>0</v>
      </c>
      <c r="AC37" s="402" t="str">
        <f t="shared" si="37"/>
        <v/>
      </c>
      <c r="AD37" s="52"/>
      <c r="AE37" s="430"/>
      <c r="AF37" s="421">
        <f>$F$9*(1+AE$65)-$F$9</f>
        <v>4241.2999999999884</v>
      </c>
      <c r="AG37" s="400">
        <f t="shared" si="33"/>
        <v>0</v>
      </c>
      <c r="AH37" s="128"/>
      <c r="AI37" s="401">
        <f t="shared" si="17"/>
        <v>0</v>
      </c>
      <c r="AJ37" s="402" t="str">
        <f t="shared" si="18"/>
        <v/>
      </c>
      <c r="AK37" s="52"/>
      <c r="AL37" s="430"/>
      <c r="AM37" s="421">
        <f>$F$9*(1+AL$65)-$F$9</f>
        <v>4241.2999999999884</v>
      </c>
      <c r="AN37" s="400">
        <f t="shared" si="35"/>
        <v>0</v>
      </c>
      <c r="AO37" s="128"/>
      <c r="AP37" s="401">
        <f t="shared" si="21"/>
        <v>0</v>
      </c>
      <c r="AQ37" s="402" t="str">
        <f t="shared" si="22"/>
        <v/>
      </c>
      <c r="AR37" s="403"/>
    </row>
    <row r="38" spans="1:44" ht="12" customHeight="1">
      <c r="A38" s="551"/>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36"/>
        <v>0</v>
      </c>
      <c r="AC38" s="402" t="str">
        <f t="shared" si="37"/>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row>
    <row r="39" spans="1:44" ht="12" customHeight="1">
      <c r="A39" s="551"/>
      <c r="B39" s="405" t="s">
        <v>313</v>
      </c>
      <c r="C39" s="422"/>
      <c r="D39" s="422"/>
      <c r="E39" s="422"/>
      <c r="F39" s="423"/>
      <c r="G39" s="501"/>
      <c r="H39" s="409">
        <f>SUM(H30:H38)+H29</f>
        <v>2317.8575000000001</v>
      </c>
      <c r="I39" s="425"/>
      <c r="J39" s="423"/>
      <c r="K39" s="501"/>
      <c r="L39" s="409">
        <f>SUM(L30:L38)+L29</f>
        <v>2764.6599999999994</v>
      </c>
      <c r="M39" s="425"/>
      <c r="N39" s="411">
        <f t="shared" si="5"/>
        <v>446.80249999999933</v>
      </c>
      <c r="O39" s="412">
        <f t="shared" si="6"/>
        <v>0.19276530157699484</v>
      </c>
      <c r="P39" s="52"/>
      <c r="Q39" s="423"/>
      <c r="R39" s="501"/>
      <c r="S39" s="409">
        <f>SUM(S30:S38)+S29</f>
        <v>2402.1600000000003</v>
      </c>
      <c r="T39" s="425"/>
      <c r="U39" s="411">
        <f t="shared" si="9"/>
        <v>-362.49999999999909</v>
      </c>
      <c r="V39" s="412">
        <f t="shared" si="10"/>
        <v>-0.13111919729731655</v>
      </c>
      <c r="W39" s="52"/>
      <c r="X39" s="423"/>
      <c r="Y39" s="501"/>
      <c r="Z39" s="409">
        <f>SUM(Z30:Z38)+Z29</f>
        <v>2614.8125</v>
      </c>
      <c r="AA39" s="425"/>
      <c r="AB39" s="411">
        <f t="shared" si="36"/>
        <v>212.65249999999969</v>
      </c>
      <c r="AC39" s="412">
        <f t="shared" si="37"/>
        <v>8.8525535351516832E-2</v>
      </c>
      <c r="AD39" s="52"/>
      <c r="AE39" s="423"/>
      <c r="AF39" s="501"/>
      <c r="AG39" s="409">
        <f>SUM(AG30:AG38)+AG29</f>
        <v>2786.5875000000001</v>
      </c>
      <c r="AH39" s="425"/>
      <c r="AI39" s="411">
        <f t="shared" si="17"/>
        <v>171.77500000000009</v>
      </c>
      <c r="AJ39" s="412">
        <f t="shared" si="18"/>
        <v>6.5693046824581144E-2</v>
      </c>
      <c r="AK39" s="52"/>
      <c r="AL39" s="423"/>
      <c r="AM39" s="501"/>
      <c r="AN39" s="409">
        <f>SUM(AN30:AN38)+AN29</f>
        <v>2949.7449999999999</v>
      </c>
      <c r="AO39" s="425"/>
      <c r="AP39" s="411">
        <f t="shared" si="21"/>
        <v>163.1574999999998</v>
      </c>
      <c r="AQ39" s="412">
        <f t="shared" si="22"/>
        <v>5.855100548610076E-2</v>
      </c>
      <c r="AR39" s="413"/>
    </row>
    <row r="40" spans="1:44" ht="12" customHeight="1">
      <c r="A40" s="551"/>
      <c r="B40" s="128" t="s">
        <v>255</v>
      </c>
      <c r="C40" s="395" t="str">
        <f t="shared" ref="C40:C41" si="38">D$6&amp;"."&amp;B40</f>
        <v>General Service 50 to 1,499 KW.RTSR - Network</v>
      </c>
      <c r="D40" s="426" t="s">
        <v>377</v>
      </c>
      <c r="E40" s="128"/>
      <c r="F40" s="414">
        <f>IFERROR(VLOOKUP($C40,'Proposed Rates'!$B:$J,F$11,FALSE),0)</f>
        <v>4.8479999999999999</v>
      </c>
      <c r="G40" s="415">
        <f t="shared" ref="G40:G41" si="39">IF($D40="Monthly",1,IF($D40="per KW",$F$10,IF($D40="per kWh",$F$9,0)))</f>
        <v>250</v>
      </c>
      <c r="H40" s="400">
        <f t="shared" ref="H40:H41" si="40">G40*F40</f>
        <v>1212</v>
      </c>
      <c r="I40" s="128"/>
      <c r="J40" s="414">
        <f>IFERROR(VLOOKUP($C40,'Proposed Rates'!$B:$J,J$11,FALSE),0)</f>
        <v>4.5787000000000004</v>
      </c>
      <c r="K40" s="415">
        <f t="shared" ref="K40:K41" si="41">IF($D40="Monthly",1,IF($D40="per KW",$F$10,IF($D40="per kWh",$F$9,0)))</f>
        <v>250</v>
      </c>
      <c r="L40" s="400">
        <f t="shared" ref="L40:L41" si="42">K40*J40</f>
        <v>1144.6750000000002</v>
      </c>
      <c r="M40" s="128"/>
      <c r="N40" s="401">
        <f t="shared" si="5"/>
        <v>-67.324999999999818</v>
      </c>
      <c r="O40" s="402">
        <f t="shared" si="6"/>
        <v>-5.5548679867986651E-2</v>
      </c>
      <c r="P40" s="52"/>
      <c r="Q40" s="414">
        <f>IFERROR(VLOOKUP($C40,'Proposed Rates'!$B:$J,Q$11,FALSE),0)</f>
        <v>4.5787000000000004</v>
      </c>
      <c r="R40" s="415">
        <f t="shared" ref="R40:R41" si="43">IF($D40="Monthly",1,IF($D40="per KW",$F$10,IF($D40="per kWh",$F$9,0)))</f>
        <v>250</v>
      </c>
      <c r="S40" s="400">
        <f t="shared" ref="S40:S41" si="44">R40*Q40</f>
        <v>1144.6750000000002</v>
      </c>
      <c r="T40" s="128"/>
      <c r="U40" s="401">
        <f t="shared" si="9"/>
        <v>0</v>
      </c>
      <c r="V40" s="402">
        <f t="shared" si="10"/>
        <v>0</v>
      </c>
      <c r="W40" s="52"/>
      <c r="X40" s="414">
        <f>IFERROR(VLOOKUP($C40,'Proposed Rates'!$B:$J,X$11,FALSE),0)</f>
        <v>4.5787000000000004</v>
      </c>
      <c r="Y40" s="415">
        <f t="shared" ref="Y40:Y41" si="45">IF($D40="Monthly",1,IF($D40="per KW",$F$10,IF($D40="per kWh",$F$9,0)))</f>
        <v>250</v>
      </c>
      <c r="Z40" s="400">
        <f t="shared" ref="Z40:Z41" si="46">Y40*X40</f>
        <v>1144.6750000000002</v>
      </c>
      <c r="AA40" s="128"/>
      <c r="AB40" s="401">
        <f t="shared" si="36"/>
        <v>0</v>
      </c>
      <c r="AC40" s="402">
        <f t="shared" si="37"/>
        <v>0</v>
      </c>
      <c r="AD40" s="52"/>
      <c r="AE40" s="414">
        <f>IFERROR(VLOOKUP($C40,'Proposed Rates'!$B:$J,AE$11,FALSE),0)</f>
        <v>4.5787000000000004</v>
      </c>
      <c r="AF40" s="415">
        <f t="shared" ref="AF40:AF41" si="47">IF($D40="Monthly",1,IF($D40="per KW",$F$10,IF($D40="per kWh",$F$9,0)))</f>
        <v>250</v>
      </c>
      <c r="AG40" s="400">
        <f t="shared" ref="AG40:AG41" si="48">AF40*AE40</f>
        <v>1144.6750000000002</v>
      </c>
      <c r="AH40" s="128"/>
      <c r="AI40" s="401">
        <f t="shared" si="17"/>
        <v>0</v>
      </c>
      <c r="AJ40" s="402">
        <f t="shared" si="18"/>
        <v>0</v>
      </c>
      <c r="AK40" s="52"/>
      <c r="AL40" s="414">
        <f>IFERROR(VLOOKUP($C40,'Proposed Rates'!$B:$J,AL$11,FALSE),0)</f>
        <v>4.5787000000000004</v>
      </c>
      <c r="AM40" s="415">
        <f t="shared" ref="AM40:AM41" si="49">IF($D40="Monthly",1,IF($D40="per KW",$F$10,IF($D40="per kWh",$F$9,0)))</f>
        <v>250</v>
      </c>
      <c r="AN40" s="400">
        <f t="shared" ref="AN40:AN41" si="50">AM40*AL40</f>
        <v>1144.6750000000002</v>
      </c>
      <c r="AO40" s="128"/>
      <c r="AP40" s="401">
        <f t="shared" si="21"/>
        <v>0</v>
      </c>
      <c r="AQ40" s="402">
        <f t="shared" si="22"/>
        <v>0</v>
      </c>
      <c r="AR40" s="403"/>
    </row>
    <row r="41" spans="1:44" ht="12" customHeight="1">
      <c r="A41" s="551"/>
      <c r="B41" s="128" t="s">
        <v>256</v>
      </c>
      <c r="C41" s="395" t="str">
        <f t="shared" si="38"/>
        <v>General Service 50 to 1,499 KW.RTSR - Line and Transformation Connection</v>
      </c>
      <c r="D41" s="426" t="s">
        <v>377</v>
      </c>
      <c r="E41" s="128"/>
      <c r="F41" s="414">
        <f>IFERROR(VLOOKUP($C41,'Proposed Rates'!$B:$J,F$11,FALSE),0)</f>
        <v>2.8187000000000002</v>
      </c>
      <c r="G41" s="415">
        <f t="shared" si="39"/>
        <v>250</v>
      </c>
      <c r="H41" s="400">
        <f t="shared" si="40"/>
        <v>704.67500000000007</v>
      </c>
      <c r="I41" s="128"/>
      <c r="J41" s="414">
        <f>IFERROR(VLOOKUP($C41,'Proposed Rates'!$B:$J,J$11,FALSE),0)</f>
        <v>2.5918000000000001</v>
      </c>
      <c r="K41" s="415">
        <f t="shared" si="41"/>
        <v>250</v>
      </c>
      <c r="L41" s="400">
        <f t="shared" si="42"/>
        <v>647.95000000000005</v>
      </c>
      <c r="M41" s="128"/>
      <c r="N41" s="401">
        <f t="shared" si="5"/>
        <v>-56.725000000000023</v>
      </c>
      <c r="O41" s="402">
        <f t="shared" si="6"/>
        <v>-8.0498101961897356E-2</v>
      </c>
      <c r="P41" s="52"/>
      <c r="Q41" s="414">
        <f>IFERROR(VLOOKUP($C41,'Proposed Rates'!$B:$J,Q$11,FALSE),0)</f>
        <v>2.5918000000000001</v>
      </c>
      <c r="R41" s="415">
        <f t="shared" si="43"/>
        <v>250</v>
      </c>
      <c r="S41" s="400">
        <f t="shared" si="44"/>
        <v>647.95000000000005</v>
      </c>
      <c r="T41" s="128"/>
      <c r="U41" s="401">
        <f t="shared" si="9"/>
        <v>0</v>
      </c>
      <c r="V41" s="402">
        <f t="shared" si="10"/>
        <v>0</v>
      </c>
      <c r="W41" s="52"/>
      <c r="X41" s="414">
        <f>IFERROR(VLOOKUP($C41,'Proposed Rates'!$B:$J,X$11,FALSE),0)</f>
        <v>2.5918000000000001</v>
      </c>
      <c r="Y41" s="415">
        <f t="shared" si="45"/>
        <v>250</v>
      </c>
      <c r="Z41" s="400">
        <f t="shared" si="46"/>
        <v>647.95000000000005</v>
      </c>
      <c r="AA41" s="128"/>
      <c r="AB41" s="401">
        <f t="shared" si="36"/>
        <v>0</v>
      </c>
      <c r="AC41" s="402">
        <f t="shared" si="37"/>
        <v>0</v>
      </c>
      <c r="AD41" s="52"/>
      <c r="AE41" s="414">
        <f>IFERROR(VLOOKUP($C41,'Proposed Rates'!$B:$J,AE$11,FALSE),0)</f>
        <v>2.5918000000000001</v>
      </c>
      <c r="AF41" s="415">
        <f t="shared" si="47"/>
        <v>250</v>
      </c>
      <c r="AG41" s="400">
        <f t="shared" si="48"/>
        <v>647.95000000000005</v>
      </c>
      <c r="AH41" s="128"/>
      <c r="AI41" s="401">
        <f t="shared" si="17"/>
        <v>0</v>
      </c>
      <c r="AJ41" s="402">
        <f t="shared" si="18"/>
        <v>0</v>
      </c>
      <c r="AK41" s="52"/>
      <c r="AL41" s="414">
        <f>IFERROR(VLOOKUP($C41,'Proposed Rates'!$B:$J,AL$11,FALSE),0)</f>
        <v>2.5918000000000001</v>
      </c>
      <c r="AM41" s="415">
        <f t="shared" si="49"/>
        <v>250</v>
      </c>
      <c r="AN41" s="400">
        <f t="shared" si="50"/>
        <v>647.95000000000005</v>
      </c>
      <c r="AO41" s="128"/>
      <c r="AP41" s="401">
        <f t="shared" si="21"/>
        <v>0</v>
      </c>
      <c r="AQ41" s="402">
        <f t="shared" si="22"/>
        <v>0</v>
      </c>
      <c r="AR41" s="403"/>
    </row>
    <row r="42" spans="1:44" ht="12" customHeight="1">
      <c r="A42" s="551"/>
      <c r="B42" s="405" t="s">
        <v>314</v>
      </c>
      <c r="C42" s="427"/>
      <c r="D42" s="427"/>
      <c r="E42" s="427"/>
      <c r="F42" s="428"/>
      <c r="G42" s="501"/>
      <c r="H42" s="409">
        <f>SUM(H39:H41)</f>
        <v>4234.5325000000003</v>
      </c>
      <c r="I42" s="410"/>
      <c r="J42" s="428"/>
      <c r="K42" s="501"/>
      <c r="L42" s="409">
        <f>SUM(L39:L41)</f>
        <v>4557.2849999999999</v>
      </c>
      <c r="M42" s="410"/>
      <c r="N42" s="411">
        <f t="shared" si="5"/>
        <v>322.7524999999996</v>
      </c>
      <c r="O42" s="412">
        <f t="shared" si="6"/>
        <v>7.6219157604765012E-2</v>
      </c>
      <c r="P42" s="52"/>
      <c r="Q42" s="428"/>
      <c r="R42" s="501"/>
      <c r="S42" s="409">
        <f>SUM(S39:S41)</f>
        <v>4194.7850000000008</v>
      </c>
      <c r="T42" s="410"/>
      <c r="U42" s="411">
        <f t="shared" si="9"/>
        <v>-362.49999999999909</v>
      </c>
      <c r="V42" s="412">
        <f t="shared" si="10"/>
        <v>-7.9542973502863892E-2</v>
      </c>
      <c r="W42" s="52"/>
      <c r="X42" s="428"/>
      <c r="Y42" s="501"/>
      <c r="Z42" s="409">
        <f>SUM(Z39:Z41)</f>
        <v>4407.4375</v>
      </c>
      <c r="AA42" s="410"/>
      <c r="AB42" s="411">
        <f t="shared" si="36"/>
        <v>212.65249999999924</v>
      </c>
      <c r="AC42" s="412">
        <f t="shared" si="37"/>
        <v>5.0694493281538675E-2</v>
      </c>
      <c r="AD42" s="52"/>
      <c r="AE42" s="428"/>
      <c r="AF42" s="501"/>
      <c r="AG42" s="409">
        <f>SUM(AG39:AG41)</f>
        <v>4579.2125000000005</v>
      </c>
      <c r="AH42" s="410"/>
      <c r="AI42" s="411">
        <f t="shared" si="17"/>
        <v>171.77500000000055</v>
      </c>
      <c r="AJ42" s="412">
        <f t="shared" si="18"/>
        <v>3.8973893560600811E-2</v>
      </c>
      <c r="AK42" s="52"/>
      <c r="AL42" s="428"/>
      <c r="AM42" s="501"/>
      <c r="AN42" s="409">
        <f>SUM(AN39:AN41)</f>
        <v>4742.37</v>
      </c>
      <c r="AO42" s="410"/>
      <c r="AP42" s="411">
        <f t="shared" si="21"/>
        <v>163.15749999999935</v>
      </c>
      <c r="AQ42" s="412">
        <f t="shared" si="22"/>
        <v>3.5630034640235481E-2</v>
      </c>
      <c r="AR42" s="413"/>
    </row>
    <row r="43" spans="1:44" ht="12" customHeight="1">
      <c r="A43" s="551"/>
      <c r="B43" s="320" t="s">
        <v>257</v>
      </c>
      <c r="C43" s="395" t="str">
        <f t="shared" ref="C43:C45" si="51">D$6&amp;"."&amp;B43</f>
        <v>General Service 50 to 1,499 KW.Wholesale Market Service Charge (WMSC)</v>
      </c>
      <c r="D43" s="396" t="s">
        <v>308</v>
      </c>
      <c r="E43" s="320"/>
      <c r="F43" s="414">
        <f>IFERROR(VLOOKUP($C43,'Proposed Rates'!$B:$J,F$11,FALSE),0)</f>
        <v>4.4999999999999997E-3</v>
      </c>
      <c r="G43" s="421">
        <f t="shared" ref="G43:G44" si="52">$F$9+G$37</f>
        <v>132067.95000000001</v>
      </c>
      <c r="H43" s="400">
        <f t="shared" ref="H43:H46" si="53">G43*F43</f>
        <v>594.30577500000004</v>
      </c>
      <c r="I43" s="128"/>
      <c r="J43" s="414">
        <f>IFERROR(VLOOKUP($C43,'Proposed Rates'!$B:$J,J$11,FALSE),0)</f>
        <v>4.4999999999999997E-3</v>
      </c>
      <c r="K43" s="421">
        <f t="shared" ref="K43:K44" si="54">$F$9+K$37</f>
        <v>131991.29999999999</v>
      </c>
      <c r="L43" s="400">
        <f t="shared" ref="L43:L46" si="55">K43*J43</f>
        <v>593.96084999999994</v>
      </c>
      <c r="M43" s="128"/>
      <c r="N43" s="401">
        <f t="shared" si="5"/>
        <v>-0.34492500000010295</v>
      </c>
      <c r="O43" s="402">
        <f t="shared" si="6"/>
        <v>-5.8038305281503096E-4</v>
      </c>
      <c r="P43" s="52"/>
      <c r="Q43" s="414">
        <f>IFERROR(VLOOKUP($C43,'Proposed Rates'!$B:$J,Q$11,FALSE),0)</f>
        <v>4.4999999999999997E-3</v>
      </c>
      <c r="R43" s="421">
        <f t="shared" ref="R43:R44" si="56">$F$9+R$37</f>
        <v>131991.29999999999</v>
      </c>
      <c r="S43" s="400">
        <f t="shared" ref="S43:S46" si="57">R43*Q43</f>
        <v>593.96084999999994</v>
      </c>
      <c r="T43" s="128"/>
      <c r="U43" s="401">
        <f t="shared" si="9"/>
        <v>0</v>
      </c>
      <c r="V43" s="402">
        <f t="shared" si="10"/>
        <v>0</v>
      </c>
      <c r="W43" s="52"/>
      <c r="X43" s="414">
        <f>IFERROR(VLOOKUP($C43,'Proposed Rates'!$B:$J,X$11,FALSE),0)</f>
        <v>4.4999999999999997E-3</v>
      </c>
      <c r="Y43" s="421">
        <f t="shared" ref="Y43:Y44" si="58">$F$9+Y$37</f>
        <v>131991.29999999999</v>
      </c>
      <c r="Z43" s="400">
        <f t="shared" ref="Z43:Z46" si="59">Y43*X43</f>
        <v>593.96084999999994</v>
      </c>
      <c r="AA43" s="128"/>
      <c r="AB43" s="401">
        <f t="shared" si="36"/>
        <v>0</v>
      </c>
      <c r="AC43" s="402">
        <f t="shared" si="37"/>
        <v>0</v>
      </c>
      <c r="AD43" s="52"/>
      <c r="AE43" s="414">
        <f>IFERROR(VLOOKUP($C43,'Proposed Rates'!$B:$J,AE$11,FALSE),0)</f>
        <v>4.4999999999999997E-3</v>
      </c>
      <c r="AF43" s="421">
        <f t="shared" ref="AF43:AF44" si="60">$F$9+AF$37</f>
        <v>131991.29999999999</v>
      </c>
      <c r="AG43" s="400">
        <f t="shared" ref="AG43:AG46" si="61">AF43*AE43</f>
        <v>593.96084999999994</v>
      </c>
      <c r="AH43" s="128"/>
      <c r="AI43" s="401">
        <f t="shared" si="17"/>
        <v>0</v>
      </c>
      <c r="AJ43" s="402">
        <f t="shared" si="18"/>
        <v>0</v>
      </c>
      <c r="AK43" s="52"/>
      <c r="AL43" s="414">
        <f>IFERROR(VLOOKUP($C43,'Proposed Rates'!$B:$J,AL$11,FALSE),0)</f>
        <v>4.4999999999999997E-3</v>
      </c>
      <c r="AM43" s="421">
        <f t="shared" ref="AM43:AM44" si="62">$F$9+AM$37</f>
        <v>131991.29999999999</v>
      </c>
      <c r="AN43" s="400">
        <f t="shared" ref="AN43:AN46" si="63">AM43*AL43</f>
        <v>593.96084999999994</v>
      </c>
      <c r="AO43" s="128"/>
      <c r="AP43" s="401">
        <f t="shared" si="21"/>
        <v>0</v>
      </c>
      <c r="AQ43" s="402">
        <f t="shared" si="22"/>
        <v>0</v>
      </c>
      <c r="AR43" s="403"/>
    </row>
    <row r="44" spans="1:44" ht="12" customHeight="1">
      <c r="A44" s="551"/>
      <c r="B44" s="320" t="s">
        <v>258</v>
      </c>
      <c r="C44" s="395" t="str">
        <f t="shared" si="51"/>
        <v>General Service 50 to 1,499 KW.Rural and Remote Rate Protection (RRRP)</v>
      </c>
      <c r="D44" s="396" t="s">
        <v>308</v>
      </c>
      <c r="E44" s="320"/>
      <c r="F44" s="414">
        <f>IFERROR(VLOOKUP($C44,'Proposed Rates'!$B:$J,F$11,FALSE),0)</f>
        <v>1.5E-3</v>
      </c>
      <c r="G44" s="421">
        <f t="shared" si="52"/>
        <v>132067.95000000001</v>
      </c>
      <c r="H44" s="400">
        <f t="shared" si="53"/>
        <v>198.10192500000002</v>
      </c>
      <c r="I44" s="128"/>
      <c r="J44" s="414">
        <f>IFERROR(VLOOKUP($C44,'Proposed Rates'!$B:$J,J$11,FALSE),0)</f>
        <v>1.5E-3</v>
      </c>
      <c r="K44" s="421">
        <f t="shared" si="54"/>
        <v>131991.29999999999</v>
      </c>
      <c r="L44" s="400">
        <f t="shared" si="55"/>
        <v>197.98694999999998</v>
      </c>
      <c r="M44" s="128"/>
      <c r="N44" s="401">
        <f t="shared" si="5"/>
        <v>-0.11497500000004379</v>
      </c>
      <c r="O44" s="402">
        <f t="shared" si="6"/>
        <v>-5.8038305281507877E-4</v>
      </c>
      <c r="P44" s="52"/>
      <c r="Q44" s="414">
        <f>IFERROR(VLOOKUP($C44,'Proposed Rates'!$B:$J,Q$11,FALSE),0)</f>
        <v>1.5E-3</v>
      </c>
      <c r="R44" s="421">
        <f t="shared" si="56"/>
        <v>131991.29999999999</v>
      </c>
      <c r="S44" s="400">
        <f t="shared" si="57"/>
        <v>197.98694999999998</v>
      </c>
      <c r="T44" s="128"/>
      <c r="U44" s="401">
        <f t="shared" si="9"/>
        <v>0</v>
      </c>
      <c r="V44" s="402">
        <f t="shared" si="10"/>
        <v>0</v>
      </c>
      <c r="W44" s="52"/>
      <c r="X44" s="414">
        <f>IFERROR(VLOOKUP($C44,'Proposed Rates'!$B:$J,X$11,FALSE),0)</f>
        <v>1.5E-3</v>
      </c>
      <c r="Y44" s="421">
        <f t="shared" si="58"/>
        <v>131991.29999999999</v>
      </c>
      <c r="Z44" s="400">
        <f t="shared" si="59"/>
        <v>197.98694999999998</v>
      </c>
      <c r="AA44" s="128"/>
      <c r="AB44" s="401">
        <f t="shared" si="36"/>
        <v>0</v>
      </c>
      <c r="AC44" s="402">
        <f t="shared" si="37"/>
        <v>0</v>
      </c>
      <c r="AD44" s="52"/>
      <c r="AE44" s="414">
        <f>IFERROR(VLOOKUP($C44,'Proposed Rates'!$B:$J,AE$11,FALSE),0)</f>
        <v>1.5E-3</v>
      </c>
      <c r="AF44" s="421">
        <f t="shared" si="60"/>
        <v>131991.29999999999</v>
      </c>
      <c r="AG44" s="400">
        <f t="shared" si="61"/>
        <v>197.98694999999998</v>
      </c>
      <c r="AH44" s="128"/>
      <c r="AI44" s="401">
        <f t="shared" si="17"/>
        <v>0</v>
      </c>
      <c r="AJ44" s="402">
        <f t="shared" si="18"/>
        <v>0</v>
      </c>
      <c r="AK44" s="52"/>
      <c r="AL44" s="414">
        <f>IFERROR(VLOOKUP($C44,'Proposed Rates'!$B:$J,AL$11,FALSE),0)</f>
        <v>1.5E-3</v>
      </c>
      <c r="AM44" s="421">
        <f t="shared" si="62"/>
        <v>131991.29999999999</v>
      </c>
      <c r="AN44" s="400">
        <f t="shared" si="63"/>
        <v>197.98694999999998</v>
      </c>
      <c r="AO44" s="128"/>
      <c r="AP44" s="401">
        <f t="shared" si="21"/>
        <v>0</v>
      </c>
      <c r="AQ44" s="402">
        <f t="shared" si="22"/>
        <v>0</v>
      </c>
      <c r="AR44" s="403"/>
    </row>
    <row r="45" spans="1:44" ht="12" customHeight="1">
      <c r="A45" s="551"/>
      <c r="B45" s="320" t="s">
        <v>260</v>
      </c>
      <c r="C45" s="395" t="str">
        <f t="shared" si="51"/>
        <v>General Service 50 to 1,499 KW.Standard Supply Service Charge</v>
      </c>
      <c r="D45" s="396" t="s">
        <v>306</v>
      </c>
      <c r="E45" s="320"/>
      <c r="F45" s="397">
        <f>IFERROR(VLOOKUP($C45,'Proposed Rates'!$B:$J,F$11,FALSE),0)</f>
        <v>0.25</v>
      </c>
      <c r="G45" s="415">
        <f>IF($D45="Monthly",1,IF($D45="per KW",$F$10,IF($D45="per kWh",$F$9,0)))</f>
        <v>1</v>
      </c>
      <c r="H45" s="400">
        <f t="shared" si="53"/>
        <v>0.25</v>
      </c>
      <c r="I45" s="128"/>
      <c r="J45" s="397">
        <f>IFERROR(VLOOKUP($C45,'Proposed Rates'!$B:$J,J$11,FALSE),0)</f>
        <v>1.51</v>
      </c>
      <c r="K45" s="415">
        <f>IF($D45="Monthly",1,IF($D45="per KW",$F$10,IF($D45="per kWh",$F$9,0)))</f>
        <v>1</v>
      </c>
      <c r="L45" s="400">
        <f t="shared" si="55"/>
        <v>1.51</v>
      </c>
      <c r="M45" s="128"/>
      <c r="N45" s="401">
        <f t="shared" si="5"/>
        <v>1.26</v>
      </c>
      <c r="O45" s="402">
        <f t="shared" si="6"/>
        <v>5.04</v>
      </c>
      <c r="P45" s="52"/>
      <c r="Q45" s="397">
        <f>IFERROR(VLOOKUP($C45,'Proposed Rates'!$B:$J,Q$11,FALSE),0)</f>
        <v>1.54</v>
      </c>
      <c r="R45" s="415">
        <f>IF($D45="Monthly",1,IF($D45="per KW",$F$10,IF($D45="per kWh",$F$9,0)))</f>
        <v>1</v>
      </c>
      <c r="S45" s="400">
        <f t="shared" si="57"/>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9"/>
        <v>1.57</v>
      </c>
      <c r="AA45" s="128"/>
      <c r="AB45" s="401">
        <f t="shared" si="36"/>
        <v>3.0000000000000027E-2</v>
      </c>
      <c r="AC45" s="402">
        <f t="shared" si="37"/>
        <v>1.9480519480519497E-2</v>
      </c>
      <c r="AD45" s="52"/>
      <c r="AE45" s="397">
        <f>IFERROR(VLOOKUP($C45,'Proposed Rates'!$B:$J,AE$11,FALSE),0)</f>
        <v>1.6</v>
      </c>
      <c r="AF45" s="415">
        <f>IF($D45="Monthly",1,IF($D45="per KW",$F$10,IF($D45="per kWh",$F$9,0)))</f>
        <v>1</v>
      </c>
      <c r="AG45" s="400">
        <f t="shared" si="61"/>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3"/>
        <v>1.63</v>
      </c>
      <c r="AO45" s="128"/>
      <c r="AP45" s="401">
        <f t="shared" si="21"/>
        <v>2.9999999999999805E-2</v>
      </c>
      <c r="AQ45" s="402">
        <f t="shared" si="22"/>
        <v>1.8749999999999878E-2</v>
      </c>
      <c r="AR45" s="403"/>
    </row>
    <row r="46" spans="1:44" ht="12" customHeight="1">
      <c r="A46" s="551"/>
      <c r="B46" s="320" t="s">
        <v>267</v>
      </c>
      <c r="C46" s="395" t="str">
        <f>B46</f>
        <v>Average IESO Wholesale Market Price</v>
      </c>
      <c r="D46" s="396" t="s">
        <v>308</v>
      </c>
      <c r="E46" s="320"/>
      <c r="F46" s="414">
        <f>IFERROR(VLOOKUP($C46,'Proposed Rates'!$B:$J,F$11,FALSE),0)</f>
        <v>0.1045</v>
      </c>
      <c r="G46" s="421">
        <f>$F$9+G$37</f>
        <v>132067.95000000001</v>
      </c>
      <c r="H46" s="400">
        <f t="shared" si="53"/>
        <v>13801.100775000001</v>
      </c>
      <c r="I46" s="128"/>
      <c r="J46" s="414">
        <f>IFERROR(VLOOKUP($C46,'Proposed Rates'!$B:$J,J$11,FALSE),0)</f>
        <v>0.1045</v>
      </c>
      <c r="K46" s="421">
        <f>$F$9+K$37</f>
        <v>131991.29999999999</v>
      </c>
      <c r="L46" s="400">
        <f t="shared" si="55"/>
        <v>13793.090849999999</v>
      </c>
      <c r="M46" s="128"/>
      <c r="N46" s="401">
        <f t="shared" si="5"/>
        <v>-8.0099250000021129</v>
      </c>
      <c r="O46" s="402">
        <f t="shared" si="6"/>
        <v>-5.803830528150109E-4</v>
      </c>
      <c r="P46" s="52"/>
      <c r="Q46" s="414">
        <f>IFERROR(VLOOKUP($C46,'Proposed Rates'!$B:$J,Q$11,FALSE),0)</f>
        <v>0.1045</v>
      </c>
      <c r="R46" s="421">
        <f>$F$9+R$37</f>
        <v>131991.29999999999</v>
      </c>
      <c r="S46" s="400">
        <f t="shared" si="57"/>
        <v>13793.090849999999</v>
      </c>
      <c r="T46" s="128"/>
      <c r="U46" s="401">
        <f t="shared" si="9"/>
        <v>0</v>
      </c>
      <c r="V46" s="402">
        <f t="shared" si="10"/>
        <v>0</v>
      </c>
      <c r="W46" s="52"/>
      <c r="X46" s="414">
        <f>IFERROR(VLOOKUP($C46,'Proposed Rates'!$B:$J,X$11,FALSE),0)</f>
        <v>0.1045</v>
      </c>
      <c r="Y46" s="421">
        <f>$F$9+Y$37</f>
        <v>131991.29999999999</v>
      </c>
      <c r="Z46" s="400">
        <f t="shared" si="59"/>
        <v>13793.090849999999</v>
      </c>
      <c r="AA46" s="128"/>
      <c r="AB46" s="401">
        <f t="shared" si="36"/>
        <v>0</v>
      </c>
      <c r="AC46" s="402">
        <f t="shared" si="37"/>
        <v>0</v>
      </c>
      <c r="AD46" s="52"/>
      <c r="AE46" s="414">
        <f>IFERROR(VLOOKUP($C46,'Proposed Rates'!$B:$J,AE$11,FALSE),0)</f>
        <v>0.1045</v>
      </c>
      <c r="AF46" s="421">
        <f>$F$9+AF$37</f>
        <v>131991.29999999999</v>
      </c>
      <c r="AG46" s="400">
        <f t="shared" si="61"/>
        <v>13793.090849999999</v>
      </c>
      <c r="AH46" s="128"/>
      <c r="AI46" s="401">
        <f t="shared" si="17"/>
        <v>0</v>
      </c>
      <c r="AJ46" s="402">
        <f t="shared" si="18"/>
        <v>0</v>
      </c>
      <c r="AK46" s="52"/>
      <c r="AL46" s="414">
        <f>IFERROR(VLOOKUP($C46,'Proposed Rates'!$B:$J,AL$11,FALSE),0)</f>
        <v>0.1045</v>
      </c>
      <c r="AM46" s="421">
        <f>$F$9+AM$37</f>
        <v>131991.29999999999</v>
      </c>
      <c r="AN46" s="400">
        <f t="shared" si="63"/>
        <v>13793.090849999999</v>
      </c>
      <c r="AO46" s="128"/>
      <c r="AP46" s="401">
        <f t="shared" si="21"/>
        <v>0</v>
      </c>
      <c r="AQ46" s="402">
        <f t="shared" si="22"/>
        <v>0</v>
      </c>
      <c r="AR46" s="403"/>
    </row>
    <row r="47" spans="1:44" ht="12" customHeight="1">
      <c r="A47" s="551"/>
      <c r="B47" s="320"/>
      <c r="C47" s="395" t="str">
        <f t="shared" ref="C47:C50" si="64">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12" customHeight="1">
      <c r="A48" s="551"/>
      <c r="B48" s="52"/>
      <c r="C48" s="395" t="str">
        <f t="shared" si="64"/>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12" customHeight="1">
      <c r="A49" s="551"/>
      <c r="B49" s="320"/>
      <c r="C49" s="395" t="str">
        <f t="shared" si="64"/>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12" customHeight="1">
      <c r="A50" s="551"/>
      <c r="B50" s="320"/>
      <c r="C50" s="395" t="str">
        <f t="shared" si="64"/>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12" customHeight="1">
      <c r="A51" s="551"/>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 customHeight="1">
      <c r="A52" s="551"/>
      <c r="B52" s="444" t="s">
        <v>315</v>
      </c>
      <c r="C52" s="320"/>
      <c r="D52" s="320"/>
      <c r="E52" s="320"/>
      <c r="F52" s="445"/>
      <c r="G52" s="489"/>
      <c r="H52" s="447">
        <f>SUM(H43:H48,H42)</f>
        <v>18828.290975</v>
      </c>
      <c r="I52" s="482"/>
      <c r="J52" s="446"/>
      <c r="K52" s="446"/>
      <c r="L52" s="447">
        <f>SUM(L43:L48,L42)</f>
        <v>19143.83365</v>
      </c>
      <c r="M52" s="449"/>
      <c r="N52" s="448">
        <f t="shared" ref="N52:N56" si="65">L52-H52</f>
        <v>315.5426750000006</v>
      </c>
      <c r="O52" s="450">
        <f t="shared" ref="O52:O56" si="66">IF((H52)=0,"",(N52/H52))</f>
        <v>1.6758965294246555E-2</v>
      </c>
      <c r="P52" s="52"/>
      <c r="Q52" s="446"/>
      <c r="R52" s="446"/>
      <c r="S52" s="447">
        <f>SUM(S43:S48,S42)</f>
        <v>18781.363649999999</v>
      </c>
      <c r="T52" s="449"/>
      <c r="U52" s="448">
        <f t="shared" ref="U52:U56" si="67">S52-L52</f>
        <v>-362.47000000000116</v>
      </c>
      <c r="V52" s="450">
        <f t="shared" ref="V52:V56" si="68">IF((L52)=0,"",(U52/L52))</f>
        <v>-1.8934034145245571E-2</v>
      </c>
      <c r="W52" s="52"/>
      <c r="X52" s="446"/>
      <c r="Y52" s="446"/>
      <c r="Z52" s="447">
        <f>SUM(Z43:Z48,Z42)</f>
        <v>18994.046149999998</v>
      </c>
      <c r="AA52" s="449"/>
      <c r="AB52" s="448">
        <f t="shared" ref="AB52:AB56" si="69">Z52-S52</f>
        <v>212.68249999999898</v>
      </c>
      <c r="AC52" s="450">
        <f t="shared" ref="AC52:AC56" si="70">IF((S52)=0,"",(AB52/S52))</f>
        <v>1.1324124486562455E-2</v>
      </c>
      <c r="AD52" s="52"/>
      <c r="AE52" s="446"/>
      <c r="AF52" s="446"/>
      <c r="AG52" s="447">
        <f>SUM(AG43:AG48,AG42)</f>
        <v>19165.851149999999</v>
      </c>
      <c r="AH52" s="449"/>
      <c r="AI52" s="448">
        <f t="shared" ref="AI52:AI56" si="71">AG52-Z52</f>
        <v>171.80500000000029</v>
      </c>
      <c r="AJ52" s="450">
        <f t="shared" ref="AJ52:AJ56" si="72">IF((Z52)=0,"",(AI52/Z52))</f>
        <v>9.0452028305722694E-3</v>
      </c>
      <c r="AK52" s="52"/>
      <c r="AL52" s="446"/>
      <c r="AM52" s="446"/>
      <c r="AN52" s="447">
        <f>SUM(AN43:AN48,AN42)</f>
        <v>19329.038649999999</v>
      </c>
      <c r="AO52" s="449"/>
      <c r="AP52" s="448">
        <f t="shared" ref="AP52:AP56" si="73">AN52-AG52</f>
        <v>163.1875</v>
      </c>
      <c r="AQ52" s="450">
        <f t="shared" ref="AQ52:AQ56" si="74">IF((AG52)=0,"",(AP52/AG52))</f>
        <v>8.5144927153417878E-3</v>
      </c>
      <c r="AR52" s="451"/>
    </row>
    <row r="53" spans="1:44" ht="12" customHeight="1">
      <c r="A53" s="551"/>
      <c r="B53" s="452" t="s">
        <v>316</v>
      </c>
      <c r="C53" s="320"/>
      <c r="D53" s="320"/>
      <c r="E53" s="320"/>
      <c r="F53" s="445">
        <v>0.13</v>
      </c>
      <c r="G53" s="128"/>
      <c r="H53" s="490">
        <f>H52*F53</f>
        <v>2447.6778267499999</v>
      </c>
      <c r="I53" s="417"/>
      <c r="J53" s="453">
        <v>0.13</v>
      </c>
      <c r="K53" s="417"/>
      <c r="L53" s="400">
        <f>L52*J53</f>
        <v>2488.6983745000002</v>
      </c>
      <c r="M53" s="128"/>
      <c r="N53" s="401">
        <f t="shared" si="65"/>
        <v>41.020547750000333</v>
      </c>
      <c r="O53" s="402">
        <f t="shared" si="66"/>
        <v>1.6758965294246659E-2</v>
      </c>
      <c r="P53" s="52"/>
      <c r="Q53" s="453">
        <v>0.13</v>
      </c>
      <c r="R53" s="417"/>
      <c r="S53" s="400">
        <f>S52*Q53</f>
        <v>2441.5772744999999</v>
      </c>
      <c r="T53" s="128"/>
      <c r="U53" s="401">
        <f t="shared" si="67"/>
        <v>-47.121100000000297</v>
      </c>
      <c r="V53" s="402">
        <f t="shared" si="68"/>
        <v>-1.8934034145245627E-2</v>
      </c>
      <c r="W53" s="52"/>
      <c r="X53" s="453">
        <v>0.13</v>
      </c>
      <c r="Y53" s="417"/>
      <c r="Z53" s="400">
        <f>Z52*X53</f>
        <v>2469.2259994999999</v>
      </c>
      <c r="AA53" s="128"/>
      <c r="AB53" s="401">
        <f t="shared" si="69"/>
        <v>27.648725000000013</v>
      </c>
      <c r="AC53" s="402">
        <f t="shared" si="70"/>
        <v>1.1324124486562514E-2</v>
      </c>
      <c r="AD53" s="52"/>
      <c r="AE53" s="453">
        <v>0.13</v>
      </c>
      <c r="AF53" s="417"/>
      <c r="AG53" s="400">
        <f>AG52*AE53</f>
        <v>2491.5606494999997</v>
      </c>
      <c r="AH53" s="128"/>
      <c r="AI53" s="401">
        <f t="shared" si="71"/>
        <v>22.334649999999783</v>
      </c>
      <c r="AJ53" s="402">
        <f t="shared" si="72"/>
        <v>9.0452028305721653E-3</v>
      </c>
      <c r="AK53" s="52"/>
      <c r="AL53" s="453">
        <v>0.13</v>
      </c>
      <c r="AM53" s="417"/>
      <c r="AN53" s="400">
        <f>AN52*AL53</f>
        <v>2512.7750244999997</v>
      </c>
      <c r="AO53" s="128"/>
      <c r="AP53" s="401">
        <f t="shared" si="73"/>
        <v>21.214375000000018</v>
      </c>
      <c r="AQ53" s="402">
        <f t="shared" si="74"/>
        <v>8.5144927153417947E-3</v>
      </c>
      <c r="AR53" s="403"/>
    </row>
    <row r="54" spans="1:44" ht="12" customHeight="1">
      <c r="A54" s="551"/>
      <c r="B54" s="454" t="s">
        <v>384</v>
      </c>
      <c r="C54" s="320"/>
      <c r="D54" s="320"/>
      <c r="E54" s="320"/>
      <c r="F54" s="455"/>
      <c r="G54" s="128"/>
      <c r="H54" s="490">
        <f>H52+H53</f>
        <v>21275.968801750001</v>
      </c>
      <c r="I54" s="417"/>
      <c r="J54" s="417"/>
      <c r="K54" s="417"/>
      <c r="L54" s="400">
        <f>L52+L53</f>
        <v>21632.5320245</v>
      </c>
      <c r="M54" s="128"/>
      <c r="N54" s="401">
        <f t="shared" si="65"/>
        <v>356.56322274999911</v>
      </c>
      <c r="O54" s="402">
        <f t="shared" si="66"/>
        <v>1.6758965294246479E-2</v>
      </c>
      <c r="P54" s="52"/>
      <c r="Q54" s="417"/>
      <c r="R54" s="417"/>
      <c r="S54" s="400">
        <f>S52+S53</f>
        <v>21222.940924499999</v>
      </c>
      <c r="T54" s="128"/>
      <c r="U54" s="401">
        <f t="shared" si="67"/>
        <v>-409.59110000000146</v>
      </c>
      <c r="V54" s="402">
        <f t="shared" si="68"/>
        <v>-1.8934034145245578E-2</v>
      </c>
      <c r="W54" s="52"/>
      <c r="X54" s="417"/>
      <c r="Y54" s="417"/>
      <c r="Z54" s="400">
        <f>Z52+Z53</f>
        <v>21463.272149499997</v>
      </c>
      <c r="AA54" s="128"/>
      <c r="AB54" s="401">
        <f t="shared" si="69"/>
        <v>240.33122499999808</v>
      </c>
      <c r="AC54" s="402">
        <f t="shared" si="70"/>
        <v>1.1324124486562418E-2</v>
      </c>
      <c r="AD54" s="52"/>
      <c r="AE54" s="417"/>
      <c r="AF54" s="417"/>
      <c r="AG54" s="400">
        <f>AG52+AG53</f>
        <v>21657.411799499998</v>
      </c>
      <c r="AH54" s="128"/>
      <c r="AI54" s="401">
        <f t="shared" si="71"/>
        <v>194.13965000000098</v>
      </c>
      <c r="AJ54" s="402">
        <f t="shared" si="72"/>
        <v>9.0452028305723006E-3</v>
      </c>
      <c r="AK54" s="52"/>
      <c r="AL54" s="417"/>
      <c r="AM54" s="417"/>
      <c r="AN54" s="400">
        <f>AN52+AN53</f>
        <v>21841.813674499997</v>
      </c>
      <c r="AO54" s="128"/>
      <c r="AP54" s="401">
        <f t="shared" si="73"/>
        <v>184.40187499999956</v>
      </c>
      <c r="AQ54" s="402">
        <f t="shared" si="74"/>
        <v>8.514492715341767E-3</v>
      </c>
      <c r="AR54" s="403"/>
    </row>
    <row r="55" spans="1:44" ht="12" customHeight="1">
      <c r="A55" s="551"/>
      <c r="B55" s="628" t="s">
        <v>273</v>
      </c>
      <c r="C55" s="615"/>
      <c r="D55" s="615"/>
      <c r="E55" s="320"/>
      <c r="F55" s="455"/>
      <c r="G55" s="128"/>
      <c r="H55" s="492">
        <f>F55*H52</f>
        <v>0</v>
      </c>
      <c r="I55" s="417"/>
      <c r="J55" s="417"/>
      <c r="K55" s="417"/>
      <c r="L55" s="512">
        <f>J55*L52</f>
        <v>0</v>
      </c>
      <c r="M55" s="128"/>
      <c r="N55" s="457">
        <f t="shared" si="65"/>
        <v>0</v>
      </c>
      <c r="O55" s="459" t="str">
        <f t="shared" si="66"/>
        <v/>
      </c>
      <c r="P55" s="52"/>
      <c r="Q55" s="417"/>
      <c r="R55" s="417"/>
      <c r="S55" s="512">
        <f>Q55*S52</f>
        <v>0</v>
      </c>
      <c r="T55" s="128"/>
      <c r="U55" s="457">
        <f t="shared" si="67"/>
        <v>0</v>
      </c>
      <c r="V55" s="459" t="str">
        <f t="shared" si="68"/>
        <v/>
      </c>
      <c r="W55" s="52"/>
      <c r="X55" s="417"/>
      <c r="Y55" s="417"/>
      <c r="Z55" s="512">
        <f>X55*Z52</f>
        <v>0</v>
      </c>
      <c r="AA55" s="128"/>
      <c r="AB55" s="457">
        <f t="shared" si="69"/>
        <v>0</v>
      </c>
      <c r="AC55" s="459" t="str">
        <f t="shared" si="70"/>
        <v/>
      </c>
      <c r="AD55" s="52"/>
      <c r="AE55" s="417"/>
      <c r="AF55" s="417"/>
      <c r="AG55" s="512">
        <f>AE55*AG52</f>
        <v>0</v>
      </c>
      <c r="AH55" s="128"/>
      <c r="AI55" s="457">
        <f t="shared" si="71"/>
        <v>0</v>
      </c>
      <c r="AJ55" s="459" t="str">
        <f t="shared" si="72"/>
        <v/>
      </c>
      <c r="AK55" s="52"/>
      <c r="AL55" s="417"/>
      <c r="AM55" s="417"/>
      <c r="AN55" s="512">
        <f>AL55*AN52</f>
        <v>0</v>
      </c>
      <c r="AO55" s="128"/>
      <c r="AP55" s="457">
        <f t="shared" si="73"/>
        <v>0</v>
      </c>
      <c r="AQ55" s="459" t="str">
        <f t="shared" si="74"/>
        <v/>
      </c>
      <c r="AR55" s="460"/>
    </row>
    <row r="56" spans="1:44" ht="12" customHeight="1">
      <c r="A56" s="551"/>
      <c r="B56" s="627" t="s">
        <v>318</v>
      </c>
      <c r="C56" s="613"/>
      <c r="D56" s="613"/>
      <c r="E56" s="461"/>
      <c r="F56" s="462"/>
      <c r="G56" s="493"/>
      <c r="H56" s="494">
        <f>H54-H55</f>
        <v>21275.968801750001</v>
      </c>
      <c r="I56" s="463"/>
      <c r="J56" s="463"/>
      <c r="K56" s="463"/>
      <c r="L56" s="464">
        <f>L54-L55</f>
        <v>21632.5320245</v>
      </c>
      <c r="M56" s="465"/>
      <c r="N56" s="466">
        <f t="shared" si="65"/>
        <v>356.56322274999911</v>
      </c>
      <c r="O56" s="467">
        <f t="shared" si="66"/>
        <v>1.6758965294246479E-2</v>
      </c>
      <c r="P56" s="52"/>
      <c r="Q56" s="463"/>
      <c r="R56" s="463"/>
      <c r="S56" s="464">
        <f>S54-S55</f>
        <v>21222.940924499999</v>
      </c>
      <c r="T56" s="465"/>
      <c r="U56" s="466">
        <f t="shared" si="67"/>
        <v>-409.59110000000146</v>
      </c>
      <c r="V56" s="467">
        <f t="shared" si="68"/>
        <v>-1.8934034145245578E-2</v>
      </c>
      <c r="W56" s="52"/>
      <c r="X56" s="463"/>
      <c r="Y56" s="463"/>
      <c r="Z56" s="464">
        <f>Z54-Z55</f>
        <v>21463.272149499997</v>
      </c>
      <c r="AA56" s="465"/>
      <c r="AB56" s="466">
        <f t="shared" si="69"/>
        <v>240.33122499999808</v>
      </c>
      <c r="AC56" s="467">
        <f t="shared" si="70"/>
        <v>1.1324124486562418E-2</v>
      </c>
      <c r="AD56" s="52"/>
      <c r="AE56" s="463"/>
      <c r="AF56" s="463"/>
      <c r="AG56" s="464">
        <f>AG54-AG55</f>
        <v>21657.411799499998</v>
      </c>
      <c r="AH56" s="465"/>
      <c r="AI56" s="466">
        <f t="shared" si="71"/>
        <v>194.13965000000098</v>
      </c>
      <c r="AJ56" s="467">
        <f t="shared" si="72"/>
        <v>9.0452028305723006E-3</v>
      </c>
      <c r="AK56" s="52"/>
      <c r="AL56" s="463"/>
      <c r="AM56" s="463"/>
      <c r="AN56" s="464">
        <f>AN54-AN55</f>
        <v>21841.813674499997</v>
      </c>
      <c r="AO56" s="465"/>
      <c r="AP56" s="466">
        <f t="shared" si="73"/>
        <v>184.40187499999956</v>
      </c>
      <c r="AQ56" s="467">
        <f t="shared" si="74"/>
        <v>8.514492715341767E-3</v>
      </c>
      <c r="AR56" s="468"/>
    </row>
    <row r="57" spans="1:44" ht="12" customHeight="1">
      <c r="A57" s="551"/>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 customHeight="1">
      <c r="A58" s="551"/>
      <c r="B58" s="514" t="s">
        <v>319</v>
      </c>
      <c r="C58" s="515"/>
      <c r="D58" s="515"/>
      <c r="E58" s="515"/>
      <c r="F58" s="516"/>
      <c r="G58" s="517"/>
      <c r="H58" s="518">
        <f>SUM(H49:H50,H42,H43:H45)</f>
        <v>5027.1902</v>
      </c>
      <c r="I58" s="519"/>
      <c r="J58" s="520"/>
      <c r="K58" s="520"/>
      <c r="L58" s="518">
        <f>SUM(L49:L50,L42,L43:L45)</f>
        <v>5350.7428</v>
      </c>
      <c r="M58" s="521"/>
      <c r="N58" s="522">
        <f t="shared" ref="N58:N62" si="75">L58-H58</f>
        <v>323.55259999999998</v>
      </c>
      <c r="O58" s="523">
        <f t="shared" ref="O58:O62" si="76">IF((H58)=0,"",(N58/H58))</f>
        <v>6.4360524891220544E-2</v>
      </c>
      <c r="P58" s="513"/>
      <c r="Q58" s="520"/>
      <c r="R58" s="520"/>
      <c r="S58" s="518">
        <f>SUM(S49:S50,S42,S43:S45)</f>
        <v>4988.2728000000016</v>
      </c>
      <c r="T58" s="521"/>
      <c r="U58" s="522">
        <f t="shared" ref="U58:U62" si="77">S58-L58</f>
        <v>-362.46999999999844</v>
      </c>
      <c r="V58" s="523">
        <f t="shared" ref="V58:V62" si="78">IF((L58)=0,"",(U58/L58))</f>
        <v>-6.774199649439297E-2</v>
      </c>
      <c r="W58" s="513"/>
      <c r="X58" s="520"/>
      <c r="Y58" s="520"/>
      <c r="Z58" s="518">
        <f>SUM(Z49:Z50,Z42,Z43:Z45)</f>
        <v>5200.9552999999996</v>
      </c>
      <c r="AA58" s="521"/>
      <c r="AB58" s="522">
        <f t="shared" ref="AB58:AB62" si="79">Z58-S58</f>
        <v>212.68249999999807</v>
      </c>
      <c r="AC58" s="523">
        <f t="shared" ref="AC58:AC62" si="80">IF((S58)=0,"",(AB58/S58))</f>
        <v>4.2636501355739403E-2</v>
      </c>
      <c r="AD58" s="513"/>
      <c r="AE58" s="520"/>
      <c r="AF58" s="520"/>
      <c r="AG58" s="518">
        <f>SUM(AG49:AG50,AG42,AG43:AG45)</f>
        <v>5372.7603000000017</v>
      </c>
      <c r="AH58" s="521"/>
      <c r="AI58" s="522">
        <f t="shared" ref="AI58:AI62" si="81">AG58-Z58</f>
        <v>171.80500000000211</v>
      </c>
      <c r="AJ58" s="523">
        <f t="shared" ref="AJ58:AJ62" si="82">IF((Z58)=0,"",(AI58/Z58))</f>
        <v>3.3033354468553523E-2</v>
      </c>
      <c r="AK58" s="513"/>
      <c r="AL58" s="520"/>
      <c r="AM58" s="520"/>
      <c r="AN58" s="518">
        <f>SUM(AN49:AN50,AN42,AN43:AN45)</f>
        <v>5535.9478000000008</v>
      </c>
      <c r="AO58" s="521"/>
      <c r="AP58" s="522">
        <f t="shared" ref="AP58:AP62" si="83">AN58-AG58</f>
        <v>163.18749999999909</v>
      </c>
      <c r="AQ58" s="523">
        <f t="shared" ref="AQ58:AQ62" si="84">IF((AG58)=0,"",(AP58/AG58))</f>
        <v>3.0373121242724906E-2</v>
      </c>
      <c r="AR58" s="524"/>
    </row>
    <row r="59" spans="1:44" ht="12" customHeight="1">
      <c r="A59" s="551"/>
      <c r="B59" s="525" t="s">
        <v>316</v>
      </c>
      <c r="C59" s="515"/>
      <c r="D59" s="515"/>
      <c r="E59" s="515"/>
      <c r="F59" s="516">
        <v>0.13</v>
      </c>
      <c r="G59" s="517"/>
      <c r="H59" s="526">
        <f>H58*F59</f>
        <v>653.53472599999998</v>
      </c>
      <c r="I59" s="527"/>
      <c r="J59" s="516">
        <v>0.13</v>
      </c>
      <c r="K59" s="528"/>
      <c r="L59" s="529">
        <f>L58*J59</f>
        <v>695.59656400000006</v>
      </c>
      <c r="M59" s="530"/>
      <c r="N59" s="531">
        <f t="shared" si="75"/>
        <v>42.06183800000008</v>
      </c>
      <c r="O59" s="532">
        <f t="shared" si="76"/>
        <v>6.4360524891220669E-2</v>
      </c>
      <c r="P59" s="513"/>
      <c r="Q59" s="516">
        <v>0.13</v>
      </c>
      <c r="R59" s="528"/>
      <c r="S59" s="529">
        <f>S58*Q59</f>
        <v>648.47546400000022</v>
      </c>
      <c r="T59" s="530"/>
      <c r="U59" s="531">
        <f t="shared" si="77"/>
        <v>-47.121099999999842</v>
      </c>
      <c r="V59" s="532">
        <f t="shared" si="78"/>
        <v>-6.7741996494393025E-2</v>
      </c>
      <c r="W59" s="513"/>
      <c r="X59" s="516">
        <v>0.13</v>
      </c>
      <c r="Y59" s="528"/>
      <c r="Z59" s="529">
        <f>Z58*X59</f>
        <v>676.124189</v>
      </c>
      <c r="AA59" s="530"/>
      <c r="AB59" s="531">
        <f t="shared" si="79"/>
        <v>27.648724999999786</v>
      </c>
      <c r="AC59" s="532">
        <f t="shared" si="80"/>
        <v>4.2636501355739459E-2</v>
      </c>
      <c r="AD59" s="513"/>
      <c r="AE59" s="516">
        <v>0.13</v>
      </c>
      <c r="AF59" s="528"/>
      <c r="AG59" s="529">
        <f>AG58*AE59</f>
        <v>698.45883900000024</v>
      </c>
      <c r="AH59" s="530"/>
      <c r="AI59" s="531">
        <f t="shared" si="81"/>
        <v>22.334650000000238</v>
      </c>
      <c r="AJ59" s="532">
        <f t="shared" si="82"/>
        <v>3.3033354468553468E-2</v>
      </c>
      <c r="AK59" s="513"/>
      <c r="AL59" s="516">
        <v>0.13</v>
      </c>
      <c r="AM59" s="528"/>
      <c r="AN59" s="529">
        <f>AN58*AL59</f>
        <v>719.67321400000014</v>
      </c>
      <c r="AO59" s="530"/>
      <c r="AP59" s="531">
        <f t="shared" si="83"/>
        <v>21.214374999999905</v>
      </c>
      <c r="AQ59" s="532">
        <f t="shared" si="84"/>
        <v>3.0373121242724937E-2</v>
      </c>
      <c r="AR59" s="533"/>
    </row>
    <row r="60" spans="1:44" ht="12" customHeight="1">
      <c r="A60" s="551"/>
      <c r="B60" s="534" t="s">
        <v>385</v>
      </c>
      <c r="C60" s="515"/>
      <c r="D60" s="515"/>
      <c r="E60" s="515"/>
      <c r="F60" s="535"/>
      <c r="G60" s="530"/>
      <c r="H60" s="526">
        <f>H58+H59</f>
        <v>5680.7249259999999</v>
      </c>
      <c r="I60" s="527"/>
      <c r="J60" s="527"/>
      <c r="K60" s="527"/>
      <c r="L60" s="529">
        <f>L58+L59</f>
        <v>6046.3393640000004</v>
      </c>
      <c r="M60" s="530"/>
      <c r="N60" s="531">
        <f t="shared" si="75"/>
        <v>365.61443800000052</v>
      </c>
      <c r="O60" s="532">
        <f t="shared" si="76"/>
        <v>6.4360524891220641E-2</v>
      </c>
      <c r="P60" s="513"/>
      <c r="Q60" s="527"/>
      <c r="R60" s="527"/>
      <c r="S60" s="529">
        <f>S58+S59</f>
        <v>5636.7482640000017</v>
      </c>
      <c r="T60" s="530"/>
      <c r="U60" s="531">
        <f t="shared" si="77"/>
        <v>-409.59109999999873</v>
      </c>
      <c r="V60" s="532">
        <f t="shared" si="78"/>
        <v>-6.7741996494393053E-2</v>
      </c>
      <c r="W60" s="513"/>
      <c r="X60" s="527"/>
      <c r="Y60" s="527"/>
      <c r="Z60" s="529">
        <f>Z58+Z59</f>
        <v>5877.0794889999997</v>
      </c>
      <c r="AA60" s="530"/>
      <c r="AB60" s="531">
        <f t="shared" si="79"/>
        <v>240.33122499999808</v>
      </c>
      <c r="AC60" s="532">
        <f t="shared" si="80"/>
        <v>4.2636501355739452E-2</v>
      </c>
      <c r="AD60" s="513"/>
      <c r="AE60" s="527"/>
      <c r="AF60" s="527"/>
      <c r="AG60" s="529">
        <f>AG58+AG59</f>
        <v>6071.2191390000016</v>
      </c>
      <c r="AH60" s="530"/>
      <c r="AI60" s="531">
        <f t="shared" si="81"/>
        <v>194.13965000000189</v>
      </c>
      <c r="AJ60" s="532">
        <f t="shared" si="82"/>
        <v>3.303335446855344E-2</v>
      </c>
      <c r="AK60" s="513"/>
      <c r="AL60" s="527"/>
      <c r="AM60" s="527"/>
      <c r="AN60" s="529">
        <f>AN58+AN59</f>
        <v>6255.6210140000012</v>
      </c>
      <c r="AO60" s="530"/>
      <c r="AP60" s="531">
        <f t="shared" si="83"/>
        <v>184.40187499999956</v>
      </c>
      <c r="AQ60" s="532">
        <f t="shared" si="84"/>
        <v>3.0373121242725006E-2</v>
      </c>
      <c r="AR60" s="533"/>
    </row>
    <row r="61" spans="1:44" ht="12" customHeight="1">
      <c r="A61" s="551"/>
      <c r="B61" s="636" t="s">
        <v>273</v>
      </c>
      <c r="C61" s="615"/>
      <c r="D61" s="615"/>
      <c r="E61" s="515"/>
      <c r="F61" s="535"/>
      <c r="G61" s="530"/>
      <c r="H61" s="536">
        <f>F61*H58</f>
        <v>0</v>
      </c>
      <c r="I61" s="527"/>
      <c r="J61" s="527"/>
      <c r="K61" s="527"/>
      <c r="L61" s="537">
        <f>J61*L58</f>
        <v>0</v>
      </c>
      <c r="M61" s="530"/>
      <c r="N61" s="538">
        <f t="shared" si="75"/>
        <v>0</v>
      </c>
      <c r="O61" s="539" t="str">
        <f t="shared" si="76"/>
        <v/>
      </c>
      <c r="P61" s="513"/>
      <c r="Q61" s="527"/>
      <c r="R61" s="527"/>
      <c r="S61" s="537">
        <f>Q61*S58</f>
        <v>0</v>
      </c>
      <c r="T61" s="530"/>
      <c r="U61" s="538">
        <f t="shared" si="77"/>
        <v>0</v>
      </c>
      <c r="V61" s="539" t="str">
        <f t="shared" si="78"/>
        <v/>
      </c>
      <c r="W61" s="513"/>
      <c r="X61" s="527"/>
      <c r="Y61" s="527"/>
      <c r="Z61" s="537">
        <f>X61*Z58</f>
        <v>0</v>
      </c>
      <c r="AA61" s="530"/>
      <c r="AB61" s="538">
        <f t="shared" si="79"/>
        <v>0</v>
      </c>
      <c r="AC61" s="539" t="str">
        <f t="shared" si="80"/>
        <v/>
      </c>
      <c r="AD61" s="513"/>
      <c r="AE61" s="527"/>
      <c r="AF61" s="527"/>
      <c r="AG61" s="537">
        <f>AE61*AG58</f>
        <v>0</v>
      </c>
      <c r="AH61" s="530"/>
      <c r="AI61" s="538">
        <f t="shared" si="81"/>
        <v>0</v>
      </c>
      <c r="AJ61" s="539" t="str">
        <f t="shared" si="82"/>
        <v/>
      </c>
      <c r="AK61" s="513"/>
      <c r="AL61" s="527"/>
      <c r="AM61" s="527"/>
      <c r="AN61" s="537">
        <f>AL61*AN58</f>
        <v>0</v>
      </c>
      <c r="AO61" s="530"/>
      <c r="AP61" s="538">
        <f t="shared" si="83"/>
        <v>0</v>
      </c>
      <c r="AQ61" s="539" t="str">
        <f t="shared" si="84"/>
        <v/>
      </c>
      <c r="AR61" s="540"/>
    </row>
    <row r="62" spans="1:44" ht="12" customHeight="1">
      <c r="A62" s="551"/>
      <c r="B62" s="635" t="s">
        <v>321</v>
      </c>
      <c r="C62" s="613"/>
      <c r="D62" s="613"/>
      <c r="E62" s="541"/>
      <c r="F62" s="542"/>
      <c r="G62" s="543"/>
      <c r="H62" s="544">
        <f>H60-H61</f>
        <v>5680.7249259999999</v>
      </c>
      <c r="I62" s="545"/>
      <c r="J62" s="545"/>
      <c r="K62" s="545"/>
      <c r="L62" s="546">
        <f>L60-L61</f>
        <v>6046.3393640000004</v>
      </c>
      <c r="M62" s="547"/>
      <c r="N62" s="548">
        <f t="shared" si="75"/>
        <v>365.61443800000052</v>
      </c>
      <c r="O62" s="549">
        <f t="shared" si="76"/>
        <v>6.4360524891220641E-2</v>
      </c>
      <c r="P62" s="513"/>
      <c r="Q62" s="545"/>
      <c r="R62" s="545"/>
      <c r="S62" s="546">
        <f>S60-S61</f>
        <v>5636.7482640000017</v>
      </c>
      <c r="T62" s="547"/>
      <c r="U62" s="548">
        <f t="shared" si="77"/>
        <v>-409.59109999999873</v>
      </c>
      <c r="V62" s="549">
        <f t="shared" si="78"/>
        <v>-6.7741996494393053E-2</v>
      </c>
      <c r="W62" s="513"/>
      <c r="X62" s="545"/>
      <c r="Y62" s="545"/>
      <c r="Z62" s="546">
        <f>Z60-Z61</f>
        <v>5877.0794889999997</v>
      </c>
      <c r="AA62" s="547"/>
      <c r="AB62" s="548">
        <f t="shared" si="79"/>
        <v>240.33122499999808</v>
      </c>
      <c r="AC62" s="549">
        <f t="shared" si="80"/>
        <v>4.2636501355739452E-2</v>
      </c>
      <c r="AD62" s="513"/>
      <c r="AE62" s="545"/>
      <c r="AF62" s="545"/>
      <c r="AG62" s="546">
        <f>AG60-AG61</f>
        <v>6071.2191390000016</v>
      </c>
      <c r="AH62" s="547"/>
      <c r="AI62" s="548">
        <f t="shared" si="81"/>
        <v>194.13965000000189</v>
      </c>
      <c r="AJ62" s="549">
        <f t="shared" si="82"/>
        <v>3.303335446855344E-2</v>
      </c>
      <c r="AK62" s="513"/>
      <c r="AL62" s="545"/>
      <c r="AM62" s="545"/>
      <c r="AN62" s="546">
        <f>AN60-AN61</f>
        <v>6255.6210140000012</v>
      </c>
      <c r="AO62" s="547"/>
      <c r="AP62" s="548">
        <f t="shared" si="83"/>
        <v>184.40187499999956</v>
      </c>
      <c r="AQ62" s="549">
        <f t="shared" si="84"/>
        <v>3.0373121242725006E-2</v>
      </c>
      <c r="AR62" s="550"/>
    </row>
    <row r="63" spans="1:44" ht="12" customHeight="1">
      <c r="A63" s="551"/>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 customHeight="1">
      <c r="A64" s="551"/>
      <c r="B64" s="52"/>
      <c r="C64" s="52"/>
      <c r="D64" s="52"/>
      <c r="E64" s="52"/>
      <c r="F64" s="52"/>
      <c r="G64" s="52"/>
      <c r="H64" s="52">
        <v>17559.439999999999</v>
      </c>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 customHeight="1">
      <c r="A65" s="551"/>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479" t="s">
        <v>386</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A00-000000000000}">
      <formula1>"TOU,non-TOU"</formula1>
    </dataValidation>
    <dataValidation type="list" allowBlank="1" showErrorMessage="1" sqref="E15:E28 E30:E38 E40:E41 E43:E51 E57 E63" xr:uid="{00000000-0002-0000-1A00-000001000000}">
      <formula1>#REF!</formula1>
    </dataValidation>
    <dataValidation type="list" allowBlank="1" showInputMessage="1" showErrorMessage="1" prompt="Select Charge Unit - monthly, per kWh, per kW" sqref="D15:D28 D30:D38 D40:D41 D43:D51 D57 D63" xr:uid="{00000000-0002-0000-1A00-000002000000}">
      <formula1>"Monthly,per kWh,per kW"</formula1>
    </dataValidation>
  </dataValidations>
  <pageMargins left="0.74803149606299213" right="0.74803149606299213" top="0.98425196850393704" bottom="0.98425196850393704"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X1000"/>
  <sheetViews>
    <sheetView showGridLines="0" workbookViewId="0">
      <selection activeCell="L59" sqref="L59"/>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8.7109375" customWidth="1"/>
    <col min="8" max="8" width="12.28515625" customWidth="1"/>
    <col min="9" max="9" width="0.7109375" customWidth="1"/>
    <col min="10" max="10" width="9.28515625" customWidth="1"/>
    <col min="11" max="11" width="8.7109375" customWidth="1"/>
    <col min="12" max="12" width="12.28515625" customWidth="1"/>
    <col min="13" max="13" width="0.42578125" customWidth="1"/>
    <col min="14" max="14" width="9.42578125" customWidth="1"/>
    <col min="15" max="15" width="10" customWidth="1"/>
    <col min="16" max="16" width="0.42578125" customWidth="1"/>
    <col min="17" max="17" width="9.28515625" customWidth="1"/>
    <col min="18" max="18" width="8.7109375" customWidth="1"/>
    <col min="19" max="19" width="12.28515625" customWidth="1"/>
    <col min="20" max="20" width="0.42578125" customWidth="1"/>
    <col min="21" max="21" width="9.42578125" customWidth="1"/>
    <col min="22" max="22" width="10" customWidth="1"/>
    <col min="23" max="23" width="0.42578125" customWidth="1"/>
    <col min="24" max="24" width="9.28515625" customWidth="1"/>
    <col min="25" max="25" width="8.710937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8.710937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8.710937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2"/>
      <c r="B1" s="52"/>
      <c r="C1" s="52"/>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3"/>
      <c r="AT1" s="3"/>
      <c r="AU1" s="3"/>
      <c r="AV1" s="3"/>
      <c r="AW1" s="3"/>
      <c r="AX1" s="3"/>
    </row>
    <row r="2" spans="1:50" ht="12" customHeight="1">
      <c r="A2" s="52"/>
      <c r="B2" s="52"/>
      <c r="C2" s="379"/>
      <c r="D2" s="379"/>
      <c r="E2" s="379"/>
      <c r="F2" s="379" t="s">
        <v>291</v>
      </c>
      <c r="G2" s="379"/>
      <c r="H2" s="379"/>
      <c r="I2" s="379"/>
      <c r="J2" s="379"/>
      <c r="K2" s="379"/>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3"/>
      <c r="AT2" s="3"/>
      <c r="AU2" s="3"/>
      <c r="AV2" s="3"/>
      <c r="AW2" s="3"/>
      <c r="AX2" s="3"/>
    </row>
    <row r="3" spans="1:50" ht="12" customHeight="1">
      <c r="A3" s="52"/>
      <c r="B3" s="52"/>
      <c r="C3" s="379"/>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c r="AU3" s="3"/>
      <c r="AV3" s="3"/>
      <c r="AW3" s="3"/>
      <c r="AX3" s="3"/>
    </row>
    <row r="4" spans="1:50" ht="12" customHeight="1">
      <c r="A4" s="52"/>
      <c r="B4" s="52"/>
      <c r="C4" s="52"/>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c r="AU4" s="3"/>
      <c r="AV4" s="3"/>
      <c r="AW4" s="3"/>
      <c r="AX4" s="3"/>
    </row>
    <row r="5" spans="1:50" ht="12" customHeight="1">
      <c r="A5" s="52"/>
      <c r="B5" s="52"/>
      <c r="C5" s="52"/>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c r="AU5" s="3"/>
      <c r="AV5" s="3"/>
      <c r="AW5" s="3"/>
      <c r="AX5" s="3"/>
    </row>
    <row r="6" spans="1:50" ht="12"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c r="AW6" s="3"/>
      <c r="AX6" s="3"/>
    </row>
    <row r="7" spans="1:50"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c r="AV7" s="3"/>
      <c r="AW7" s="3"/>
      <c r="AX7" s="3"/>
    </row>
    <row r="8" spans="1:50" ht="12"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3"/>
      <c r="AT8" s="3"/>
      <c r="AU8" s="3"/>
      <c r="AV8" s="3"/>
      <c r="AW8" s="3"/>
      <c r="AX8" s="3"/>
    </row>
    <row r="9" spans="1:50" ht="12" customHeight="1">
      <c r="A9" s="52"/>
      <c r="B9" s="383"/>
      <c r="C9" s="52"/>
      <c r="D9" s="306" t="s">
        <v>297</v>
      </c>
      <c r="E9" s="306"/>
      <c r="F9" s="386">
        <v>51000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3"/>
      <c r="AT9" s="3"/>
      <c r="AU9" s="3"/>
      <c r="AV9" s="3"/>
      <c r="AW9" s="3"/>
      <c r="AX9" s="3"/>
    </row>
    <row r="10" spans="1:50" ht="12" customHeight="1">
      <c r="A10" s="52"/>
      <c r="B10" s="52"/>
      <c r="C10" s="52"/>
      <c r="D10" s="52"/>
      <c r="E10" s="52"/>
      <c r="F10" s="386">
        <v>250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3"/>
      <c r="AT10" s="3"/>
      <c r="AU10" s="3"/>
      <c r="AV10" s="3"/>
      <c r="AW10" s="3"/>
      <c r="AX10" s="3"/>
    </row>
    <row r="11" spans="1:50" ht="12" customHeight="1">
      <c r="A11" s="551"/>
      <c r="B11" s="52"/>
      <c r="C11" s="52"/>
      <c r="D11" s="3"/>
      <c r="E11" s="3"/>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
      <c r="AT11" s="3"/>
      <c r="AU11" s="3"/>
      <c r="AV11" s="3"/>
      <c r="AW11" s="3"/>
      <c r="AX11" s="3"/>
    </row>
    <row r="12" spans="1:50" ht="12" customHeight="1">
      <c r="A12" s="551"/>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
      <c r="AT12" s="3"/>
      <c r="AU12" s="3"/>
      <c r="AV12" s="3"/>
      <c r="AW12" s="3"/>
      <c r="AX12" s="3"/>
    </row>
    <row r="13" spans="1:50" ht="12" customHeight="1">
      <c r="A13" s="551"/>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
      <c r="AT13" s="3"/>
      <c r="AU13" s="3"/>
      <c r="AV13" s="3"/>
      <c r="AW13" s="3"/>
      <c r="AX13" s="3"/>
    </row>
    <row r="14" spans="1:50" ht="12" customHeight="1">
      <c r="A14" s="551"/>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
      <c r="AT14" s="3"/>
      <c r="AU14" s="3"/>
      <c r="AV14" s="3"/>
      <c r="AW14" s="3"/>
      <c r="AX14" s="3"/>
    </row>
    <row r="15" spans="1:50" ht="12" customHeight="1">
      <c r="A15" s="551"/>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34" si="13">Z15-S15</f>
        <v>0</v>
      </c>
      <c r="AC15" s="402">
        <f t="shared" ref="AC15:AC34"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c r="AS15" s="3"/>
      <c r="AT15" s="3"/>
      <c r="AU15" s="3"/>
      <c r="AV15" s="3"/>
      <c r="AW15" s="3"/>
      <c r="AX15" s="3"/>
    </row>
    <row r="16" spans="1:50" ht="12" customHeight="1">
      <c r="A16" s="551"/>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c r="AS16" s="3"/>
      <c r="AT16" s="3"/>
      <c r="AU16" s="3"/>
      <c r="AV16" s="3"/>
      <c r="AW16" s="3"/>
      <c r="AX16" s="3"/>
    </row>
    <row r="17" spans="1:50" ht="12" customHeight="1">
      <c r="A17" s="551"/>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250</v>
      </c>
      <c r="H17" s="400">
        <f t="shared" si="2"/>
        <v>0</v>
      </c>
      <c r="I17" s="128"/>
      <c r="J17" s="397">
        <f>IFERROR(VLOOKUP($C17,'Proposed Rates'!$B:$J,J$11,FALSE),0)</f>
        <v>0</v>
      </c>
      <c r="K17" s="415">
        <f t="shared" si="3"/>
        <v>250</v>
      </c>
      <c r="L17" s="400">
        <f t="shared" si="4"/>
        <v>0</v>
      </c>
      <c r="M17" s="128"/>
      <c r="N17" s="401">
        <f t="shared" si="5"/>
        <v>0</v>
      </c>
      <c r="O17" s="402" t="str">
        <f t="shared" si="6"/>
        <v/>
      </c>
      <c r="P17" s="52"/>
      <c r="Q17" s="397">
        <f>IFERROR(VLOOKUP($C17,'Proposed Rates'!$B:$J,Q$11,FALSE),0)</f>
        <v>0</v>
      </c>
      <c r="R17" s="415">
        <f t="shared" si="7"/>
        <v>250</v>
      </c>
      <c r="S17" s="400">
        <f t="shared" si="8"/>
        <v>0</v>
      </c>
      <c r="T17" s="128"/>
      <c r="U17" s="401">
        <f t="shared" si="9"/>
        <v>0</v>
      </c>
      <c r="V17" s="402" t="str">
        <f t="shared" si="10"/>
        <v/>
      </c>
      <c r="W17" s="52"/>
      <c r="X17" s="397">
        <f>IFERROR(VLOOKUP($C17,'Proposed Rates'!$B:$J,X$11,FALSE),0)</f>
        <v>0</v>
      </c>
      <c r="Y17" s="415">
        <f t="shared" si="11"/>
        <v>250</v>
      </c>
      <c r="Z17" s="400">
        <f t="shared" si="12"/>
        <v>0</v>
      </c>
      <c r="AA17" s="128"/>
      <c r="AB17" s="401">
        <f t="shared" si="13"/>
        <v>0</v>
      </c>
      <c r="AC17" s="402" t="str">
        <f t="shared" si="14"/>
        <v/>
      </c>
      <c r="AD17" s="52"/>
      <c r="AE17" s="397">
        <f>IFERROR(VLOOKUP($C17,'Proposed Rates'!$B:$J,AE$11,FALSE),0)</f>
        <v>0</v>
      </c>
      <c r="AF17" s="415">
        <f t="shared" si="15"/>
        <v>250</v>
      </c>
      <c r="AG17" s="400">
        <f t="shared" si="16"/>
        <v>0</v>
      </c>
      <c r="AH17" s="128"/>
      <c r="AI17" s="401">
        <f t="shared" si="17"/>
        <v>0</v>
      </c>
      <c r="AJ17" s="402" t="str">
        <f t="shared" si="18"/>
        <v/>
      </c>
      <c r="AK17" s="52"/>
      <c r="AL17" s="397">
        <f>IFERROR(VLOOKUP($C17,'Proposed Rates'!$B:$J,AL$11,FALSE),0)</f>
        <v>0</v>
      </c>
      <c r="AM17" s="415">
        <f t="shared" si="19"/>
        <v>250</v>
      </c>
      <c r="AN17" s="400">
        <f t="shared" si="20"/>
        <v>0</v>
      </c>
      <c r="AO17" s="128"/>
      <c r="AP17" s="401">
        <f t="shared" si="21"/>
        <v>0</v>
      </c>
      <c r="AQ17" s="402" t="str">
        <f t="shared" si="22"/>
        <v/>
      </c>
      <c r="AR17" s="403"/>
      <c r="AS17" s="3"/>
      <c r="AT17" s="3"/>
      <c r="AU17" s="3"/>
      <c r="AV17" s="3"/>
      <c r="AW17" s="3"/>
      <c r="AX17" s="3"/>
    </row>
    <row r="18" spans="1:50" ht="12" customHeight="1">
      <c r="A18" s="551"/>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250</v>
      </c>
      <c r="H18" s="400">
        <f t="shared" si="2"/>
        <v>0</v>
      </c>
      <c r="I18" s="128"/>
      <c r="J18" s="397">
        <f>IFERROR(VLOOKUP($C18,'Proposed Rates'!$B:$J,J$11,FALSE),0)</f>
        <v>0</v>
      </c>
      <c r="K18" s="415">
        <f t="shared" si="3"/>
        <v>250</v>
      </c>
      <c r="L18" s="400">
        <f t="shared" si="4"/>
        <v>0</v>
      </c>
      <c r="M18" s="128"/>
      <c r="N18" s="401">
        <f t="shared" si="5"/>
        <v>0</v>
      </c>
      <c r="O18" s="402" t="str">
        <f t="shared" si="6"/>
        <v/>
      </c>
      <c r="P18" s="52"/>
      <c r="Q18" s="397">
        <f>IFERROR(VLOOKUP($C18,'Proposed Rates'!$B:$J,Q$11,FALSE),0)</f>
        <v>0</v>
      </c>
      <c r="R18" s="415">
        <f t="shared" si="7"/>
        <v>250</v>
      </c>
      <c r="S18" s="400">
        <f t="shared" si="8"/>
        <v>0</v>
      </c>
      <c r="T18" s="128"/>
      <c r="U18" s="401">
        <f t="shared" si="9"/>
        <v>0</v>
      </c>
      <c r="V18" s="402" t="str">
        <f t="shared" si="10"/>
        <v/>
      </c>
      <c r="W18" s="52"/>
      <c r="X18" s="397">
        <f>IFERROR(VLOOKUP($C18,'Proposed Rates'!$B:$J,X$11,FALSE),0)</f>
        <v>0</v>
      </c>
      <c r="Y18" s="415">
        <f t="shared" si="11"/>
        <v>250</v>
      </c>
      <c r="Z18" s="400">
        <f t="shared" si="12"/>
        <v>0</v>
      </c>
      <c r="AA18" s="128"/>
      <c r="AB18" s="401">
        <f t="shared" si="13"/>
        <v>0</v>
      </c>
      <c r="AC18" s="402" t="str">
        <f t="shared" si="14"/>
        <v/>
      </c>
      <c r="AD18" s="52"/>
      <c r="AE18" s="397">
        <f>IFERROR(VLOOKUP($C18,'Proposed Rates'!$B:$J,AE$11,FALSE),0)</f>
        <v>0</v>
      </c>
      <c r="AF18" s="415">
        <f t="shared" si="15"/>
        <v>250</v>
      </c>
      <c r="AG18" s="400">
        <f t="shared" si="16"/>
        <v>0</v>
      </c>
      <c r="AH18" s="128"/>
      <c r="AI18" s="401">
        <f t="shared" si="17"/>
        <v>0</v>
      </c>
      <c r="AJ18" s="402" t="str">
        <f t="shared" si="18"/>
        <v/>
      </c>
      <c r="AK18" s="52"/>
      <c r="AL18" s="397">
        <f>IFERROR(VLOOKUP($C18,'Proposed Rates'!$B:$J,AL$11,FALSE),0)</f>
        <v>0</v>
      </c>
      <c r="AM18" s="415">
        <f t="shared" si="19"/>
        <v>250</v>
      </c>
      <c r="AN18" s="400">
        <f t="shared" si="20"/>
        <v>0</v>
      </c>
      <c r="AO18" s="128"/>
      <c r="AP18" s="401">
        <f t="shared" si="21"/>
        <v>0</v>
      </c>
      <c r="AQ18" s="402" t="str">
        <f t="shared" si="22"/>
        <v/>
      </c>
      <c r="AR18" s="403"/>
      <c r="AS18" s="3"/>
      <c r="AT18" s="3"/>
      <c r="AU18" s="3"/>
      <c r="AV18" s="3"/>
      <c r="AW18" s="3"/>
      <c r="AX18" s="3"/>
    </row>
    <row r="19" spans="1:50" ht="12" customHeight="1">
      <c r="A19" s="551"/>
      <c r="B19" s="320" t="s">
        <v>59</v>
      </c>
      <c r="C19" s="395" t="str">
        <f t="shared" si="0"/>
        <v>General Service 50 to 1,499 KW.Distribution Volumetric Rate</v>
      </c>
      <c r="D19" s="396" t="s">
        <v>377</v>
      </c>
      <c r="E19" s="320"/>
      <c r="F19" s="414">
        <f>IFERROR(VLOOKUP($C19,'Proposed Rates'!$B:$J,F$11,FALSE),0)</f>
        <v>6.5552999999999999</v>
      </c>
      <c r="G19" s="415">
        <f t="shared" si="1"/>
        <v>250</v>
      </c>
      <c r="H19" s="400">
        <f t="shared" si="2"/>
        <v>1638.825</v>
      </c>
      <c r="I19" s="128"/>
      <c r="J19" s="414">
        <f>IFERROR(VLOOKUP($C19,'Proposed Rates'!$B:$J,J$11,FALSE),0)</f>
        <v>8.0635999999999992</v>
      </c>
      <c r="K19" s="415">
        <f t="shared" si="3"/>
        <v>250</v>
      </c>
      <c r="L19" s="400">
        <f t="shared" si="4"/>
        <v>2015.8999999999999</v>
      </c>
      <c r="M19" s="128"/>
      <c r="N19" s="401">
        <f t="shared" si="5"/>
        <v>377.07499999999982</v>
      </c>
      <c r="O19" s="402">
        <f t="shared" si="6"/>
        <v>0.2300886305737341</v>
      </c>
      <c r="P19" s="52"/>
      <c r="Q19" s="414">
        <f>IFERROR(VLOOKUP($C19,'Proposed Rates'!$B:$J,Q$11,FALSE),0)</f>
        <v>8.7552000000000003</v>
      </c>
      <c r="R19" s="415">
        <f t="shared" si="7"/>
        <v>250</v>
      </c>
      <c r="S19" s="400">
        <f t="shared" si="8"/>
        <v>2188.8000000000002</v>
      </c>
      <c r="T19" s="128"/>
      <c r="U19" s="401">
        <f t="shared" si="9"/>
        <v>172.90000000000032</v>
      </c>
      <c r="V19" s="402">
        <f t="shared" si="10"/>
        <v>8.5768143261074625E-2</v>
      </c>
      <c r="W19" s="52"/>
      <c r="X19" s="414">
        <f>IFERROR(VLOOKUP($C19,'Proposed Rates'!$B:$J,X$11,FALSE),0)</f>
        <v>9.6349999999999998</v>
      </c>
      <c r="Y19" s="415">
        <f t="shared" si="11"/>
        <v>250</v>
      </c>
      <c r="Z19" s="400">
        <f t="shared" si="12"/>
        <v>2408.75</v>
      </c>
      <c r="AA19" s="128"/>
      <c r="AB19" s="401">
        <f t="shared" si="13"/>
        <v>219.94999999999982</v>
      </c>
      <c r="AC19" s="402">
        <f t="shared" si="14"/>
        <v>0.1004888523391812</v>
      </c>
      <c r="AD19" s="52"/>
      <c r="AE19" s="414">
        <f>IFERROR(VLOOKUP($C19,'Proposed Rates'!$B:$J,AE$11,FALSE),0)</f>
        <v>10.3217</v>
      </c>
      <c r="AF19" s="415">
        <f t="shared" si="15"/>
        <v>250</v>
      </c>
      <c r="AG19" s="400">
        <f t="shared" si="16"/>
        <v>2580.4250000000002</v>
      </c>
      <c r="AH19" s="128"/>
      <c r="AI19" s="401">
        <f t="shared" si="17"/>
        <v>171.67500000000018</v>
      </c>
      <c r="AJ19" s="402">
        <f t="shared" si="18"/>
        <v>7.1271406331084669E-2</v>
      </c>
      <c r="AK19" s="52"/>
      <c r="AL19" s="414">
        <f>IFERROR(VLOOKUP($C19,'Proposed Rates'!$B:$J,AL$11,FALSE),0)</f>
        <v>10.9739</v>
      </c>
      <c r="AM19" s="415">
        <f t="shared" si="19"/>
        <v>250</v>
      </c>
      <c r="AN19" s="400">
        <f t="shared" si="20"/>
        <v>2743.4749999999999</v>
      </c>
      <c r="AO19" s="128"/>
      <c r="AP19" s="401">
        <f t="shared" si="21"/>
        <v>163.04999999999973</v>
      </c>
      <c r="AQ19" s="402">
        <f t="shared" si="22"/>
        <v>6.3187265663601819E-2</v>
      </c>
      <c r="AR19" s="403"/>
      <c r="AS19" s="3"/>
      <c r="AT19" s="3"/>
      <c r="AU19" s="3"/>
      <c r="AV19" s="3"/>
      <c r="AW19" s="3"/>
      <c r="AX19" s="3"/>
    </row>
    <row r="20" spans="1:50" ht="12" customHeight="1">
      <c r="A20" s="551"/>
      <c r="B20" s="320" t="s">
        <v>309</v>
      </c>
      <c r="C20" s="395" t="str">
        <f t="shared" si="0"/>
        <v>General Service 50 to 1,499 KW.Smart Meter Disposition Rider</v>
      </c>
      <c r="D20" s="396" t="s">
        <v>308</v>
      </c>
      <c r="E20" s="320"/>
      <c r="F20" s="397">
        <f>IFERROR(VLOOKUP($C20,'Proposed Rates'!$B:$J,F$11,FALSE),0)</f>
        <v>0</v>
      </c>
      <c r="G20" s="415">
        <f t="shared" si="1"/>
        <v>51000</v>
      </c>
      <c r="H20" s="400">
        <f t="shared" si="2"/>
        <v>0</v>
      </c>
      <c r="I20" s="128"/>
      <c r="J20" s="397">
        <f>IFERROR(VLOOKUP($C20,'Proposed Rates'!$B:$J,J$11,FALSE),0)</f>
        <v>0</v>
      </c>
      <c r="K20" s="415">
        <f t="shared" si="3"/>
        <v>51000</v>
      </c>
      <c r="L20" s="400">
        <f t="shared" si="4"/>
        <v>0</v>
      </c>
      <c r="M20" s="128"/>
      <c r="N20" s="401">
        <f t="shared" si="5"/>
        <v>0</v>
      </c>
      <c r="O20" s="402" t="str">
        <f t="shared" si="6"/>
        <v/>
      </c>
      <c r="P20" s="52"/>
      <c r="Q20" s="397">
        <f>IFERROR(VLOOKUP($C20,'Proposed Rates'!$B:$J,Q$11,FALSE),0)</f>
        <v>0</v>
      </c>
      <c r="R20" s="415">
        <f t="shared" si="7"/>
        <v>51000</v>
      </c>
      <c r="S20" s="400">
        <f t="shared" si="8"/>
        <v>0</v>
      </c>
      <c r="T20" s="128"/>
      <c r="U20" s="401">
        <f t="shared" si="9"/>
        <v>0</v>
      </c>
      <c r="V20" s="402" t="str">
        <f t="shared" si="10"/>
        <v/>
      </c>
      <c r="W20" s="52"/>
      <c r="X20" s="397">
        <f>IFERROR(VLOOKUP($C20,'Proposed Rates'!$B:$J,X$11,FALSE),0)</f>
        <v>0</v>
      </c>
      <c r="Y20" s="415">
        <f t="shared" si="11"/>
        <v>51000</v>
      </c>
      <c r="Z20" s="400">
        <f t="shared" si="12"/>
        <v>0</v>
      </c>
      <c r="AA20" s="128"/>
      <c r="AB20" s="401">
        <f t="shared" si="13"/>
        <v>0</v>
      </c>
      <c r="AC20" s="402" t="str">
        <f t="shared" si="14"/>
        <v/>
      </c>
      <c r="AD20" s="52"/>
      <c r="AE20" s="397">
        <f>IFERROR(VLOOKUP($C20,'Proposed Rates'!$B:$J,AE$11,FALSE),0)</f>
        <v>0</v>
      </c>
      <c r="AF20" s="415">
        <f t="shared" si="15"/>
        <v>51000</v>
      </c>
      <c r="AG20" s="400">
        <f t="shared" si="16"/>
        <v>0</v>
      </c>
      <c r="AH20" s="128"/>
      <c r="AI20" s="401">
        <f t="shared" si="17"/>
        <v>0</v>
      </c>
      <c r="AJ20" s="402" t="str">
        <f t="shared" si="18"/>
        <v/>
      </c>
      <c r="AK20" s="52"/>
      <c r="AL20" s="397">
        <f>IFERROR(VLOOKUP($C20,'Proposed Rates'!$B:$J,AL$11,FALSE),0)</f>
        <v>0</v>
      </c>
      <c r="AM20" s="415">
        <f t="shared" si="19"/>
        <v>51000</v>
      </c>
      <c r="AN20" s="400">
        <f t="shared" si="20"/>
        <v>0</v>
      </c>
      <c r="AO20" s="128"/>
      <c r="AP20" s="401">
        <f t="shared" si="21"/>
        <v>0</v>
      </c>
      <c r="AQ20" s="402" t="str">
        <f t="shared" si="22"/>
        <v/>
      </c>
      <c r="AR20" s="403"/>
      <c r="AS20" s="3"/>
      <c r="AT20" s="3"/>
      <c r="AU20" s="3"/>
      <c r="AV20" s="3"/>
      <c r="AW20" s="3"/>
      <c r="AX20" s="3"/>
    </row>
    <row r="21" spans="1:50" ht="12" customHeight="1">
      <c r="A21" s="551"/>
      <c r="B21" s="320" t="s">
        <v>241</v>
      </c>
      <c r="C21" s="395" t="str">
        <f t="shared" si="0"/>
        <v>General Service 50 to 1,499 KW.LRAM Rate Rider</v>
      </c>
      <c r="D21" s="396" t="s">
        <v>377</v>
      </c>
      <c r="E21" s="320"/>
      <c r="F21" s="414">
        <f>'Proposed Rates'!E79+'Proposed Rates'!E92</f>
        <v>-0.2477</v>
      </c>
      <c r="G21" s="415">
        <f t="shared" si="1"/>
        <v>250</v>
      </c>
      <c r="H21" s="400">
        <f t="shared" si="2"/>
        <v>-61.925000000000004</v>
      </c>
      <c r="I21" s="128"/>
      <c r="J21" s="414">
        <f>'Proposed Rates'!F79+'Proposed Rates'!F92</f>
        <v>0</v>
      </c>
      <c r="K21" s="415">
        <f t="shared" si="3"/>
        <v>250</v>
      </c>
      <c r="L21" s="400">
        <f t="shared" si="4"/>
        <v>0</v>
      </c>
      <c r="M21" s="128"/>
      <c r="N21" s="401">
        <f t="shared" si="5"/>
        <v>61.925000000000004</v>
      </c>
      <c r="O21" s="402">
        <f t="shared" si="6"/>
        <v>-1</v>
      </c>
      <c r="P21" s="52"/>
      <c r="Q21" s="414">
        <f>'Proposed Rates'!G79+'Proposed Rates'!G92</f>
        <v>2.9499999999999998E-2</v>
      </c>
      <c r="R21" s="415">
        <f t="shared" si="7"/>
        <v>250</v>
      </c>
      <c r="S21" s="400">
        <f t="shared" si="8"/>
        <v>7.375</v>
      </c>
      <c r="T21" s="128"/>
      <c r="U21" s="401">
        <f t="shared" si="9"/>
        <v>7.375</v>
      </c>
      <c r="V21" s="402" t="str">
        <f t="shared" si="10"/>
        <v/>
      </c>
      <c r="W21" s="52"/>
      <c r="X21" s="414">
        <f>IFERROR(VLOOKUP($C21,'Proposed Rates'!$B:$J,X$11,FALSE),0)</f>
        <v>0</v>
      </c>
      <c r="Y21" s="415">
        <f t="shared" si="11"/>
        <v>250</v>
      </c>
      <c r="Z21" s="400">
        <f t="shared" si="12"/>
        <v>0</v>
      </c>
      <c r="AA21" s="128"/>
      <c r="AB21" s="401">
        <f t="shared" si="13"/>
        <v>-7.375</v>
      </c>
      <c r="AC21" s="402">
        <f t="shared" si="14"/>
        <v>-1</v>
      </c>
      <c r="AD21" s="52"/>
      <c r="AE21" s="414">
        <f>IFERROR(VLOOKUP($C21,'Proposed Rates'!$B:$J,AE$11,FALSE),0)</f>
        <v>0</v>
      </c>
      <c r="AF21" s="415">
        <f t="shared" si="15"/>
        <v>250</v>
      </c>
      <c r="AG21" s="400">
        <f t="shared" si="16"/>
        <v>0</v>
      </c>
      <c r="AH21" s="128"/>
      <c r="AI21" s="401">
        <f t="shared" si="17"/>
        <v>0</v>
      </c>
      <c r="AJ21" s="402" t="str">
        <f t="shared" si="18"/>
        <v/>
      </c>
      <c r="AK21" s="52"/>
      <c r="AL21" s="414">
        <f>IFERROR(VLOOKUP($C21,'Proposed Rates'!$B:$J,AL$11,FALSE),0)</f>
        <v>0</v>
      </c>
      <c r="AM21" s="415">
        <f t="shared" si="19"/>
        <v>250</v>
      </c>
      <c r="AN21" s="400">
        <f t="shared" si="20"/>
        <v>0</v>
      </c>
      <c r="AO21" s="128"/>
      <c r="AP21" s="401">
        <f t="shared" si="21"/>
        <v>0</v>
      </c>
      <c r="AQ21" s="402" t="str">
        <f t="shared" si="22"/>
        <v/>
      </c>
      <c r="AR21" s="403"/>
      <c r="AS21" s="3"/>
      <c r="AT21" s="3"/>
      <c r="AU21" s="3"/>
      <c r="AV21" s="3"/>
      <c r="AW21" s="3"/>
      <c r="AX21" s="3"/>
    </row>
    <row r="22" spans="1:50" ht="12" customHeight="1">
      <c r="A22" s="551"/>
      <c r="B22" s="404" t="s">
        <v>237</v>
      </c>
      <c r="C22" s="395" t="str">
        <f t="shared" si="0"/>
        <v>General Service 50 to 1,499 KW.Deferral/Variance Account Disposition Rate Rider Group 2</v>
      </c>
      <c r="D22" s="396" t="s">
        <v>377</v>
      </c>
      <c r="E22" s="320"/>
      <c r="F22" s="397">
        <f>IFERROR(VLOOKUP($C22,'Proposed Rates'!$B:$J,F$11,FALSE),0)</f>
        <v>0</v>
      </c>
      <c r="G22" s="415">
        <f t="shared" si="1"/>
        <v>250</v>
      </c>
      <c r="H22" s="400">
        <f t="shared" si="2"/>
        <v>0</v>
      </c>
      <c r="I22" s="128"/>
      <c r="J22" s="397">
        <f>IFERROR(VLOOKUP($C22,'Proposed Rates'!$B:$J,J$11,FALSE),0)</f>
        <v>-0.1202</v>
      </c>
      <c r="K22" s="415">
        <f t="shared" si="3"/>
        <v>250</v>
      </c>
      <c r="L22" s="400">
        <f t="shared" si="4"/>
        <v>-30.05</v>
      </c>
      <c r="M22" s="128"/>
      <c r="N22" s="401">
        <f t="shared" si="5"/>
        <v>-30.05</v>
      </c>
      <c r="O22" s="402" t="str">
        <f t="shared" si="6"/>
        <v/>
      </c>
      <c r="P22" s="52"/>
      <c r="Q22" s="397">
        <f>IFERROR(VLOOKUP($C22,'Proposed Rates'!$B:$J,Q$11,FALSE),0)</f>
        <v>0</v>
      </c>
      <c r="R22" s="415">
        <f t="shared" si="7"/>
        <v>250</v>
      </c>
      <c r="S22" s="400">
        <f t="shared" si="8"/>
        <v>0</v>
      </c>
      <c r="T22" s="128"/>
      <c r="U22" s="401">
        <f t="shared" si="9"/>
        <v>30.05</v>
      </c>
      <c r="V22" s="402">
        <f t="shared" si="10"/>
        <v>-1</v>
      </c>
      <c r="W22" s="52"/>
      <c r="X22" s="397">
        <f>IFERROR(VLOOKUP($C22,'Proposed Rates'!$B:$J,X$11,FALSE),0)</f>
        <v>0</v>
      </c>
      <c r="Y22" s="415">
        <f t="shared" si="11"/>
        <v>250</v>
      </c>
      <c r="Z22" s="400">
        <f t="shared" si="12"/>
        <v>0</v>
      </c>
      <c r="AA22" s="128"/>
      <c r="AB22" s="401">
        <f t="shared" si="13"/>
        <v>0</v>
      </c>
      <c r="AC22" s="402" t="str">
        <f t="shared" si="14"/>
        <v/>
      </c>
      <c r="AD22" s="52"/>
      <c r="AE22" s="397">
        <f>IFERROR(VLOOKUP($C22,'Proposed Rates'!$B:$J,AE$11,FALSE),0)</f>
        <v>0</v>
      </c>
      <c r="AF22" s="415">
        <f t="shared" si="15"/>
        <v>250</v>
      </c>
      <c r="AG22" s="400">
        <f t="shared" si="16"/>
        <v>0</v>
      </c>
      <c r="AH22" s="128"/>
      <c r="AI22" s="401">
        <f t="shared" si="17"/>
        <v>0</v>
      </c>
      <c r="AJ22" s="402" t="str">
        <f t="shared" si="18"/>
        <v/>
      </c>
      <c r="AK22" s="52"/>
      <c r="AL22" s="397">
        <f>IFERROR(VLOOKUP($C22,'Proposed Rates'!$B:$J,AL$11,FALSE),0)</f>
        <v>0</v>
      </c>
      <c r="AM22" s="415">
        <f t="shared" si="19"/>
        <v>250</v>
      </c>
      <c r="AN22" s="400">
        <f t="shared" si="20"/>
        <v>0</v>
      </c>
      <c r="AO22" s="128"/>
      <c r="AP22" s="401">
        <f t="shared" si="21"/>
        <v>0</v>
      </c>
      <c r="AQ22" s="402" t="str">
        <f t="shared" si="22"/>
        <v/>
      </c>
      <c r="AR22" s="403"/>
      <c r="AS22" s="3"/>
      <c r="AT22" s="3"/>
      <c r="AU22" s="3"/>
      <c r="AV22" s="3"/>
      <c r="AW22" s="3"/>
      <c r="AX22" s="3"/>
    </row>
    <row r="23" spans="1:50" ht="12" customHeight="1">
      <c r="A23" s="551"/>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3"/>
      <c r="AT23" s="3"/>
      <c r="AU23" s="3"/>
      <c r="AV23" s="3"/>
      <c r="AW23" s="3"/>
      <c r="AX23" s="3"/>
    </row>
    <row r="24" spans="1:50" ht="12" customHeight="1">
      <c r="A24" s="551"/>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3"/>
      <c r="AT24" s="3"/>
      <c r="AU24" s="3"/>
      <c r="AV24" s="3"/>
      <c r="AW24" s="3"/>
      <c r="AX24" s="3"/>
    </row>
    <row r="25" spans="1:50" ht="12" customHeight="1">
      <c r="A25" s="551"/>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3"/>
      <c r="AT25" s="3"/>
      <c r="AU25" s="3"/>
      <c r="AV25" s="3"/>
      <c r="AW25" s="3"/>
      <c r="AX25" s="3"/>
    </row>
    <row r="26" spans="1:50" ht="12" customHeight="1">
      <c r="A26" s="551"/>
      <c r="B26" s="40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3"/>
      <c r="AT26" s="3"/>
      <c r="AU26" s="3"/>
      <c r="AV26" s="3"/>
      <c r="AW26" s="3"/>
      <c r="AX26" s="3"/>
    </row>
    <row r="27" spans="1:50" ht="12" customHeight="1">
      <c r="A27" s="551"/>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3"/>
      <c r="AT27" s="3"/>
      <c r="AU27" s="3"/>
      <c r="AV27" s="3"/>
      <c r="AW27" s="3"/>
      <c r="AX27" s="3"/>
    </row>
    <row r="28" spans="1:50" ht="12" customHeight="1">
      <c r="A28" s="551"/>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3"/>
      <c r="AT28" s="3"/>
      <c r="AU28" s="3"/>
      <c r="AV28" s="3"/>
      <c r="AW28" s="3"/>
      <c r="AX28" s="3"/>
    </row>
    <row r="29" spans="1:50" ht="12" customHeight="1">
      <c r="A29" s="551"/>
      <c r="B29" s="405" t="s">
        <v>310</v>
      </c>
      <c r="C29" s="406"/>
      <c r="D29" s="406"/>
      <c r="E29" s="406"/>
      <c r="F29" s="407"/>
      <c r="G29" s="500"/>
      <c r="H29" s="409">
        <f>SUM(H15:H28)</f>
        <v>1776.9</v>
      </c>
      <c r="I29" s="410"/>
      <c r="J29" s="407"/>
      <c r="K29" s="500"/>
      <c r="L29" s="409">
        <f>SUM(L15:L28)</f>
        <v>2185.8499999999995</v>
      </c>
      <c r="M29" s="410"/>
      <c r="N29" s="411">
        <f t="shared" si="5"/>
        <v>408.94999999999936</v>
      </c>
      <c r="O29" s="412">
        <f t="shared" si="6"/>
        <v>0.23014801058022361</v>
      </c>
      <c r="P29" s="306"/>
      <c r="Q29" s="407"/>
      <c r="R29" s="500"/>
      <c r="S29" s="409">
        <f>SUM(S15:S28)</f>
        <v>2396.1750000000002</v>
      </c>
      <c r="T29" s="410"/>
      <c r="U29" s="411">
        <f t="shared" si="9"/>
        <v>210.32500000000073</v>
      </c>
      <c r="V29" s="412">
        <f t="shared" si="10"/>
        <v>9.6221149667177888E-2</v>
      </c>
      <c r="W29" s="306"/>
      <c r="X29" s="407"/>
      <c r="Y29" s="500"/>
      <c r="Z29" s="409">
        <f>SUM(Z15:Z28)</f>
        <v>2608.75</v>
      </c>
      <c r="AA29" s="410"/>
      <c r="AB29" s="411">
        <f t="shared" si="13"/>
        <v>212.57499999999982</v>
      </c>
      <c r="AC29" s="412">
        <f t="shared" si="14"/>
        <v>8.8714305090404413E-2</v>
      </c>
      <c r="AD29" s="306"/>
      <c r="AE29" s="407"/>
      <c r="AF29" s="500"/>
      <c r="AG29" s="409">
        <f>SUM(AG15:AG28)</f>
        <v>2780.4250000000002</v>
      </c>
      <c r="AH29" s="410"/>
      <c r="AI29" s="411">
        <f t="shared" si="17"/>
        <v>171.67500000000018</v>
      </c>
      <c r="AJ29" s="412">
        <f t="shared" si="18"/>
        <v>6.5807379012937303E-2</v>
      </c>
      <c r="AK29" s="306"/>
      <c r="AL29" s="407"/>
      <c r="AM29" s="500"/>
      <c r="AN29" s="409">
        <f>SUM(AN15:AN28)</f>
        <v>2943.4749999999999</v>
      </c>
      <c r="AO29" s="410"/>
      <c r="AP29" s="411">
        <f t="shared" si="21"/>
        <v>163.04999999999973</v>
      </c>
      <c r="AQ29" s="412">
        <f t="shared" si="22"/>
        <v>5.8642114065295674E-2</v>
      </c>
      <c r="AR29" s="413"/>
      <c r="AS29" s="3"/>
      <c r="AT29" s="3"/>
      <c r="AU29" s="3"/>
      <c r="AV29" s="3"/>
      <c r="AW29" s="3"/>
      <c r="AX29" s="3"/>
    </row>
    <row r="30" spans="1:50" ht="12" customHeight="1">
      <c r="A30" s="551"/>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250</v>
      </c>
      <c r="H30" s="400">
        <f t="shared" ref="H30:H38" si="25">G30*F30</f>
        <v>88.275000000000006</v>
      </c>
      <c r="I30" s="128"/>
      <c r="J30" s="414">
        <f>IFERROR(VLOOKUP($C30,'Proposed Rates'!$B:$J,J$11,FALSE),0)</f>
        <v>7.1999999999999998E-3</v>
      </c>
      <c r="K30" s="415">
        <f t="shared" ref="K30:K36" si="26">IF($D30="Monthly",1,IF($D30="per KW",$F$10,IF($D30="per kWh",$F$9,0)))</f>
        <v>250</v>
      </c>
      <c r="L30" s="400">
        <f t="shared" ref="L30:L38" si="27">K30*J30</f>
        <v>1.8</v>
      </c>
      <c r="M30" s="128"/>
      <c r="N30" s="401">
        <f t="shared" si="5"/>
        <v>-86.475000000000009</v>
      </c>
      <c r="O30" s="402">
        <f t="shared" si="6"/>
        <v>-0.97960917587085816</v>
      </c>
      <c r="P30" s="52"/>
      <c r="Q30" s="414">
        <f>IFERROR(VLOOKUP($C30,'Proposed Rates'!$B:$J,Q$11,FALSE),0)</f>
        <v>0</v>
      </c>
      <c r="R30" s="415">
        <f t="shared" ref="R30:R36" si="28">IF($D30="Monthly",1,IF($D30="per KW",$F$10,IF($D30="per kWh",$F$9,0)))</f>
        <v>250</v>
      </c>
      <c r="S30" s="400">
        <f t="shared" ref="S30:S38" si="29">R30*Q30</f>
        <v>0</v>
      </c>
      <c r="T30" s="128"/>
      <c r="U30" s="401">
        <f t="shared" si="9"/>
        <v>-1.8</v>
      </c>
      <c r="V30" s="402">
        <f t="shared" si="10"/>
        <v>-1</v>
      </c>
      <c r="W30" s="52"/>
      <c r="X30" s="414">
        <f>IFERROR(VLOOKUP($C30,'Proposed Rates'!$B:$J,X$11,FALSE),0)</f>
        <v>0</v>
      </c>
      <c r="Y30" s="415">
        <f t="shared" ref="Y30:Y36" si="30">IF($D30="Monthly",1,IF($D30="per KW",$F$10,IF($D30="per kWh",$F$9,0)))</f>
        <v>250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250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250</v>
      </c>
      <c r="AN30" s="400">
        <f t="shared" ref="AN30:AN38" si="35">AM30*AL30</f>
        <v>0</v>
      </c>
      <c r="AO30" s="128"/>
      <c r="AP30" s="401">
        <f t="shared" si="21"/>
        <v>0</v>
      </c>
      <c r="AQ30" s="402" t="str">
        <f t="shared" si="22"/>
        <v/>
      </c>
      <c r="AR30" s="403"/>
      <c r="AS30" s="3"/>
      <c r="AT30" s="3"/>
      <c r="AU30" s="3"/>
      <c r="AV30" s="3"/>
      <c r="AW30" s="3"/>
      <c r="AX30" s="3"/>
    </row>
    <row r="31" spans="1:50" ht="12" customHeight="1">
      <c r="A31" s="551"/>
      <c r="B31" s="404" t="s">
        <v>236</v>
      </c>
      <c r="C31" s="395" t="str">
        <f t="shared" si="23"/>
        <v>General Service 50 to 1,499 KW.DVA Disposition Rate Rider Group 1 - 2024</v>
      </c>
      <c r="D31" s="396" t="s">
        <v>377</v>
      </c>
      <c r="E31" s="320"/>
      <c r="F31" s="414">
        <f>IFERROR(VLOOKUP($C31,'Proposed Rates'!$B:$J,F$11,FALSE),0)</f>
        <v>0</v>
      </c>
      <c r="G31" s="415">
        <f t="shared" si="24"/>
        <v>250</v>
      </c>
      <c r="H31" s="400">
        <f t="shared" si="25"/>
        <v>0</v>
      </c>
      <c r="I31" s="128"/>
      <c r="J31" s="414">
        <f>IFERROR(VLOOKUP($C31,'Proposed Rates'!$B:$J,J$11,FALSE),0)</f>
        <v>0</v>
      </c>
      <c r="K31" s="415">
        <f t="shared" si="26"/>
        <v>250</v>
      </c>
      <c r="L31" s="400">
        <f t="shared" si="27"/>
        <v>0</v>
      </c>
      <c r="M31" s="128"/>
      <c r="N31" s="401">
        <f t="shared" si="5"/>
        <v>0</v>
      </c>
      <c r="O31" s="402" t="str">
        <f t="shared" si="6"/>
        <v/>
      </c>
      <c r="P31" s="52"/>
      <c r="Q31" s="414">
        <f>IFERROR(VLOOKUP($C31,'Proposed Rates'!$B:$J,Q$11,FALSE),0)</f>
        <v>0</v>
      </c>
      <c r="R31" s="415">
        <f t="shared" si="28"/>
        <v>250</v>
      </c>
      <c r="S31" s="400">
        <f t="shared" si="29"/>
        <v>0</v>
      </c>
      <c r="T31" s="128"/>
      <c r="U31" s="401">
        <f t="shared" si="9"/>
        <v>0</v>
      </c>
      <c r="V31" s="402" t="str">
        <f t="shared" si="10"/>
        <v/>
      </c>
      <c r="W31" s="52"/>
      <c r="X31" s="414">
        <f>IFERROR(VLOOKUP($C31,'Proposed Rates'!$B:$J,X$11,FALSE),0)</f>
        <v>0</v>
      </c>
      <c r="Y31" s="415">
        <f t="shared" si="30"/>
        <v>250</v>
      </c>
      <c r="Z31" s="400">
        <f t="shared" si="31"/>
        <v>0</v>
      </c>
      <c r="AA31" s="128"/>
      <c r="AB31" s="401">
        <f t="shared" si="13"/>
        <v>0</v>
      </c>
      <c r="AC31" s="402" t="str">
        <f t="shared" si="14"/>
        <v/>
      </c>
      <c r="AD31" s="52"/>
      <c r="AE31" s="414">
        <f>IFERROR(VLOOKUP($C31,'Proposed Rates'!$B:$J,AE$11,FALSE),0)</f>
        <v>0</v>
      </c>
      <c r="AF31" s="415">
        <f t="shared" si="32"/>
        <v>250</v>
      </c>
      <c r="AG31" s="400">
        <f t="shared" si="33"/>
        <v>0</v>
      </c>
      <c r="AH31" s="128"/>
      <c r="AI31" s="401">
        <f t="shared" si="17"/>
        <v>0</v>
      </c>
      <c r="AJ31" s="402" t="str">
        <f t="shared" si="18"/>
        <v/>
      </c>
      <c r="AK31" s="52"/>
      <c r="AL31" s="414">
        <f>IFERROR(VLOOKUP($C31,'Proposed Rates'!$B:$J,AL$11,FALSE),0)</f>
        <v>0</v>
      </c>
      <c r="AM31" s="415">
        <f t="shared" si="34"/>
        <v>250</v>
      </c>
      <c r="AN31" s="400">
        <f t="shared" si="35"/>
        <v>0</v>
      </c>
      <c r="AO31" s="128"/>
      <c r="AP31" s="401">
        <f t="shared" si="21"/>
        <v>0</v>
      </c>
      <c r="AQ31" s="402" t="str">
        <f t="shared" si="22"/>
        <v/>
      </c>
      <c r="AR31" s="403"/>
      <c r="AS31" s="3"/>
      <c r="AT31" s="3"/>
      <c r="AU31" s="3"/>
      <c r="AV31" s="3"/>
      <c r="AW31" s="3"/>
      <c r="AX31" s="3"/>
    </row>
    <row r="32" spans="1:50" ht="12" customHeight="1">
      <c r="A32" s="551"/>
      <c r="B32" s="404" t="s">
        <v>244</v>
      </c>
      <c r="C32" s="395" t="str">
        <f t="shared" si="23"/>
        <v>General Service 50 to 1,499 KW.CBR Class B Rate Riders</v>
      </c>
      <c r="D32" s="396" t="s">
        <v>308</v>
      </c>
      <c r="E32" s="320"/>
      <c r="F32" s="414">
        <f>IFERROR(VLOOKUP($C32,'Proposed Rates'!$B:$J,F$11,FALSE),0)</f>
        <v>2.0000000000000001E-4</v>
      </c>
      <c r="G32" s="415">
        <f t="shared" si="24"/>
        <v>51000</v>
      </c>
      <c r="H32" s="400">
        <f t="shared" si="25"/>
        <v>10.200000000000001</v>
      </c>
      <c r="I32" s="485"/>
      <c r="J32" s="414">
        <f>IFERROR(VLOOKUP($C32,'Proposed Rates'!$B:$J,J$11,FALSE),0)</f>
        <v>4.0000000000000002E-4</v>
      </c>
      <c r="K32" s="415">
        <f t="shared" si="26"/>
        <v>51000</v>
      </c>
      <c r="L32" s="400">
        <f t="shared" si="27"/>
        <v>20.400000000000002</v>
      </c>
      <c r="M32" s="417"/>
      <c r="N32" s="401">
        <f t="shared" si="5"/>
        <v>10.200000000000001</v>
      </c>
      <c r="O32" s="402">
        <f t="shared" si="6"/>
        <v>1</v>
      </c>
      <c r="P32" s="52"/>
      <c r="Q32" s="414">
        <f>IFERROR(VLOOKUP($C32,'Proposed Rates'!$B:$J,Q$11,FALSE),0)</f>
        <v>0</v>
      </c>
      <c r="R32" s="415">
        <f t="shared" si="28"/>
        <v>51000</v>
      </c>
      <c r="S32" s="400">
        <f t="shared" si="29"/>
        <v>0</v>
      </c>
      <c r="T32" s="417"/>
      <c r="U32" s="401">
        <f t="shared" si="9"/>
        <v>-20.400000000000002</v>
      </c>
      <c r="V32" s="402">
        <f t="shared" si="10"/>
        <v>-1</v>
      </c>
      <c r="W32" s="52"/>
      <c r="X32" s="414">
        <f>IFERROR(VLOOKUP($C32,'Proposed Rates'!$B:$J,X$11,FALSE),0)</f>
        <v>0</v>
      </c>
      <c r="Y32" s="415">
        <f t="shared" si="30"/>
        <v>51000</v>
      </c>
      <c r="Z32" s="400">
        <f t="shared" si="31"/>
        <v>0</v>
      </c>
      <c r="AA32" s="128"/>
      <c r="AB32" s="401">
        <f t="shared" si="13"/>
        <v>0</v>
      </c>
      <c r="AC32" s="402" t="str">
        <f t="shared" si="14"/>
        <v/>
      </c>
      <c r="AD32" s="52"/>
      <c r="AE32" s="414">
        <f>IFERROR(VLOOKUP($C32,'Proposed Rates'!$B:$J,AE$11,FALSE),0)</f>
        <v>0</v>
      </c>
      <c r="AF32" s="415">
        <f t="shared" si="32"/>
        <v>51000</v>
      </c>
      <c r="AG32" s="400">
        <f t="shared" si="33"/>
        <v>0</v>
      </c>
      <c r="AH32" s="128"/>
      <c r="AI32" s="401">
        <f t="shared" si="17"/>
        <v>0</v>
      </c>
      <c r="AJ32" s="402" t="str">
        <f t="shared" si="18"/>
        <v/>
      </c>
      <c r="AK32" s="52"/>
      <c r="AL32" s="414">
        <f>IFERROR(VLOOKUP($C32,'Proposed Rates'!$B:$J,AL$11,FALSE),0)</f>
        <v>0</v>
      </c>
      <c r="AM32" s="415">
        <f t="shared" si="34"/>
        <v>51000</v>
      </c>
      <c r="AN32" s="400">
        <f t="shared" si="35"/>
        <v>0</v>
      </c>
      <c r="AO32" s="417"/>
      <c r="AP32" s="401">
        <f t="shared" si="21"/>
        <v>0</v>
      </c>
      <c r="AQ32" s="402" t="str">
        <f t="shared" si="22"/>
        <v/>
      </c>
      <c r="AR32" s="403"/>
      <c r="AS32" s="3"/>
      <c r="AT32" s="3"/>
      <c r="AU32" s="3"/>
      <c r="AV32" s="3"/>
      <c r="AW32" s="3"/>
      <c r="AX32" s="3"/>
    </row>
    <row r="33" spans="1:50" ht="12" customHeight="1">
      <c r="A33" s="551"/>
      <c r="B33" s="404" t="s">
        <v>249</v>
      </c>
      <c r="C33" s="395" t="str">
        <f t="shared" si="23"/>
        <v>General Service 50 to 1,499 KW.GA Rate Riders</v>
      </c>
      <c r="D33" s="396" t="s">
        <v>308</v>
      </c>
      <c r="E33" s="320"/>
      <c r="F33" s="414">
        <f>IFERROR(VLOOKUP($C33,'Proposed Rates'!$B:$J,F$11,FALSE),0)</f>
        <v>3.8999999999999998E-3</v>
      </c>
      <c r="G33" s="415">
        <f t="shared" si="24"/>
        <v>51000</v>
      </c>
      <c r="H33" s="400">
        <f t="shared" si="25"/>
        <v>198.89999999999998</v>
      </c>
      <c r="I33" s="485"/>
      <c r="J33" s="414">
        <f>IFERROR(VLOOKUP($C33,'Proposed Rates'!$B:$J,J$11,FALSE),0)</f>
        <v>4.4999999999999997E-3</v>
      </c>
      <c r="K33" s="415">
        <f t="shared" si="26"/>
        <v>51000</v>
      </c>
      <c r="L33" s="400">
        <f t="shared" si="27"/>
        <v>229.49999999999997</v>
      </c>
      <c r="M33" s="417"/>
      <c r="N33" s="401">
        <f t="shared" si="5"/>
        <v>30.599999999999994</v>
      </c>
      <c r="O33" s="402">
        <f t="shared" si="6"/>
        <v>0.15384615384615383</v>
      </c>
      <c r="P33" s="52"/>
      <c r="Q33" s="414">
        <f>IFERROR(VLOOKUP($C33,'Proposed Rates'!$B:$J,Q$11,FALSE),0)</f>
        <v>0</v>
      </c>
      <c r="R33" s="415">
        <f t="shared" si="28"/>
        <v>51000</v>
      </c>
      <c r="S33" s="400">
        <f t="shared" si="29"/>
        <v>0</v>
      </c>
      <c r="T33" s="417"/>
      <c r="U33" s="401">
        <f t="shared" si="9"/>
        <v>-229.49999999999997</v>
      </c>
      <c r="V33" s="402">
        <f t="shared" si="10"/>
        <v>-1</v>
      </c>
      <c r="W33" s="52"/>
      <c r="X33" s="414">
        <f>IFERROR(VLOOKUP($C33,'Proposed Rates'!$B:$J,X$11,FALSE),0)</f>
        <v>0</v>
      </c>
      <c r="Y33" s="415">
        <f t="shared" si="30"/>
        <v>51000</v>
      </c>
      <c r="Z33" s="400">
        <f t="shared" si="31"/>
        <v>0</v>
      </c>
      <c r="AA33" s="417"/>
      <c r="AB33" s="401">
        <f t="shared" si="13"/>
        <v>0</v>
      </c>
      <c r="AC33" s="402" t="str">
        <f t="shared" si="14"/>
        <v/>
      </c>
      <c r="AD33" s="52"/>
      <c r="AE33" s="414">
        <f>IFERROR(VLOOKUP($C33,'Proposed Rates'!$B:$J,AE$11,FALSE),0)</f>
        <v>0</v>
      </c>
      <c r="AF33" s="415">
        <f t="shared" si="32"/>
        <v>51000</v>
      </c>
      <c r="AG33" s="400">
        <f t="shared" si="33"/>
        <v>0</v>
      </c>
      <c r="AH33" s="417"/>
      <c r="AI33" s="401">
        <f t="shared" si="17"/>
        <v>0</v>
      </c>
      <c r="AJ33" s="402" t="str">
        <f t="shared" si="18"/>
        <v/>
      </c>
      <c r="AK33" s="52"/>
      <c r="AL33" s="414">
        <f>IFERROR(VLOOKUP($C33,'Proposed Rates'!$B:$J,AL$11,FALSE),0)</f>
        <v>0</v>
      </c>
      <c r="AM33" s="415">
        <f t="shared" si="34"/>
        <v>51000</v>
      </c>
      <c r="AN33" s="400">
        <f t="shared" si="35"/>
        <v>0</v>
      </c>
      <c r="AO33" s="417"/>
      <c r="AP33" s="401">
        <f t="shared" si="21"/>
        <v>0</v>
      </c>
      <c r="AQ33" s="402" t="str">
        <f t="shared" si="22"/>
        <v/>
      </c>
      <c r="AR33" s="403"/>
      <c r="AS33" s="3"/>
      <c r="AT33" s="3"/>
      <c r="AU33" s="3"/>
      <c r="AV33" s="3"/>
      <c r="AW33" s="3"/>
      <c r="AX33" s="3"/>
    </row>
    <row r="34" spans="1:50" ht="12" customHeight="1">
      <c r="A34" s="551"/>
      <c r="B34" s="404" t="s">
        <v>252</v>
      </c>
      <c r="C34" s="395" t="str">
        <f t="shared" si="23"/>
        <v>General Service 50 to 1,499 KW.Total Deferral/Variance Account Rate RidersYr2</v>
      </c>
      <c r="D34" s="396" t="s">
        <v>377</v>
      </c>
      <c r="E34" s="320"/>
      <c r="F34" s="414">
        <f>IFERROR(VLOOKUP($C34,'Proposed Rates'!$B:$J,F$11,FALSE),0)</f>
        <v>-0.30499999999999999</v>
      </c>
      <c r="G34" s="415">
        <f t="shared" si="24"/>
        <v>250</v>
      </c>
      <c r="H34" s="400">
        <f t="shared" si="25"/>
        <v>-76.25</v>
      </c>
      <c r="I34" s="485"/>
      <c r="J34" s="414">
        <f>IFERROR(VLOOKUP($C34,'Proposed Rates'!$B:$J,J$11,FALSE),0)</f>
        <v>-0.21920000000000001</v>
      </c>
      <c r="K34" s="415">
        <f t="shared" si="26"/>
        <v>250</v>
      </c>
      <c r="L34" s="400">
        <f t="shared" si="27"/>
        <v>-54.800000000000004</v>
      </c>
      <c r="M34" s="417"/>
      <c r="N34" s="401">
        <f t="shared" si="5"/>
        <v>21.449999999999996</v>
      </c>
      <c r="O34" s="402">
        <f t="shared" si="6"/>
        <v>-0.28131147540983603</v>
      </c>
      <c r="P34" s="52"/>
      <c r="Q34" s="414">
        <f>IFERROR(VLOOKUP($C34,'Proposed Rates'!$B:$J,Q$11,FALSE),0)</f>
        <v>0</v>
      </c>
      <c r="R34" s="415">
        <f t="shared" si="28"/>
        <v>250</v>
      </c>
      <c r="S34" s="400">
        <f t="shared" si="29"/>
        <v>0</v>
      </c>
      <c r="T34" s="417"/>
      <c r="U34" s="401">
        <f t="shared" si="9"/>
        <v>54.800000000000004</v>
      </c>
      <c r="V34" s="402">
        <f t="shared" si="10"/>
        <v>-1</v>
      </c>
      <c r="W34" s="52"/>
      <c r="X34" s="414">
        <f>IFERROR(VLOOKUP($C34,'Proposed Rates'!$B:$J,X$11,FALSE),0)</f>
        <v>0</v>
      </c>
      <c r="Y34" s="415">
        <f t="shared" si="30"/>
        <v>250</v>
      </c>
      <c r="Z34" s="400">
        <f t="shared" si="31"/>
        <v>0</v>
      </c>
      <c r="AA34" s="417"/>
      <c r="AB34" s="401">
        <f t="shared" si="13"/>
        <v>0</v>
      </c>
      <c r="AC34" s="402" t="str">
        <f t="shared" si="14"/>
        <v/>
      </c>
      <c r="AD34" s="52"/>
      <c r="AE34" s="414">
        <f>IFERROR(VLOOKUP($C34,'Proposed Rates'!$B:$J,AE$11,FALSE),0)</f>
        <v>0</v>
      </c>
      <c r="AF34" s="415">
        <f t="shared" si="32"/>
        <v>250</v>
      </c>
      <c r="AG34" s="400">
        <f t="shared" si="33"/>
        <v>0</v>
      </c>
      <c r="AH34" s="417"/>
      <c r="AI34" s="401">
        <f t="shared" si="17"/>
        <v>0</v>
      </c>
      <c r="AJ34" s="402" t="str">
        <f t="shared" si="18"/>
        <v/>
      </c>
      <c r="AK34" s="52"/>
      <c r="AL34" s="414">
        <f>IFERROR(VLOOKUP($C34,'Proposed Rates'!$B:$J,AL$11,FALSE),0)</f>
        <v>0</v>
      </c>
      <c r="AM34" s="415">
        <f t="shared" si="34"/>
        <v>250</v>
      </c>
      <c r="AN34" s="400">
        <f t="shared" si="35"/>
        <v>0</v>
      </c>
      <c r="AO34" s="417"/>
      <c r="AP34" s="401">
        <f t="shared" si="21"/>
        <v>0</v>
      </c>
      <c r="AQ34" s="402" t="str">
        <f t="shared" si="22"/>
        <v/>
      </c>
      <c r="AR34" s="403"/>
      <c r="AS34" s="3"/>
      <c r="AT34" s="3"/>
      <c r="AU34" s="3"/>
      <c r="AV34" s="3"/>
      <c r="AW34" s="3"/>
      <c r="AX34" s="3"/>
    </row>
    <row r="35" spans="1:50" ht="12" customHeight="1">
      <c r="A35" s="551"/>
      <c r="B35" s="404" t="s">
        <v>254</v>
      </c>
      <c r="C35" s="395" t="str">
        <f t="shared" si="23"/>
        <v>General Service 50 to 1,499 KW.Total Deferral/Variance Account Rate Riders</v>
      </c>
      <c r="D35" s="396" t="s">
        <v>377</v>
      </c>
      <c r="E35" s="320"/>
      <c r="F35" s="414">
        <f>IFERROR(VLOOKUP($C35,'Proposed Rates'!$B:$J,F$11,FALSE),0)</f>
        <v>0</v>
      </c>
      <c r="G35" s="415">
        <f t="shared" si="24"/>
        <v>250</v>
      </c>
      <c r="H35" s="400">
        <f t="shared" si="25"/>
        <v>0</v>
      </c>
      <c r="I35" s="128"/>
      <c r="J35" s="414">
        <f>IFERROR(VLOOKUP($C35,'Proposed Rates'!$B:$J,J$11,FALSE),0)</f>
        <v>0</v>
      </c>
      <c r="K35" s="415">
        <f t="shared" si="26"/>
        <v>250</v>
      </c>
      <c r="L35" s="400">
        <f t="shared" si="27"/>
        <v>0</v>
      </c>
      <c r="M35" s="128"/>
      <c r="N35" s="401">
        <f t="shared" si="5"/>
        <v>0</v>
      </c>
      <c r="O35" s="402" t="str">
        <f t="shared" si="6"/>
        <v/>
      </c>
      <c r="P35" s="52"/>
      <c r="Q35" s="414">
        <f>IFERROR(VLOOKUP($C35,'Proposed Rates'!$B:$J,Q$11,FALSE),0)</f>
        <v>0</v>
      </c>
      <c r="R35" s="415">
        <f t="shared" si="28"/>
        <v>250</v>
      </c>
      <c r="S35" s="400">
        <f t="shared" si="29"/>
        <v>0</v>
      </c>
      <c r="T35" s="128"/>
      <c r="U35" s="401">
        <f t="shared" si="9"/>
        <v>0</v>
      </c>
      <c r="V35" s="402" t="str">
        <f t="shared" si="10"/>
        <v/>
      </c>
      <c r="W35" s="52"/>
      <c r="X35" s="414">
        <f>IFERROR(VLOOKUP($C35,'Proposed Rates'!$B:$J,X$11,FALSE),0)</f>
        <v>0</v>
      </c>
      <c r="Y35" s="415">
        <f t="shared" si="30"/>
        <v>250</v>
      </c>
      <c r="Z35" s="400">
        <f t="shared" si="31"/>
        <v>0</v>
      </c>
      <c r="AA35" s="128"/>
      <c r="AB35" s="401"/>
      <c r="AC35" s="402"/>
      <c r="AD35" s="52"/>
      <c r="AE35" s="414">
        <f>IFERROR(VLOOKUP($C35,'Proposed Rates'!$B:$J,AE$11,FALSE),0)</f>
        <v>0</v>
      </c>
      <c r="AF35" s="415">
        <f t="shared" si="32"/>
        <v>250</v>
      </c>
      <c r="AG35" s="400">
        <f t="shared" si="33"/>
        <v>0</v>
      </c>
      <c r="AH35" s="128"/>
      <c r="AI35" s="401">
        <f t="shared" si="17"/>
        <v>0</v>
      </c>
      <c r="AJ35" s="402" t="str">
        <f t="shared" si="18"/>
        <v/>
      </c>
      <c r="AK35" s="52"/>
      <c r="AL35" s="414">
        <f>IFERROR(VLOOKUP($C35,'Proposed Rates'!$B:$J,AL$11,FALSE),0)</f>
        <v>0</v>
      </c>
      <c r="AM35" s="415">
        <f t="shared" si="34"/>
        <v>250</v>
      </c>
      <c r="AN35" s="400">
        <f t="shared" si="35"/>
        <v>0</v>
      </c>
      <c r="AO35" s="128"/>
      <c r="AP35" s="401">
        <f t="shared" si="21"/>
        <v>0</v>
      </c>
      <c r="AQ35" s="402" t="str">
        <f t="shared" si="22"/>
        <v/>
      </c>
      <c r="AR35" s="403"/>
      <c r="AS35" s="3"/>
      <c r="AT35" s="3"/>
      <c r="AU35" s="3"/>
      <c r="AV35" s="3"/>
      <c r="AW35" s="3"/>
      <c r="AX35" s="3"/>
    </row>
    <row r="36" spans="1:50" ht="12" customHeight="1">
      <c r="A36" s="551"/>
      <c r="B36" s="320" t="s">
        <v>269</v>
      </c>
      <c r="C36" s="395" t="str">
        <f t="shared" si="23"/>
        <v>General Service 50 to 1,499 KW.Low Voltage Service Charge</v>
      </c>
      <c r="D36" s="396" t="s">
        <v>377</v>
      </c>
      <c r="E36" s="320"/>
      <c r="F36" s="414">
        <f>IFERROR(VLOOKUP($C36,'Proposed Rates'!$B:$J,F$11,FALSE),0)</f>
        <v>2.0629999999999999E-2</v>
      </c>
      <c r="G36" s="415">
        <f t="shared" si="24"/>
        <v>250</v>
      </c>
      <c r="H36" s="400">
        <f t="shared" si="25"/>
        <v>5.1574999999999998</v>
      </c>
      <c r="I36" s="128"/>
      <c r="J36" s="414">
        <f>IFERROR(VLOOKUP($C36,'Proposed Rates'!$B:$J,J$11,FALSE),0)</f>
        <v>2.334E-2</v>
      </c>
      <c r="K36" s="415">
        <f t="shared" si="26"/>
        <v>250</v>
      </c>
      <c r="L36" s="400">
        <f t="shared" si="27"/>
        <v>5.835</v>
      </c>
      <c r="M36" s="128"/>
      <c r="N36" s="401">
        <f t="shared" si="5"/>
        <v>0.67750000000000021</v>
      </c>
      <c r="O36" s="402">
        <f t="shared" si="6"/>
        <v>0.13136209403780907</v>
      </c>
      <c r="P36" s="52"/>
      <c r="Q36" s="414">
        <f>IFERROR(VLOOKUP($C36,'Proposed Rates'!$B:$J,Q$11,FALSE),0)</f>
        <v>2.3939999999999999E-2</v>
      </c>
      <c r="R36" s="415">
        <f t="shared" si="28"/>
        <v>250</v>
      </c>
      <c r="S36" s="400">
        <f t="shared" si="29"/>
        <v>5.9849999999999994</v>
      </c>
      <c r="T36" s="128"/>
      <c r="U36" s="401">
        <f t="shared" si="9"/>
        <v>0.14999999999999947</v>
      </c>
      <c r="V36" s="402">
        <f t="shared" si="10"/>
        <v>2.57069408740359E-2</v>
      </c>
      <c r="W36" s="52"/>
      <c r="X36" s="414">
        <f>IFERROR(VLOOKUP($C36,'Proposed Rates'!$B:$J,X$11,FALSE),0)</f>
        <v>2.4250000000000001E-2</v>
      </c>
      <c r="Y36" s="415">
        <f t="shared" si="30"/>
        <v>250</v>
      </c>
      <c r="Z36" s="400">
        <f t="shared" si="31"/>
        <v>6.0625</v>
      </c>
      <c r="AA36" s="128"/>
      <c r="AB36" s="401">
        <f t="shared" ref="AB36:AB46" si="36">Z36-S36</f>
        <v>7.7500000000000568E-2</v>
      </c>
      <c r="AC36" s="402">
        <f t="shared" ref="AC36:AC46" si="37">IF((S36)=0,"",(AB36/S36))</f>
        <v>1.2949039264828835E-2</v>
      </c>
      <c r="AD36" s="52"/>
      <c r="AE36" s="414">
        <f>IFERROR(VLOOKUP($C36,'Proposed Rates'!$B:$J,AE$11,FALSE),0)</f>
        <v>2.4649999999999998E-2</v>
      </c>
      <c r="AF36" s="415">
        <f t="shared" si="32"/>
        <v>250</v>
      </c>
      <c r="AG36" s="400">
        <f t="shared" si="33"/>
        <v>6.1624999999999996</v>
      </c>
      <c r="AH36" s="128"/>
      <c r="AI36" s="401">
        <f t="shared" si="17"/>
        <v>9.9999999999999645E-2</v>
      </c>
      <c r="AJ36" s="402">
        <f t="shared" si="18"/>
        <v>1.6494845360824684E-2</v>
      </c>
      <c r="AK36" s="52"/>
      <c r="AL36" s="414">
        <f>IFERROR(VLOOKUP($C36,'Proposed Rates'!$B:$J,AL$11,FALSE),0)</f>
        <v>2.5080000000000002E-2</v>
      </c>
      <c r="AM36" s="415">
        <f t="shared" si="34"/>
        <v>250</v>
      </c>
      <c r="AN36" s="400">
        <f t="shared" si="35"/>
        <v>6.2700000000000005</v>
      </c>
      <c r="AO36" s="128"/>
      <c r="AP36" s="401">
        <f t="shared" si="21"/>
        <v>0.10750000000000082</v>
      </c>
      <c r="AQ36" s="402">
        <f t="shared" si="22"/>
        <v>1.7444219066937255E-2</v>
      </c>
      <c r="AR36" s="403"/>
      <c r="AS36" s="3"/>
      <c r="AT36" s="3"/>
      <c r="AU36" s="3"/>
      <c r="AV36" s="3"/>
      <c r="AW36" s="3"/>
      <c r="AX36" s="3"/>
    </row>
    <row r="37" spans="1:50" ht="12" customHeight="1">
      <c r="A37" s="551"/>
      <c r="B37" s="320" t="s">
        <v>312</v>
      </c>
      <c r="C37" s="395" t="str">
        <f t="shared" si="23"/>
        <v>General Service 50 to 1,499 KW.Line Losses on Cost of Power</v>
      </c>
      <c r="D37" s="396" t="s">
        <v>308</v>
      </c>
      <c r="E37" s="320"/>
      <c r="F37" s="430"/>
      <c r="G37" s="421">
        <f>$F$9*(1+F$65)-$F$9</f>
        <v>1723.8000000000029</v>
      </c>
      <c r="H37" s="400">
        <f t="shared" si="25"/>
        <v>0</v>
      </c>
      <c r="I37" s="128"/>
      <c r="J37" s="430"/>
      <c r="K37" s="421">
        <f>$F$9*(1+J$65)-$F$9</f>
        <v>1693.1999999999971</v>
      </c>
      <c r="L37" s="400">
        <f t="shared" si="27"/>
        <v>0</v>
      </c>
      <c r="M37" s="128"/>
      <c r="N37" s="401">
        <f t="shared" si="5"/>
        <v>0</v>
      </c>
      <c r="O37" s="402" t="str">
        <f t="shared" si="6"/>
        <v/>
      </c>
      <c r="P37" s="52"/>
      <c r="Q37" s="430"/>
      <c r="R37" s="421">
        <f>$F$9*(1+Q$65)-$F$9</f>
        <v>1693.1999999999971</v>
      </c>
      <c r="S37" s="400">
        <f t="shared" si="29"/>
        <v>0</v>
      </c>
      <c r="T37" s="128"/>
      <c r="U37" s="401">
        <f t="shared" si="9"/>
        <v>0</v>
      </c>
      <c r="V37" s="402" t="str">
        <f t="shared" si="10"/>
        <v/>
      </c>
      <c r="W37" s="52"/>
      <c r="X37" s="430"/>
      <c r="Y37" s="421">
        <f>$F$9*(1+X$65)-$F$9</f>
        <v>1693.1999999999971</v>
      </c>
      <c r="Z37" s="400">
        <f t="shared" si="31"/>
        <v>0</v>
      </c>
      <c r="AA37" s="128"/>
      <c r="AB37" s="401">
        <f t="shared" si="36"/>
        <v>0</v>
      </c>
      <c r="AC37" s="402" t="str">
        <f t="shared" si="37"/>
        <v/>
      </c>
      <c r="AD37" s="52"/>
      <c r="AE37" s="430"/>
      <c r="AF37" s="421">
        <f>$F$9*(1+AE$65)-$F$9</f>
        <v>1693.1999999999971</v>
      </c>
      <c r="AG37" s="400">
        <f t="shared" si="33"/>
        <v>0</v>
      </c>
      <c r="AH37" s="128"/>
      <c r="AI37" s="401">
        <f t="shared" si="17"/>
        <v>0</v>
      </c>
      <c r="AJ37" s="402" t="str">
        <f t="shared" si="18"/>
        <v/>
      </c>
      <c r="AK37" s="52"/>
      <c r="AL37" s="430"/>
      <c r="AM37" s="421">
        <f>$F$9*(1+AL$65)-$F$9</f>
        <v>1693.1999999999971</v>
      </c>
      <c r="AN37" s="400">
        <f t="shared" si="35"/>
        <v>0</v>
      </c>
      <c r="AO37" s="128"/>
      <c r="AP37" s="401">
        <f t="shared" si="21"/>
        <v>0</v>
      </c>
      <c r="AQ37" s="402" t="str">
        <f t="shared" si="22"/>
        <v/>
      </c>
      <c r="AR37" s="403"/>
      <c r="AS37" s="3"/>
      <c r="AT37" s="3"/>
      <c r="AU37" s="3"/>
      <c r="AV37" s="3"/>
      <c r="AW37" s="3"/>
      <c r="AX37" s="3"/>
    </row>
    <row r="38" spans="1:50" ht="12" customHeight="1">
      <c r="A38" s="551"/>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36"/>
        <v>0</v>
      </c>
      <c r="AC38" s="402" t="str">
        <f t="shared" si="37"/>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c r="AS38" s="3"/>
      <c r="AT38" s="3"/>
      <c r="AU38" s="3"/>
      <c r="AV38" s="3"/>
      <c r="AW38" s="3"/>
      <c r="AX38" s="3"/>
    </row>
    <row r="39" spans="1:50" ht="12" customHeight="1">
      <c r="A39" s="551"/>
      <c r="B39" s="405" t="s">
        <v>313</v>
      </c>
      <c r="C39" s="422"/>
      <c r="D39" s="422"/>
      <c r="E39" s="422"/>
      <c r="F39" s="423"/>
      <c r="G39" s="501"/>
      <c r="H39" s="409">
        <f>SUM(H30:H38)+H29</f>
        <v>2003.1825000000001</v>
      </c>
      <c r="I39" s="425"/>
      <c r="J39" s="423"/>
      <c r="K39" s="501"/>
      <c r="L39" s="409">
        <f>SUM(L30:L38)+L29</f>
        <v>2388.5849999999996</v>
      </c>
      <c r="M39" s="425"/>
      <c r="N39" s="411">
        <f t="shared" si="5"/>
        <v>385.40249999999946</v>
      </c>
      <c r="O39" s="412">
        <f t="shared" si="6"/>
        <v>0.19239510129506396</v>
      </c>
      <c r="P39" s="52"/>
      <c r="Q39" s="423"/>
      <c r="R39" s="501"/>
      <c r="S39" s="409">
        <f>SUM(S30:S38)+S29</f>
        <v>2402.1600000000003</v>
      </c>
      <c r="T39" s="425"/>
      <c r="U39" s="411">
        <f t="shared" si="9"/>
        <v>13.575000000000728</v>
      </c>
      <c r="V39" s="412">
        <f t="shared" si="10"/>
        <v>5.6832811057595731E-3</v>
      </c>
      <c r="W39" s="52"/>
      <c r="X39" s="423"/>
      <c r="Y39" s="501"/>
      <c r="Z39" s="409">
        <f>SUM(Z30:Z38)+Z29</f>
        <v>2614.8125</v>
      </c>
      <c r="AA39" s="425"/>
      <c r="AB39" s="411">
        <f t="shared" si="36"/>
        <v>212.65249999999969</v>
      </c>
      <c r="AC39" s="412">
        <f t="shared" si="37"/>
        <v>8.8525535351516832E-2</v>
      </c>
      <c r="AD39" s="52"/>
      <c r="AE39" s="423"/>
      <c r="AF39" s="501"/>
      <c r="AG39" s="409">
        <f>SUM(AG30:AG38)+AG29</f>
        <v>2786.5875000000001</v>
      </c>
      <c r="AH39" s="425"/>
      <c r="AI39" s="411">
        <f t="shared" si="17"/>
        <v>171.77500000000009</v>
      </c>
      <c r="AJ39" s="412">
        <f t="shared" si="18"/>
        <v>6.5693046824581144E-2</v>
      </c>
      <c r="AK39" s="52"/>
      <c r="AL39" s="423"/>
      <c r="AM39" s="501"/>
      <c r="AN39" s="409">
        <f>SUM(AN30:AN38)+AN29</f>
        <v>2949.7449999999999</v>
      </c>
      <c r="AO39" s="425"/>
      <c r="AP39" s="411">
        <f t="shared" si="21"/>
        <v>163.1574999999998</v>
      </c>
      <c r="AQ39" s="412">
        <f t="shared" si="22"/>
        <v>5.855100548610076E-2</v>
      </c>
      <c r="AR39" s="413"/>
      <c r="AS39" s="3"/>
      <c r="AT39" s="3"/>
      <c r="AU39" s="3"/>
      <c r="AV39" s="3"/>
      <c r="AW39" s="3"/>
      <c r="AX39" s="3"/>
    </row>
    <row r="40" spans="1:50" ht="12" customHeight="1">
      <c r="A40" s="551"/>
      <c r="B40" s="128" t="s">
        <v>255</v>
      </c>
      <c r="C40" s="395" t="str">
        <f t="shared" ref="C40:C41" si="38">D$6&amp;"."&amp;B40</f>
        <v>General Service 50 to 1,499 KW.RTSR - Network</v>
      </c>
      <c r="D40" s="426" t="s">
        <v>377</v>
      </c>
      <c r="E40" s="128"/>
      <c r="F40" s="414">
        <f>IFERROR(VLOOKUP($C40,'Proposed Rates'!$B:$J,F$11,FALSE),0)</f>
        <v>4.8479999999999999</v>
      </c>
      <c r="G40" s="415">
        <f t="shared" ref="G40:G41" si="39">IF($D40="Monthly",1,IF($D40="per KW",$F$10,IF($D40="per kWh",$F$9,0)))</f>
        <v>250</v>
      </c>
      <c r="H40" s="400">
        <f t="shared" ref="H40:H41" si="40">G40*F40</f>
        <v>1212</v>
      </c>
      <c r="I40" s="128"/>
      <c r="J40" s="414">
        <f>IFERROR(VLOOKUP($C40,'Proposed Rates'!$B:$J,J$11,FALSE),0)</f>
        <v>4.5787000000000004</v>
      </c>
      <c r="K40" s="415">
        <f t="shared" ref="K40:K41" si="41">IF($D40="Monthly",1,IF($D40="per KW",$F$10,IF($D40="per kWh",$F$9,0)))</f>
        <v>250</v>
      </c>
      <c r="L40" s="400">
        <f t="shared" ref="L40:L41" si="42">K40*J40</f>
        <v>1144.6750000000002</v>
      </c>
      <c r="M40" s="128"/>
      <c r="N40" s="401">
        <f t="shared" si="5"/>
        <v>-67.324999999999818</v>
      </c>
      <c r="O40" s="402">
        <f t="shared" si="6"/>
        <v>-5.5548679867986651E-2</v>
      </c>
      <c r="P40" s="52"/>
      <c r="Q40" s="414">
        <f>IFERROR(VLOOKUP($C40,'Proposed Rates'!$B:$J,Q$11,FALSE),0)</f>
        <v>4.5787000000000004</v>
      </c>
      <c r="R40" s="415">
        <f t="shared" ref="R40:R41" si="43">IF($D40="Monthly",1,IF($D40="per KW",$F$10,IF($D40="per kWh",$F$9,0)))</f>
        <v>250</v>
      </c>
      <c r="S40" s="400">
        <f t="shared" ref="S40:S41" si="44">R40*Q40</f>
        <v>1144.6750000000002</v>
      </c>
      <c r="T40" s="128"/>
      <c r="U40" s="401">
        <f t="shared" si="9"/>
        <v>0</v>
      </c>
      <c r="V40" s="402">
        <f t="shared" si="10"/>
        <v>0</v>
      </c>
      <c r="W40" s="52"/>
      <c r="X40" s="414">
        <f>IFERROR(VLOOKUP($C40,'Proposed Rates'!$B:$J,X$11,FALSE),0)</f>
        <v>4.5787000000000004</v>
      </c>
      <c r="Y40" s="415">
        <f t="shared" ref="Y40:Y41" si="45">IF($D40="Monthly",1,IF($D40="per KW",$F$10,IF($D40="per kWh",$F$9,0)))</f>
        <v>250</v>
      </c>
      <c r="Z40" s="400">
        <f t="shared" ref="Z40:Z41" si="46">Y40*X40</f>
        <v>1144.6750000000002</v>
      </c>
      <c r="AA40" s="128"/>
      <c r="AB40" s="401">
        <f t="shared" si="36"/>
        <v>0</v>
      </c>
      <c r="AC40" s="402">
        <f t="shared" si="37"/>
        <v>0</v>
      </c>
      <c r="AD40" s="52"/>
      <c r="AE40" s="414">
        <f>IFERROR(VLOOKUP($C40,'Proposed Rates'!$B:$J,AE$11,FALSE),0)</f>
        <v>4.5787000000000004</v>
      </c>
      <c r="AF40" s="415">
        <f t="shared" ref="AF40:AF41" si="47">IF($D40="Monthly",1,IF($D40="per KW",$F$10,IF($D40="per kWh",$F$9,0)))</f>
        <v>250</v>
      </c>
      <c r="AG40" s="400">
        <f t="shared" ref="AG40:AG41" si="48">AF40*AE40</f>
        <v>1144.6750000000002</v>
      </c>
      <c r="AH40" s="128"/>
      <c r="AI40" s="401">
        <f t="shared" si="17"/>
        <v>0</v>
      </c>
      <c r="AJ40" s="402">
        <f t="shared" si="18"/>
        <v>0</v>
      </c>
      <c r="AK40" s="52"/>
      <c r="AL40" s="414">
        <f>IFERROR(VLOOKUP($C40,'Proposed Rates'!$B:$J,AL$11,FALSE),0)</f>
        <v>4.5787000000000004</v>
      </c>
      <c r="AM40" s="415">
        <f t="shared" ref="AM40:AM41" si="49">IF($D40="Monthly",1,IF($D40="per KW",$F$10,IF($D40="per kWh",$F$9,0)))</f>
        <v>250</v>
      </c>
      <c r="AN40" s="400">
        <f t="shared" ref="AN40:AN41" si="50">AM40*AL40</f>
        <v>1144.6750000000002</v>
      </c>
      <c r="AO40" s="128"/>
      <c r="AP40" s="401">
        <f t="shared" si="21"/>
        <v>0</v>
      </c>
      <c r="AQ40" s="402">
        <f t="shared" si="22"/>
        <v>0</v>
      </c>
      <c r="AR40" s="403"/>
      <c r="AS40" s="3"/>
      <c r="AT40" s="3"/>
      <c r="AU40" s="3"/>
      <c r="AV40" s="3"/>
      <c r="AW40" s="3"/>
      <c r="AX40" s="3"/>
    </row>
    <row r="41" spans="1:50" ht="12" customHeight="1">
      <c r="A41" s="551"/>
      <c r="B41" s="128" t="s">
        <v>256</v>
      </c>
      <c r="C41" s="395" t="str">
        <f t="shared" si="38"/>
        <v>General Service 50 to 1,499 KW.RTSR - Line and Transformation Connection</v>
      </c>
      <c r="D41" s="426" t="s">
        <v>377</v>
      </c>
      <c r="E41" s="128"/>
      <c r="F41" s="414">
        <f>IFERROR(VLOOKUP($C41,'Proposed Rates'!$B:$J,F$11,FALSE),0)</f>
        <v>2.8187000000000002</v>
      </c>
      <c r="G41" s="415">
        <f t="shared" si="39"/>
        <v>250</v>
      </c>
      <c r="H41" s="400">
        <f t="shared" si="40"/>
        <v>704.67500000000007</v>
      </c>
      <c r="I41" s="128"/>
      <c r="J41" s="414">
        <f>IFERROR(VLOOKUP($C41,'Proposed Rates'!$B:$J,J$11,FALSE),0)</f>
        <v>2.5918000000000001</v>
      </c>
      <c r="K41" s="415">
        <f t="shared" si="41"/>
        <v>250</v>
      </c>
      <c r="L41" s="400">
        <f t="shared" si="42"/>
        <v>647.95000000000005</v>
      </c>
      <c r="M41" s="128"/>
      <c r="N41" s="401">
        <f t="shared" si="5"/>
        <v>-56.725000000000023</v>
      </c>
      <c r="O41" s="402">
        <f t="shared" si="6"/>
        <v>-8.0498101961897356E-2</v>
      </c>
      <c r="P41" s="52"/>
      <c r="Q41" s="414">
        <f>IFERROR(VLOOKUP($C41,'Proposed Rates'!$B:$J,Q$11,FALSE),0)</f>
        <v>2.5918000000000001</v>
      </c>
      <c r="R41" s="415">
        <f t="shared" si="43"/>
        <v>250</v>
      </c>
      <c r="S41" s="400">
        <f t="shared" si="44"/>
        <v>647.95000000000005</v>
      </c>
      <c r="T41" s="128"/>
      <c r="U41" s="401">
        <f t="shared" si="9"/>
        <v>0</v>
      </c>
      <c r="V41" s="402">
        <f t="shared" si="10"/>
        <v>0</v>
      </c>
      <c r="W41" s="52"/>
      <c r="X41" s="414">
        <f>IFERROR(VLOOKUP($C41,'Proposed Rates'!$B:$J,X$11,FALSE),0)</f>
        <v>2.5918000000000001</v>
      </c>
      <c r="Y41" s="415">
        <f t="shared" si="45"/>
        <v>250</v>
      </c>
      <c r="Z41" s="400">
        <f t="shared" si="46"/>
        <v>647.95000000000005</v>
      </c>
      <c r="AA41" s="128"/>
      <c r="AB41" s="401">
        <f t="shared" si="36"/>
        <v>0</v>
      </c>
      <c r="AC41" s="402">
        <f t="shared" si="37"/>
        <v>0</v>
      </c>
      <c r="AD41" s="52"/>
      <c r="AE41" s="414">
        <f>IFERROR(VLOOKUP($C41,'Proposed Rates'!$B:$J,AE$11,FALSE),0)</f>
        <v>2.5918000000000001</v>
      </c>
      <c r="AF41" s="415">
        <f t="shared" si="47"/>
        <v>250</v>
      </c>
      <c r="AG41" s="400">
        <f t="shared" si="48"/>
        <v>647.95000000000005</v>
      </c>
      <c r="AH41" s="128"/>
      <c r="AI41" s="401">
        <f t="shared" si="17"/>
        <v>0</v>
      </c>
      <c r="AJ41" s="402">
        <f t="shared" si="18"/>
        <v>0</v>
      </c>
      <c r="AK41" s="52"/>
      <c r="AL41" s="414">
        <f>IFERROR(VLOOKUP($C41,'Proposed Rates'!$B:$J,AL$11,FALSE),0)</f>
        <v>2.5918000000000001</v>
      </c>
      <c r="AM41" s="415">
        <f t="shared" si="49"/>
        <v>250</v>
      </c>
      <c r="AN41" s="400">
        <f t="shared" si="50"/>
        <v>647.95000000000005</v>
      </c>
      <c r="AO41" s="128"/>
      <c r="AP41" s="401">
        <f t="shared" si="21"/>
        <v>0</v>
      </c>
      <c r="AQ41" s="402">
        <f t="shared" si="22"/>
        <v>0</v>
      </c>
      <c r="AR41" s="403"/>
      <c r="AS41" s="3"/>
      <c r="AT41" s="3"/>
      <c r="AU41" s="3"/>
      <c r="AV41" s="3"/>
      <c r="AW41" s="3"/>
      <c r="AX41" s="3"/>
    </row>
    <row r="42" spans="1:50" ht="12" customHeight="1">
      <c r="A42" s="551"/>
      <c r="B42" s="405" t="s">
        <v>314</v>
      </c>
      <c r="C42" s="427"/>
      <c r="D42" s="427"/>
      <c r="E42" s="427"/>
      <c r="F42" s="428"/>
      <c r="G42" s="501"/>
      <c r="H42" s="409">
        <f>SUM(H39:H41)</f>
        <v>3919.8575000000001</v>
      </c>
      <c r="I42" s="410"/>
      <c r="J42" s="428"/>
      <c r="K42" s="501"/>
      <c r="L42" s="409">
        <f>SUM(L39:L41)</f>
        <v>4181.21</v>
      </c>
      <c r="M42" s="410"/>
      <c r="N42" s="411">
        <f t="shared" si="5"/>
        <v>261.35249999999996</v>
      </c>
      <c r="O42" s="412">
        <f t="shared" si="6"/>
        <v>6.6673979857686139E-2</v>
      </c>
      <c r="P42" s="52"/>
      <c r="Q42" s="428"/>
      <c r="R42" s="501"/>
      <c r="S42" s="409">
        <f>SUM(S39:S41)</f>
        <v>4194.7850000000008</v>
      </c>
      <c r="T42" s="410"/>
      <c r="U42" s="411">
        <f t="shared" si="9"/>
        <v>13.575000000000728</v>
      </c>
      <c r="V42" s="412">
        <f t="shared" si="10"/>
        <v>3.2466678306042338E-3</v>
      </c>
      <c r="W42" s="52"/>
      <c r="X42" s="428"/>
      <c r="Y42" s="501"/>
      <c r="Z42" s="409">
        <f>SUM(Z39:Z41)</f>
        <v>4407.4375</v>
      </c>
      <c r="AA42" s="410"/>
      <c r="AB42" s="411">
        <f t="shared" si="36"/>
        <v>212.65249999999924</v>
      </c>
      <c r="AC42" s="412">
        <f t="shared" si="37"/>
        <v>5.0694493281538675E-2</v>
      </c>
      <c r="AD42" s="52"/>
      <c r="AE42" s="428"/>
      <c r="AF42" s="501"/>
      <c r="AG42" s="409">
        <f>SUM(AG39:AG41)</f>
        <v>4579.2125000000005</v>
      </c>
      <c r="AH42" s="410"/>
      <c r="AI42" s="411">
        <f t="shared" si="17"/>
        <v>171.77500000000055</v>
      </c>
      <c r="AJ42" s="412">
        <f t="shared" si="18"/>
        <v>3.8973893560600811E-2</v>
      </c>
      <c r="AK42" s="52"/>
      <c r="AL42" s="428"/>
      <c r="AM42" s="501"/>
      <c r="AN42" s="409">
        <f>SUM(AN39:AN41)</f>
        <v>4742.37</v>
      </c>
      <c r="AO42" s="410"/>
      <c r="AP42" s="411">
        <f t="shared" si="21"/>
        <v>163.15749999999935</v>
      </c>
      <c r="AQ42" s="412">
        <f t="shared" si="22"/>
        <v>3.5630034640235481E-2</v>
      </c>
      <c r="AR42" s="413"/>
      <c r="AS42" s="3"/>
      <c r="AT42" s="3"/>
      <c r="AU42" s="3"/>
      <c r="AV42" s="3"/>
      <c r="AW42" s="3"/>
      <c r="AX42" s="3"/>
    </row>
    <row r="43" spans="1:50" ht="12" customHeight="1">
      <c r="A43" s="551"/>
      <c r="B43" s="320" t="s">
        <v>257</v>
      </c>
      <c r="C43" s="395" t="str">
        <f t="shared" ref="C43:C45" si="51">D$6&amp;"."&amp;B43</f>
        <v>General Service 50 to 1,499 KW.Wholesale Market Service Charge (WMSC)</v>
      </c>
      <c r="D43" s="396" t="s">
        <v>308</v>
      </c>
      <c r="E43" s="320"/>
      <c r="F43" s="414">
        <f>IFERROR(VLOOKUP($C43,'Proposed Rates'!$B:$J,F$11,FALSE),0)</f>
        <v>4.4999999999999997E-3</v>
      </c>
      <c r="G43" s="421">
        <f t="shared" ref="G43:G44" si="52">$F$9+G$37</f>
        <v>52723.8</v>
      </c>
      <c r="H43" s="400">
        <f t="shared" ref="H43:H46" si="53">G43*F43</f>
        <v>237.25710000000001</v>
      </c>
      <c r="I43" s="128"/>
      <c r="J43" s="414">
        <f>IFERROR(VLOOKUP($C43,'Proposed Rates'!$B:$J,J$11,FALSE),0)</f>
        <v>4.4999999999999997E-3</v>
      </c>
      <c r="K43" s="421">
        <f t="shared" ref="K43:K44" si="54">$F$9+K$37</f>
        <v>52693.2</v>
      </c>
      <c r="L43" s="400">
        <f t="shared" ref="L43:L46" si="55">K43*J43</f>
        <v>237.11939999999996</v>
      </c>
      <c r="M43" s="128"/>
      <c r="N43" s="401">
        <f t="shared" si="5"/>
        <v>-0.13770000000005211</v>
      </c>
      <c r="O43" s="402">
        <f t="shared" si="6"/>
        <v>-5.8038305281507747E-4</v>
      </c>
      <c r="P43" s="52"/>
      <c r="Q43" s="414">
        <f>IFERROR(VLOOKUP($C43,'Proposed Rates'!$B:$J,Q$11,FALSE),0)</f>
        <v>4.4999999999999997E-3</v>
      </c>
      <c r="R43" s="421">
        <f t="shared" ref="R43:R44" si="56">$F$9+R$37</f>
        <v>52693.2</v>
      </c>
      <c r="S43" s="400">
        <f t="shared" ref="S43:S46" si="57">R43*Q43</f>
        <v>237.11939999999996</v>
      </c>
      <c r="T43" s="128"/>
      <c r="U43" s="401">
        <f t="shared" si="9"/>
        <v>0</v>
      </c>
      <c r="V43" s="402">
        <f t="shared" si="10"/>
        <v>0</v>
      </c>
      <c r="W43" s="52"/>
      <c r="X43" s="414">
        <f>IFERROR(VLOOKUP($C43,'Proposed Rates'!$B:$J,X$11,FALSE),0)</f>
        <v>4.4999999999999997E-3</v>
      </c>
      <c r="Y43" s="421">
        <f t="shared" ref="Y43:Y44" si="58">$F$9+Y$37</f>
        <v>52693.2</v>
      </c>
      <c r="Z43" s="400">
        <f t="shared" ref="Z43:Z46" si="59">Y43*X43</f>
        <v>237.11939999999996</v>
      </c>
      <c r="AA43" s="128"/>
      <c r="AB43" s="401">
        <f t="shared" si="36"/>
        <v>0</v>
      </c>
      <c r="AC43" s="402">
        <f t="shared" si="37"/>
        <v>0</v>
      </c>
      <c r="AD43" s="52"/>
      <c r="AE43" s="414">
        <f>IFERROR(VLOOKUP($C43,'Proposed Rates'!$B:$J,AE$11,FALSE),0)</f>
        <v>4.4999999999999997E-3</v>
      </c>
      <c r="AF43" s="421">
        <f t="shared" ref="AF43:AF44" si="60">$F$9+AF$37</f>
        <v>52693.2</v>
      </c>
      <c r="AG43" s="400">
        <f t="shared" ref="AG43:AG46" si="61">AF43*AE43</f>
        <v>237.11939999999996</v>
      </c>
      <c r="AH43" s="128"/>
      <c r="AI43" s="401">
        <f t="shared" si="17"/>
        <v>0</v>
      </c>
      <c r="AJ43" s="402">
        <f t="shared" si="18"/>
        <v>0</v>
      </c>
      <c r="AK43" s="52"/>
      <c r="AL43" s="414">
        <f>IFERROR(VLOOKUP($C43,'Proposed Rates'!$B:$J,AL$11,FALSE),0)</f>
        <v>4.4999999999999997E-3</v>
      </c>
      <c r="AM43" s="421">
        <f t="shared" ref="AM43:AM44" si="62">$F$9+AM$37</f>
        <v>52693.2</v>
      </c>
      <c r="AN43" s="400">
        <f t="shared" ref="AN43:AN46" si="63">AM43*AL43</f>
        <v>237.11939999999996</v>
      </c>
      <c r="AO43" s="128"/>
      <c r="AP43" s="401">
        <f t="shared" si="21"/>
        <v>0</v>
      </c>
      <c r="AQ43" s="402">
        <f t="shared" si="22"/>
        <v>0</v>
      </c>
      <c r="AR43" s="403"/>
      <c r="AS43" s="3"/>
      <c r="AT43" s="3"/>
      <c r="AU43" s="3"/>
      <c r="AV43" s="3"/>
      <c r="AW43" s="3"/>
      <c r="AX43" s="3"/>
    </row>
    <row r="44" spans="1:50" ht="12" customHeight="1">
      <c r="A44" s="551"/>
      <c r="B44" s="320" t="s">
        <v>258</v>
      </c>
      <c r="C44" s="395" t="str">
        <f t="shared" si="51"/>
        <v>General Service 50 to 1,499 KW.Rural and Remote Rate Protection (RRRP)</v>
      </c>
      <c r="D44" s="396" t="s">
        <v>308</v>
      </c>
      <c r="E44" s="320"/>
      <c r="F44" s="414">
        <f>IFERROR(VLOOKUP($C44,'Proposed Rates'!$B:$J,F$11,FALSE),0)</f>
        <v>1.5E-3</v>
      </c>
      <c r="G44" s="421">
        <f t="shared" si="52"/>
        <v>52723.8</v>
      </c>
      <c r="H44" s="400">
        <f t="shared" si="53"/>
        <v>79.085700000000003</v>
      </c>
      <c r="I44" s="128"/>
      <c r="J44" s="414">
        <f>IFERROR(VLOOKUP($C44,'Proposed Rates'!$B:$J,J$11,FALSE),0)</f>
        <v>1.5E-3</v>
      </c>
      <c r="K44" s="421">
        <f t="shared" si="54"/>
        <v>52693.2</v>
      </c>
      <c r="L44" s="400">
        <f t="shared" si="55"/>
        <v>79.0398</v>
      </c>
      <c r="M44" s="128"/>
      <c r="N44" s="401">
        <f t="shared" si="5"/>
        <v>-4.590000000000316E-2</v>
      </c>
      <c r="O44" s="402">
        <f t="shared" si="6"/>
        <v>-5.8038305281489771E-4</v>
      </c>
      <c r="P44" s="52"/>
      <c r="Q44" s="414">
        <f>IFERROR(VLOOKUP($C44,'Proposed Rates'!$B:$J,Q$11,FALSE),0)</f>
        <v>1.5E-3</v>
      </c>
      <c r="R44" s="421">
        <f t="shared" si="56"/>
        <v>52693.2</v>
      </c>
      <c r="S44" s="400">
        <f t="shared" si="57"/>
        <v>79.0398</v>
      </c>
      <c r="T44" s="128"/>
      <c r="U44" s="401">
        <f t="shared" si="9"/>
        <v>0</v>
      </c>
      <c r="V44" s="402">
        <f t="shared" si="10"/>
        <v>0</v>
      </c>
      <c r="W44" s="52"/>
      <c r="X44" s="414">
        <f>IFERROR(VLOOKUP($C44,'Proposed Rates'!$B:$J,X$11,FALSE),0)</f>
        <v>1.5E-3</v>
      </c>
      <c r="Y44" s="421">
        <f t="shared" si="58"/>
        <v>52693.2</v>
      </c>
      <c r="Z44" s="400">
        <f t="shared" si="59"/>
        <v>79.0398</v>
      </c>
      <c r="AA44" s="128"/>
      <c r="AB44" s="401">
        <f t="shared" si="36"/>
        <v>0</v>
      </c>
      <c r="AC44" s="402">
        <f t="shared" si="37"/>
        <v>0</v>
      </c>
      <c r="AD44" s="52"/>
      <c r="AE44" s="414">
        <f>IFERROR(VLOOKUP($C44,'Proposed Rates'!$B:$J,AE$11,FALSE),0)</f>
        <v>1.5E-3</v>
      </c>
      <c r="AF44" s="421">
        <f t="shared" si="60"/>
        <v>52693.2</v>
      </c>
      <c r="AG44" s="400">
        <f t="shared" si="61"/>
        <v>79.0398</v>
      </c>
      <c r="AH44" s="128"/>
      <c r="AI44" s="401">
        <f t="shared" si="17"/>
        <v>0</v>
      </c>
      <c r="AJ44" s="402">
        <f t="shared" si="18"/>
        <v>0</v>
      </c>
      <c r="AK44" s="52"/>
      <c r="AL44" s="414">
        <f>IFERROR(VLOOKUP($C44,'Proposed Rates'!$B:$J,AL$11,FALSE),0)</f>
        <v>1.5E-3</v>
      </c>
      <c r="AM44" s="421">
        <f t="shared" si="62"/>
        <v>52693.2</v>
      </c>
      <c r="AN44" s="400">
        <f t="shared" si="63"/>
        <v>79.0398</v>
      </c>
      <c r="AO44" s="128"/>
      <c r="AP44" s="401">
        <f t="shared" si="21"/>
        <v>0</v>
      </c>
      <c r="AQ44" s="402">
        <f t="shared" si="22"/>
        <v>0</v>
      </c>
      <c r="AR44" s="403"/>
      <c r="AS44" s="3"/>
      <c r="AT44" s="3"/>
      <c r="AU44" s="3"/>
      <c r="AV44" s="3"/>
      <c r="AW44" s="3"/>
      <c r="AX44" s="3"/>
    </row>
    <row r="45" spans="1:50" ht="12" customHeight="1">
      <c r="A45" s="551"/>
      <c r="B45" s="320" t="s">
        <v>260</v>
      </c>
      <c r="C45" s="395" t="str">
        <f t="shared" si="51"/>
        <v>General Service 50 to 1,499 KW.Standard Supply Service Charge</v>
      </c>
      <c r="D45" s="396" t="s">
        <v>306</v>
      </c>
      <c r="E45" s="320"/>
      <c r="F45" s="397">
        <f>IFERROR(VLOOKUP($C45,'Proposed Rates'!$B:$J,F$11,FALSE),0)</f>
        <v>0.25</v>
      </c>
      <c r="G45" s="415">
        <f>IF($D45="Monthly",1,IF($D45="per KW",$F$10,IF($D45="per kWh",$F$9,0)))</f>
        <v>1</v>
      </c>
      <c r="H45" s="400">
        <f t="shared" si="53"/>
        <v>0.25</v>
      </c>
      <c r="I45" s="128"/>
      <c r="J45" s="397">
        <f>IFERROR(VLOOKUP($C45,'Proposed Rates'!$B:$J,J$11,FALSE),0)</f>
        <v>1.51</v>
      </c>
      <c r="K45" s="415">
        <f>IF($D45="Monthly",1,IF($D45="per KW",$F$10,IF($D45="per kWh",$F$9,0)))</f>
        <v>1</v>
      </c>
      <c r="L45" s="400">
        <f t="shared" si="55"/>
        <v>1.51</v>
      </c>
      <c r="M45" s="128"/>
      <c r="N45" s="401">
        <f t="shared" si="5"/>
        <v>1.26</v>
      </c>
      <c r="O45" s="402">
        <f t="shared" si="6"/>
        <v>5.04</v>
      </c>
      <c r="P45" s="52"/>
      <c r="Q45" s="397">
        <f>IFERROR(VLOOKUP($C45,'Proposed Rates'!$B:$J,Q$11,FALSE),0)</f>
        <v>1.54</v>
      </c>
      <c r="R45" s="415">
        <f>IF($D45="Monthly",1,IF($D45="per KW",$F$10,IF($D45="per kWh",$F$9,0)))</f>
        <v>1</v>
      </c>
      <c r="S45" s="400">
        <f t="shared" si="57"/>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9"/>
        <v>1.57</v>
      </c>
      <c r="AA45" s="128"/>
      <c r="AB45" s="401">
        <f t="shared" si="36"/>
        <v>3.0000000000000027E-2</v>
      </c>
      <c r="AC45" s="402">
        <f t="shared" si="37"/>
        <v>1.9480519480519497E-2</v>
      </c>
      <c r="AD45" s="52"/>
      <c r="AE45" s="397">
        <f>IFERROR(VLOOKUP($C45,'Proposed Rates'!$B:$J,AE$11,FALSE),0)</f>
        <v>1.6</v>
      </c>
      <c r="AF45" s="415">
        <f>IF($D45="Monthly",1,IF($D45="per KW",$F$10,IF($D45="per kWh",$F$9,0)))</f>
        <v>1</v>
      </c>
      <c r="AG45" s="400">
        <f t="shared" si="61"/>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3"/>
        <v>1.63</v>
      </c>
      <c r="AO45" s="128"/>
      <c r="AP45" s="401">
        <f t="shared" si="21"/>
        <v>2.9999999999999805E-2</v>
      </c>
      <c r="AQ45" s="402">
        <f t="shared" si="22"/>
        <v>1.8749999999999878E-2</v>
      </c>
      <c r="AR45" s="403"/>
      <c r="AS45" s="3"/>
      <c r="AT45" s="3"/>
      <c r="AU45" s="3"/>
      <c r="AV45" s="3"/>
      <c r="AW45" s="3"/>
      <c r="AX45" s="3"/>
    </row>
    <row r="46" spans="1:50" ht="12" customHeight="1">
      <c r="A46" s="551"/>
      <c r="B46" s="320" t="s">
        <v>267</v>
      </c>
      <c r="C46" s="395" t="str">
        <f>B46</f>
        <v>Average IESO Wholesale Market Price</v>
      </c>
      <c r="D46" s="396" t="s">
        <v>308</v>
      </c>
      <c r="E46" s="320"/>
      <c r="F46" s="414">
        <f>IFERROR(VLOOKUP($C46,'Proposed Rates'!$B:$J,F$11,FALSE),0)</f>
        <v>0.1045</v>
      </c>
      <c r="G46" s="421">
        <f>$F$9+G$37</f>
        <v>52723.8</v>
      </c>
      <c r="H46" s="400">
        <f t="shared" si="53"/>
        <v>5509.6370999999999</v>
      </c>
      <c r="I46" s="128"/>
      <c r="J46" s="414">
        <f>IFERROR(VLOOKUP($C46,'Proposed Rates'!$B:$J,J$11,FALSE),0)</f>
        <v>0.1045</v>
      </c>
      <c r="K46" s="421">
        <f>$F$9+K$37</f>
        <v>52693.2</v>
      </c>
      <c r="L46" s="400">
        <f t="shared" si="55"/>
        <v>5506.4393999999993</v>
      </c>
      <c r="M46" s="128"/>
      <c r="N46" s="401">
        <f t="shared" si="5"/>
        <v>-3.1977000000006228</v>
      </c>
      <c r="O46" s="402">
        <f t="shared" si="6"/>
        <v>-5.8038305281497089E-4</v>
      </c>
      <c r="P46" s="52"/>
      <c r="Q46" s="414">
        <f>IFERROR(VLOOKUP($C46,'Proposed Rates'!$B:$J,Q$11,FALSE),0)</f>
        <v>0.1045</v>
      </c>
      <c r="R46" s="421">
        <f>$F$9+R$37</f>
        <v>52693.2</v>
      </c>
      <c r="S46" s="400">
        <f t="shared" si="57"/>
        <v>5506.4393999999993</v>
      </c>
      <c r="T46" s="128"/>
      <c r="U46" s="401">
        <f t="shared" si="9"/>
        <v>0</v>
      </c>
      <c r="V46" s="402">
        <f t="shared" si="10"/>
        <v>0</v>
      </c>
      <c r="W46" s="52"/>
      <c r="X46" s="414">
        <f>IFERROR(VLOOKUP($C46,'Proposed Rates'!$B:$J,X$11,FALSE),0)</f>
        <v>0.1045</v>
      </c>
      <c r="Y46" s="421">
        <f>$F$9+Y$37</f>
        <v>52693.2</v>
      </c>
      <c r="Z46" s="400">
        <f t="shared" si="59"/>
        <v>5506.4393999999993</v>
      </c>
      <c r="AA46" s="128"/>
      <c r="AB46" s="401">
        <f t="shared" si="36"/>
        <v>0</v>
      </c>
      <c r="AC46" s="402">
        <f t="shared" si="37"/>
        <v>0</v>
      </c>
      <c r="AD46" s="52"/>
      <c r="AE46" s="414">
        <f>IFERROR(VLOOKUP($C46,'Proposed Rates'!$B:$J,AE$11,FALSE),0)</f>
        <v>0.1045</v>
      </c>
      <c r="AF46" s="421">
        <f>$F$9+AF$37</f>
        <v>52693.2</v>
      </c>
      <c r="AG46" s="400">
        <f t="shared" si="61"/>
        <v>5506.4393999999993</v>
      </c>
      <c r="AH46" s="128"/>
      <c r="AI46" s="401">
        <f t="shared" si="17"/>
        <v>0</v>
      </c>
      <c r="AJ46" s="402">
        <f t="shared" si="18"/>
        <v>0</v>
      </c>
      <c r="AK46" s="52"/>
      <c r="AL46" s="414">
        <f>IFERROR(VLOOKUP($C46,'Proposed Rates'!$B:$J,AL$11,FALSE),0)</f>
        <v>0.1045</v>
      </c>
      <c r="AM46" s="421">
        <f>$F$9+AM$37</f>
        <v>52693.2</v>
      </c>
      <c r="AN46" s="400">
        <f t="shared" si="63"/>
        <v>5506.4393999999993</v>
      </c>
      <c r="AO46" s="128"/>
      <c r="AP46" s="401">
        <f t="shared" si="21"/>
        <v>0</v>
      </c>
      <c r="AQ46" s="402">
        <f t="shared" si="22"/>
        <v>0</v>
      </c>
      <c r="AR46" s="403"/>
      <c r="AS46" s="3"/>
      <c r="AT46" s="3"/>
      <c r="AU46" s="3"/>
      <c r="AV46" s="3"/>
      <c r="AW46" s="3"/>
      <c r="AX46" s="3"/>
    </row>
    <row r="47" spans="1:50" ht="12" customHeight="1">
      <c r="A47" s="551"/>
      <c r="B47" s="320"/>
      <c r="C47" s="395" t="str">
        <f t="shared" ref="C47:C50" si="64">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c r="AS47" s="3"/>
      <c r="AT47" s="3"/>
      <c r="AU47" s="3"/>
      <c r="AV47" s="3"/>
      <c r="AW47" s="3"/>
      <c r="AX47" s="3"/>
    </row>
    <row r="48" spans="1:50" ht="12" customHeight="1">
      <c r="A48" s="551"/>
      <c r="B48" s="52"/>
      <c r="C48" s="395" t="str">
        <f t="shared" si="64"/>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c r="AS48" s="3"/>
      <c r="AT48" s="3"/>
      <c r="AU48" s="3"/>
      <c r="AV48" s="3"/>
      <c r="AW48" s="3"/>
      <c r="AX48" s="3"/>
    </row>
    <row r="49" spans="1:50" ht="12" customHeight="1">
      <c r="A49" s="551"/>
      <c r="B49" s="320"/>
      <c r="C49" s="395" t="str">
        <f t="shared" si="64"/>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c r="AS49" s="3"/>
      <c r="AT49" s="3"/>
      <c r="AU49" s="3"/>
      <c r="AV49" s="3"/>
      <c r="AW49" s="3"/>
      <c r="AX49" s="3"/>
    </row>
    <row r="50" spans="1:50" ht="12" customHeight="1">
      <c r="A50" s="551"/>
      <c r="B50" s="320"/>
      <c r="C50" s="395" t="str">
        <f t="shared" si="64"/>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c r="AS50" s="3"/>
      <c r="AT50" s="3"/>
      <c r="AU50" s="3"/>
      <c r="AV50" s="3"/>
      <c r="AW50" s="3"/>
      <c r="AX50" s="3"/>
    </row>
    <row r="51" spans="1:50" ht="12" customHeight="1">
      <c r="A51" s="551"/>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3"/>
      <c r="AT51" s="3"/>
      <c r="AU51" s="3"/>
      <c r="AV51" s="3"/>
      <c r="AW51" s="3"/>
      <c r="AX51" s="3"/>
    </row>
    <row r="52" spans="1:50" ht="12" customHeight="1">
      <c r="A52" s="551"/>
      <c r="B52" s="444" t="s">
        <v>315</v>
      </c>
      <c r="C52" s="320"/>
      <c r="D52" s="320"/>
      <c r="E52" s="320"/>
      <c r="F52" s="445"/>
      <c r="G52" s="489"/>
      <c r="H52" s="447">
        <f>SUM(H43:H48,H42)</f>
        <v>9746.0874000000003</v>
      </c>
      <c r="I52" s="482"/>
      <c r="J52" s="446"/>
      <c r="K52" s="446"/>
      <c r="L52" s="447">
        <f>SUM(L43:L48,L42)</f>
        <v>10005.318599999999</v>
      </c>
      <c r="M52" s="449"/>
      <c r="N52" s="448">
        <f t="shared" ref="N52:N56" si="65">L52-H52</f>
        <v>259.23119999999835</v>
      </c>
      <c r="O52" s="450">
        <f t="shared" ref="O52:O56" si="66">IF((H52)=0,"",(N52/H52))</f>
        <v>2.6598489153708837E-2</v>
      </c>
      <c r="P52" s="52"/>
      <c r="Q52" s="446"/>
      <c r="R52" s="446"/>
      <c r="S52" s="447">
        <f>SUM(S43:S48,S42)</f>
        <v>10018.9236</v>
      </c>
      <c r="T52" s="449"/>
      <c r="U52" s="448">
        <f t="shared" ref="U52:U56" si="67">S52-L52</f>
        <v>13.605000000001382</v>
      </c>
      <c r="V52" s="450">
        <f t="shared" ref="V52:V56" si="68">IF((L52)=0,"",(U52/L52))</f>
        <v>1.3597767891170786E-3</v>
      </c>
      <c r="W52" s="52"/>
      <c r="X52" s="446"/>
      <c r="Y52" s="446"/>
      <c r="Z52" s="447">
        <f>SUM(Z43:Z48,Z42)</f>
        <v>10231.606099999999</v>
      </c>
      <c r="AA52" s="449"/>
      <c r="AB52" s="448">
        <f t="shared" ref="AB52:AB56" si="69">Z52-S52</f>
        <v>212.68249999999898</v>
      </c>
      <c r="AC52" s="450">
        <f t="shared" ref="AC52:AC56" si="70">IF((S52)=0,"",(AB52/S52))</f>
        <v>2.1228078832739975E-2</v>
      </c>
      <c r="AD52" s="52"/>
      <c r="AE52" s="446"/>
      <c r="AF52" s="446"/>
      <c r="AG52" s="447">
        <f>SUM(AG43:AG48,AG42)</f>
        <v>10403.411100000001</v>
      </c>
      <c r="AH52" s="449"/>
      <c r="AI52" s="448">
        <f t="shared" ref="AI52:AI56" si="71">AG52-Z52</f>
        <v>171.80500000000211</v>
      </c>
      <c r="AJ52" s="450">
        <f t="shared" ref="AJ52:AJ56" si="72">IF((Z52)=0,"",(AI52/Z52))</f>
        <v>1.6791596384853218E-2</v>
      </c>
      <c r="AK52" s="52"/>
      <c r="AL52" s="446"/>
      <c r="AM52" s="446"/>
      <c r="AN52" s="447">
        <f>SUM(AN43:AN48,AN42)</f>
        <v>10566.598599999999</v>
      </c>
      <c r="AO52" s="449"/>
      <c r="AP52" s="448">
        <f t="shared" ref="AP52:AP56" si="73">AN52-AG52</f>
        <v>163.18749999999818</v>
      </c>
      <c r="AQ52" s="450">
        <f t="shared" ref="AQ52:AQ56" si="74">IF((AG52)=0,"",(AP52/AG52))</f>
        <v>1.5685960924873781E-2</v>
      </c>
      <c r="AR52" s="451"/>
      <c r="AS52" s="3"/>
      <c r="AT52" s="3"/>
      <c r="AU52" s="3"/>
      <c r="AV52" s="3"/>
      <c r="AW52" s="3"/>
      <c r="AX52" s="3"/>
    </row>
    <row r="53" spans="1:50" ht="12" customHeight="1">
      <c r="A53" s="551"/>
      <c r="B53" s="452" t="s">
        <v>316</v>
      </c>
      <c r="C53" s="320"/>
      <c r="D53" s="320"/>
      <c r="E53" s="320"/>
      <c r="F53" s="445">
        <v>0.13</v>
      </c>
      <c r="G53" s="128"/>
      <c r="H53" s="490">
        <f>H52*F53</f>
        <v>1266.991362</v>
      </c>
      <c r="I53" s="417"/>
      <c r="J53" s="453">
        <v>0.13</v>
      </c>
      <c r="K53" s="417"/>
      <c r="L53" s="400">
        <f>L52*J53</f>
        <v>1300.6914179999999</v>
      </c>
      <c r="M53" s="128"/>
      <c r="N53" s="401">
        <f t="shared" si="65"/>
        <v>33.700055999999904</v>
      </c>
      <c r="O53" s="402">
        <f t="shared" si="66"/>
        <v>2.659848915370893E-2</v>
      </c>
      <c r="P53" s="52"/>
      <c r="Q53" s="453">
        <v>0.13</v>
      </c>
      <c r="R53" s="417"/>
      <c r="S53" s="400">
        <f>S52*Q53</f>
        <v>1302.4600680000001</v>
      </c>
      <c r="T53" s="128"/>
      <c r="U53" s="401">
        <f t="shared" si="67"/>
        <v>1.768650000000207</v>
      </c>
      <c r="V53" s="402">
        <f t="shared" si="68"/>
        <v>1.3597767891170996E-3</v>
      </c>
      <c r="W53" s="52"/>
      <c r="X53" s="453">
        <v>0.13</v>
      </c>
      <c r="Y53" s="417"/>
      <c r="Z53" s="400">
        <f>Z52*X53</f>
        <v>1330.1087929999999</v>
      </c>
      <c r="AA53" s="128"/>
      <c r="AB53" s="401">
        <f t="shared" si="69"/>
        <v>27.648724999999786</v>
      </c>
      <c r="AC53" s="402">
        <f t="shared" si="70"/>
        <v>2.1228078832739909E-2</v>
      </c>
      <c r="AD53" s="52"/>
      <c r="AE53" s="453">
        <v>0.13</v>
      </c>
      <c r="AF53" s="417"/>
      <c r="AG53" s="400">
        <f>AG52*AE53</f>
        <v>1352.4434430000001</v>
      </c>
      <c r="AH53" s="128"/>
      <c r="AI53" s="401">
        <f t="shared" si="71"/>
        <v>22.334650000000238</v>
      </c>
      <c r="AJ53" s="402">
        <f t="shared" si="72"/>
        <v>1.679159638485319E-2</v>
      </c>
      <c r="AK53" s="52"/>
      <c r="AL53" s="453">
        <v>0.13</v>
      </c>
      <c r="AM53" s="417"/>
      <c r="AN53" s="400">
        <f>AN52*AL53</f>
        <v>1373.6578179999999</v>
      </c>
      <c r="AO53" s="128"/>
      <c r="AP53" s="401">
        <f t="shared" si="73"/>
        <v>21.214374999999791</v>
      </c>
      <c r="AQ53" s="402">
        <f t="shared" si="74"/>
        <v>1.5685960924873801E-2</v>
      </c>
      <c r="AR53" s="403"/>
      <c r="AS53" s="3"/>
      <c r="AT53" s="3"/>
      <c r="AU53" s="3"/>
      <c r="AV53" s="3"/>
      <c r="AW53" s="3"/>
      <c r="AX53" s="3"/>
    </row>
    <row r="54" spans="1:50" ht="12" customHeight="1">
      <c r="A54" s="551"/>
      <c r="B54" s="454" t="s">
        <v>387</v>
      </c>
      <c r="C54" s="320"/>
      <c r="D54" s="320"/>
      <c r="E54" s="320"/>
      <c r="F54" s="455"/>
      <c r="G54" s="128"/>
      <c r="H54" s="490">
        <f>H52+H53</f>
        <v>11013.078762000001</v>
      </c>
      <c r="I54" s="417"/>
      <c r="J54" s="417"/>
      <c r="K54" s="417"/>
      <c r="L54" s="400">
        <f>L52+L53</f>
        <v>11306.010017999999</v>
      </c>
      <c r="M54" s="128"/>
      <c r="N54" s="401">
        <f t="shared" si="65"/>
        <v>292.93125599999803</v>
      </c>
      <c r="O54" s="402">
        <f t="shared" si="66"/>
        <v>2.6598489153708823E-2</v>
      </c>
      <c r="P54" s="52"/>
      <c r="Q54" s="417"/>
      <c r="R54" s="417"/>
      <c r="S54" s="400">
        <f>S52+S53</f>
        <v>11321.383668</v>
      </c>
      <c r="T54" s="128"/>
      <c r="U54" s="401">
        <f t="shared" si="67"/>
        <v>15.373650000001362</v>
      </c>
      <c r="V54" s="402">
        <f t="shared" si="68"/>
        <v>1.3597767891170608E-3</v>
      </c>
      <c r="W54" s="52"/>
      <c r="X54" s="417"/>
      <c r="Y54" s="417"/>
      <c r="Z54" s="400">
        <f>Z52+Z53</f>
        <v>11561.714892999998</v>
      </c>
      <c r="AA54" s="128"/>
      <c r="AB54" s="401">
        <f t="shared" si="69"/>
        <v>240.33122499999808</v>
      </c>
      <c r="AC54" s="402">
        <f t="shared" si="70"/>
        <v>2.1228078832739906E-2</v>
      </c>
      <c r="AD54" s="52"/>
      <c r="AE54" s="417"/>
      <c r="AF54" s="417"/>
      <c r="AG54" s="400">
        <f>AG52+AG53</f>
        <v>11755.854543000001</v>
      </c>
      <c r="AH54" s="128"/>
      <c r="AI54" s="401">
        <f t="shared" si="71"/>
        <v>194.1396500000028</v>
      </c>
      <c r="AJ54" s="402">
        <f t="shared" si="72"/>
        <v>1.6791596384853256E-2</v>
      </c>
      <c r="AK54" s="52"/>
      <c r="AL54" s="417"/>
      <c r="AM54" s="417"/>
      <c r="AN54" s="400">
        <f>AN52+AN53</f>
        <v>11940.256417999999</v>
      </c>
      <c r="AO54" s="128"/>
      <c r="AP54" s="401">
        <f t="shared" si="73"/>
        <v>184.40187499999774</v>
      </c>
      <c r="AQ54" s="402">
        <f t="shared" si="74"/>
        <v>1.5685960924873763E-2</v>
      </c>
      <c r="AR54" s="403"/>
      <c r="AS54" s="3"/>
      <c r="AT54" s="3"/>
      <c r="AU54" s="3"/>
      <c r="AV54" s="3"/>
      <c r="AW54" s="3"/>
      <c r="AX54" s="3"/>
    </row>
    <row r="55" spans="1:50" ht="12" customHeight="1">
      <c r="A55" s="551"/>
      <c r="B55" s="628" t="s">
        <v>273</v>
      </c>
      <c r="C55" s="615"/>
      <c r="D55" s="615"/>
      <c r="E55" s="320"/>
      <c r="F55" s="455"/>
      <c r="G55" s="128"/>
      <c r="H55" s="492">
        <f>F55*H52</f>
        <v>0</v>
      </c>
      <c r="I55" s="417"/>
      <c r="J55" s="417"/>
      <c r="K55" s="417"/>
      <c r="L55" s="512">
        <f>J55*L52</f>
        <v>0</v>
      </c>
      <c r="M55" s="128"/>
      <c r="N55" s="457">
        <f t="shared" si="65"/>
        <v>0</v>
      </c>
      <c r="O55" s="459" t="str">
        <f t="shared" si="66"/>
        <v/>
      </c>
      <c r="P55" s="52"/>
      <c r="Q55" s="417"/>
      <c r="R55" s="417"/>
      <c r="S55" s="512">
        <f>Q55*S52</f>
        <v>0</v>
      </c>
      <c r="T55" s="128"/>
      <c r="U55" s="457">
        <f t="shared" si="67"/>
        <v>0</v>
      </c>
      <c r="V55" s="459" t="str">
        <f t="shared" si="68"/>
        <v/>
      </c>
      <c r="W55" s="52"/>
      <c r="X55" s="417"/>
      <c r="Y55" s="417"/>
      <c r="Z55" s="512">
        <f>X55*Z52</f>
        <v>0</v>
      </c>
      <c r="AA55" s="128"/>
      <c r="AB55" s="457">
        <f t="shared" si="69"/>
        <v>0</v>
      </c>
      <c r="AC55" s="459" t="str">
        <f t="shared" si="70"/>
        <v/>
      </c>
      <c r="AD55" s="52"/>
      <c r="AE55" s="417"/>
      <c r="AF55" s="417"/>
      <c r="AG55" s="512">
        <f>AE55*AG52</f>
        <v>0</v>
      </c>
      <c r="AH55" s="128"/>
      <c r="AI55" s="457">
        <f t="shared" si="71"/>
        <v>0</v>
      </c>
      <c r="AJ55" s="459" t="str">
        <f t="shared" si="72"/>
        <v/>
      </c>
      <c r="AK55" s="52"/>
      <c r="AL55" s="417"/>
      <c r="AM55" s="417"/>
      <c r="AN55" s="512">
        <f>AL55*AN52</f>
        <v>0</v>
      </c>
      <c r="AO55" s="128"/>
      <c r="AP55" s="457">
        <f t="shared" si="73"/>
        <v>0</v>
      </c>
      <c r="AQ55" s="459" t="str">
        <f t="shared" si="74"/>
        <v/>
      </c>
      <c r="AR55" s="460"/>
      <c r="AS55" s="3"/>
      <c r="AT55" s="3"/>
      <c r="AU55" s="3"/>
      <c r="AV55" s="3"/>
      <c r="AW55" s="3"/>
      <c r="AX55" s="3"/>
    </row>
    <row r="56" spans="1:50" ht="12" customHeight="1">
      <c r="A56" s="551"/>
      <c r="B56" s="627" t="s">
        <v>318</v>
      </c>
      <c r="C56" s="613"/>
      <c r="D56" s="613"/>
      <c r="E56" s="461"/>
      <c r="F56" s="462"/>
      <c r="G56" s="493"/>
      <c r="H56" s="494">
        <f>H54-H55</f>
        <v>11013.078762000001</v>
      </c>
      <c r="I56" s="463"/>
      <c r="J56" s="463"/>
      <c r="K56" s="463"/>
      <c r="L56" s="464">
        <f>L54-L55</f>
        <v>11306.010017999999</v>
      </c>
      <c r="M56" s="465"/>
      <c r="N56" s="466">
        <f t="shared" si="65"/>
        <v>292.93125599999803</v>
      </c>
      <c r="O56" s="467">
        <f t="shared" si="66"/>
        <v>2.6598489153708823E-2</v>
      </c>
      <c r="P56" s="52"/>
      <c r="Q56" s="463"/>
      <c r="R56" s="463"/>
      <c r="S56" s="464">
        <f>S54-S55</f>
        <v>11321.383668</v>
      </c>
      <c r="T56" s="465"/>
      <c r="U56" s="466">
        <f t="shared" si="67"/>
        <v>15.373650000001362</v>
      </c>
      <c r="V56" s="467">
        <f t="shared" si="68"/>
        <v>1.3597767891170608E-3</v>
      </c>
      <c r="W56" s="52"/>
      <c r="X56" s="463"/>
      <c r="Y56" s="463"/>
      <c r="Z56" s="464">
        <f>Z54-Z55</f>
        <v>11561.714892999998</v>
      </c>
      <c r="AA56" s="465"/>
      <c r="AB56" s="466">
        <f t="shared" si="69"/>
        <v>240.33122499999808</v>
      </c>
      <c r="AC56" s="467">
        <f t="shared" si="70"/>
        <v>2.1228078832739906E-2</v>
      </c>
      <c r="AD56" s="52"/>
      <c r="AE56" s="463"/>
      <c r="AF56" s="463"/>
      <c r="AG56" s="464">
        <f>AG54-AG55</f>
        <v>11755.854543000001</v>
      </c>
      <c r="AH56" s="465"/>
      <c r="AI56" s="466">
        <f t="shared" si="71"/>
        <v>194.1396500000028</v>
      </c>
      <c r="AJ56" s="467">
        <f t="shared" si="72"/>
        <v>1.6791596384853256E-2</v>
      </c>
      <c r="AK56" s="52"/>
      <c r="AL56" s="463"/>
      <c r="AM56" s="463"/>
      <c r="AN56" s="464">
        <f>AN54-AN55</f>
        <v>11940.256417999999</v>
      </c>
      <c r="AO56" s="465"/>
      <c r="AP56" s="466">
        <f t="shared" si="73"/>
        <v>184.40187499999774</v>
      </c>
      <c r="AQ56" s="467">
        <f t="shared" si="74"/>
        <v>1.5685960924873763E-2</v>
      </c>
      <c r="AR56" s="468"/>
      <c r="AS56" s="3"/>
      <c r="AT56" s="3"/>
      <c r="AU56" s="3"/>
      <c r="AV56" s="3"/>
      <c r="AW56" s="3"/>
      <c r="AX56" s="3"/>
    </row>
    <row r="57" spans="1:50" ht="12" customHeight="1">
      <c r="A57" s="551"/>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3"/>
      <c r="AT57" s="3"/>
      <c r="AU57" s="3"/>
      <c r="AV57" s="3"/>
      <c r="AW57" s="3"/>
      <c r="AX57" s="3"/>
    </row>
    <row r="58" spans="1:50" ht="12" customHeight="1">
      <c r="A58" s="551"/>
      <c r="B58" s="514" t="s">
        <v>319</v>
      </c>
      <c r="C58" s="515"/>
      <c r="D58" s="515"/>
      <c r="E58" s="515"/>
      <c r="F58" s="516"/>
      <c r="G58" s="517"/>
      <c r="H58" s="518">
        <f>SUM(H49:H50,H42,H43:H45)</f>
        <v>4236.4502999999995</v>
      </c>
      <c r="I58" s="519"/>
      <c r="J58" s="520"/>
      <c r="K58" s="520"/>
      <c r="L58" s="518">
        <f>SUM(L49:L50,L42,L43:L45)</f>
        <v>4498.8791999999994</v>
      </c>
      <c r="M58" s="521"/>
      <c r="N58" s="522">
        <f t="shared" ref="N58:N62" si="75">L58-H58</f>
        <v>262.42889999999989</v>
      </c>
      <c r="O58" s="523">
        <f t="shared" ref="O58:O62" si="76">IF((H58)=0,"",(N58/H58))</f>
        <v>6.1945468827994968E-2</v>
      </c>
      <c r="P58" s="513"/>
      <c r="Q58" s="520"/>
      <c r="R58" s="520"/>
      <c r="S58" s="518">
        <f>SUM(S49:S50,S42,S43:S45)</f>
        <v>4512.4841999999999</v>
      </c>
      <c r="T58" s="521"/>
      <c r="U58" s="522">
        <f t="shared" ref="U58:U62" si="77">S58-L58</f>
        <v>13.605000000000473</v>
      </c>
      <c r="V58" s="523">
        <f t="shared" ref="V58:V62" si="78">IF((L58)=0,"",(U58/L58))</f>
        <v>3.0240865324857968E-3</v>
      </c>
      <c r="W58" s="513"/>
      <c r="X58" s="520"/>
      <c r="Y58" s="520"/>
      <c r="Z58" s="518">
        <f>SUM(Z49:Z50,Z42,Z43:Z45)</f>
        <v>4725.1666999999989</v>
      </c>
      <c r="AA58" s="521"/>
      <c r="AB58" s="522">
        <f t="shared" ref="AB58:AB62" si="79">Z58-S58</f>
        <v>212.68249999999898</v>
      </c>
      <c r="AC58" s="523">
        <f t="shared" ref="AC58:AC62" si="80">IF((S58)=0,"",(AB58/S58))</f>
        <v>4.7132020983031694E-2</v>
      </c>
      <c r="AD58" s="513"/>
      <c r="AE58" s="520"/>
      <c r="AF58" s="520"/>
      <c r="AG58" s="518">
        <f>SUM(AG49:AG50,AG42,AG43:AG45)</f>
        <v>4896.9717000000001</v>
      </c>
      <c r="AH58" s="521"/>
      <c r="AI58" s="522">
        <f t="shared" ref="AI58:AI62" si="81">AG58-Z58</f>
        <v>171.8050000000012</v>
      </c>
      <c r="AJ58" s="523">
        <f t="shared" ref="AJ58:AJ62" si="82">IF((Z58)=0,"",(AI58/Z58))</f>
        <v>3.6359563780046372E-2</v>
      </c>
      <c r="AK58" s="513"/>
      <c r="AL58" s="520"/>
      <c r="AM58" s="520"/>
      <c r="AN58" s="518">
        <f>SUM(AN49:AN50,AN42,AN43:AN45)</f>
        <v>5060.1591999999991</v>
      </c>
      <c r="AO58" s="521"/>
      <c r="AP58" s="522">
        <f t="shared" ref="AP58:AP62" si="83">AN58-AG58</f>
        <v>163.18749999999909</v>
      </c>
      <c r="AQ58" s="523">
        <f t="shared" ref="AQ58:AQ62" si="84">IF((AG58)=0,"",(AP58/AG58))</f>
        <v>3.3324166443518363E-2</v>
      </c>
      <c r="AR58" s="524"/>
      <c r="AS58" s="3"/>
      <c r="AT58" s="3"/>
      <c r="AU58" s="3"/>
      <c r="AV58" s="3"/>
      <c r="AW58" s="3"/>
      <c r="AX58" s="3"/>
    </row>
    <row r="59" spans="1:50" ht="12" customHeight="1">
      <c r="A59" s="551"/>
      <c r="B59" s="525" t="s">
        <v>316</v>
      </c>
      <c r="C59" s="515"/>
      <c r="D59" s="515"/>
      <c r="E59" s="515"/>
      <c r="F59" s="516">
        <v>0.13</v>
      </c>
      <c r="G59" s="517"/>
      <c r="H59" s="526">
        <f>H58*F59</f>
        <v>550.73853899999995</v>
      </c>
      <c r="I59" s="527"/>
      <c r="J59" s="516">
        <v>0.13</v>
      </c>
      <c r="K59" s="528"/>
      <c r="L59" s="529">
        <f>L58*J59</f>
        <v>584.85429599999998</v>
      </c>
      <c r="M59" s="530"/>
      <c r="N59" s="531">
        <f t="shared" si="75"/>
        <v>34.115757000000031</v>
      </c>
      <c r="O59" s="532">
        <f t="shared" si="76"/>
        <v>6.1945468827995044E-2</v>
      </c>
      <c r="P59" s="513"/>
      <c r="Q59" s="516">
        <v>0.13</v>
      </c>
      <c r="R59" s="528"/>
      <c r="S59" s="529">
        <f>S58*Q59</f>
        <v>586.62294599999996</v>
      </c>
      <c r="T59" s="530"/>
      <c r="U59" s="531">
        <f t="shared" si="77"/>
        <v>1.7686499999999796</v>
      </c>
      <c r="V59" s="532">
        <f t="shared" si="78"/>
        <v>3.0240865324856563E-3</v>
      </c>
      <c r="W59" s="513"/>
      <c r="X59" s="516">
        <v>0.13</v>
      </c>
      <c r="Y59" s="528"/>
      <c r="Z59" s="529">
        <f>Z58*X59</f>
        <v>614.27167099999986</v>
      </c>
      <c r="AA59" s="530"/>
      <c r="AB59" s="531">
        <f t="shared" si="79"/>
        <v>27.648724999999899</v>
      </c>
      <c r="AC59" s="532">
        <f t="shared" si="80"/>
        <v>4.713202098303175E-2</v>
      </c>
      <c r="AD59" s="513"/>
      <c r="AE59" s="516">
        <v>0.13</v>
      </c>
      <c r="AF59" s="528"/>
      <c r="AG59" s="529">
        <f>AG58*AE59</f>
        <v>636.60632099999998</v>
      </c>
      <c r="AH59" s="530"/>
      <c r="AI59" s="531">
        <f t="shared" si="81"/>
        <v>22.334650000000124</v>
      </c>
      <c r="AJ59" s="532">
        <f t="shared" si="82"/>
        <v>3.6359563780046317E-2</v>
      </c>
      <c r="AK59" s="513"/>
      <c r="AL59" s="516">
        <v>0.13</v>
      </c>
      <c r="AM59" s="528"/>
      <c r="AN59" s="529">
        <f>AN58*AL59</f>
        <v>657.82069599999988</v>
      </c>
      <c r="AO59" s="530"/>
      <c r="AP59" s="531">
        <f t="shared" si="83"/>
        <v>21.214374999999905</v>
      </c>
      <c r="AQ59" s="532">
        <f t="shared" si="84"/>
        <v>3.3324166443518405E-2</v>
      </c>
      <c r="AR59" s="533"/>
      <c r="AS59" s="3"/>
      <c r="AT59" s="3"/>
      <c r="AU59" s="3"/>
      <c r="AV59" s="3"/>
      <c r="AW59" s="3"/>
      <c r="AX59" s="3"/>
    </row>
    <row r="60" spans="1:50" ht="12" customHeight="1">
      <c r="A60" s="551"/>
      <c r="B60" s="534" t="s">
        <v>388</v>
      </c>
      <c r="C60" s="515"/>
      <c r="D60" s="515"/>
      <c r="E60" s="515"/>
      <c r="F60" s="535"/>
      <c r="G60" s="530"/>
      <c r="H60" s="526">
        <f>H58+H59</f>
        <v>4787.1888389999995</v>
      </c>
      <c r="I60" s="527"/>
      <c r="J60" s="527"/>
      <c r="K60" s="527"/>
      <c r="L60" s="529">
        <f>L58+L59</f>
        <v>5083.7334959999989</v>
      </c>
      <c r="M60" s="530"/>
      <c r="N60" s="531">
        <f t="shared" si="75"/>
        <v>296.54465699999946</v>
      </c>
      <c r="O60" s="532">
        <f t="shared" si="76"/>
        <v>6.1945468827994878E-2</v>
      </c>
      <c r="P60" s="513"/>
      <c r="Q60" s="527"/>
      <c r="R60" s="527"/>
      <c r="S60" s="529">
        <f>S58+S59</f>
        <v>5099.1071460000003</v>
      </c>
      <c r="T60" s="530"/>
      <c r="U60" s="531">
        <f t="shared" si="77"/>
        <v>15.373650000001362</v>
      </c>
      <c r="V60" s="532">
        <f t="shared" si="78"/>
        <v>3.0240865324859595E-3</v>
      </c>
      <c r="W60" s="513"/>
      <c r="X60" s="527"/>
      <c r="Y60" s="527"/>
      <c r="Z60" s="529">
        <f>Z58+Z59</f>
        <v>5339.4383709999984</v>
      </c>
      <c r="AA60" s="530"/>
      <c r="AB60" s="531">
        <f t="shared" si="79"/>
        <v>240.33122499999808</v>
      </c>
      <c r="AC60" s="532">
        <f t="shared" si="80"/>
        <v>4.7132020983031542E-2</v>
      </c>
      <c r="AD60" s="513"/>
      <c r="AE60" s="527"/>
      <c r="AF60" s="527"/>
      <c r="AG60" s="529">
        <f>AG58+AG59</f>
        <v>5533.5780210000003</v>
      </c>
      <c r="AH60" s="530"/>
      <c r="AI60" s="531">
        <f t="shared" si="81"/>
        <v>194.13965000000189</v>
      </c>
      <c r="AJ60" s="532">
        <f t="shared" si="82"/>
        <v>3.6359563780046476E-2</v>
      </c>
      <c r="AK60" s="513"/>
      <c r="AL60" s="527"/>
      <c r="AM60" s="527"/>
      <c r="AN60" s="529">
        <f>AN58+AN59</f>
        <v>5717.9798959999989</v>
      </c>
      <c r="AO60" s="530"/>
      <c r="AP60" s="531">
        <f t="shared" si="83"/>
        <v>184.40187499999865</v>
      </c>
      <c r="AQ60" s="532">
        <f t="shared" si="84"/>
        <v>3.3324166443518308E-2</v>
      </c>
      <c r="AR60" s="533"/>
      <c r="AS60" s="3"/>
      <c r="AT60" s="3"/>
      <c r="AU60" s="3"/>
      <c r="AV60" s="3"/>
      <c r="AW60" s="3"/>
      <c r="AX60" s="3"/>
    </row>
    <row r="61" spans="1:50" ht="12" customHeight="1">
      <c r="A61" s="551"/>
      <c r="B61" s="636" t="s">
        <v>273</v>
      </c>
      <c r="C61" s="615"/>
      <c r="D61" s="615"/>
      <c r="E61" s="515"/>
      <c r="F61" s="535"/>
      <c r="G61" s="530"/>
      <c r="H61" s="536">
        <f>F61*H58</f>
        <v>0</v>
      </c>
      <c r="I61" s="527"/>
      <c r="J61" s="527"/>
      <c r="K61" s="527"/>
      <c r="L61" s="537">
        <f>J61*L58</f>
        <v>0</v>
      </c>
      <c r="M61" s="530"/>
      <c r="N61" s="538">
        <f t="shared" si="75"/>
        <v>0</v>
      </c>
      <c r="O61" s="539" t="str">
        <f t="shared" si="76"/>
        <v/>
      </c>
      <c r="P61" s="513"/>
      <c r="Q61" s="527"/>
      <c r="R61" s="527"/>
      <c r="S61" s="537">
        <f>Q61*S58</f>
        <v>0</v>
      </c>
      <c r="T61" s="530"/>
      <c r="U61" s="538">
        <f t="shared" si="77"/>
        <v>0</v>
      </c>
      <c r="V61" s="539" t="str">
        <f t="shared" si="78"/>
        <v/>
      </c>
      <c r="W61" s="513"/>
      <c r="X61" s="527"/>
      <c r="Y61" s="527"/>
      <c r="Z61" s="537">
        <f>X61*Z58</f>
        <v>0</v>
      </c>
      <c r="AA61" s="530"/>
      <c r="AB61" s="538">
        <f t="shared" si="79"/>
        <v>0</v>
      </c>
      <c r="AC61" s="539" t="str">
        <f t="shared" si="80"/>
        <v/>
      </c>
      <c r="AD61" s="513"/>
      <c r="AE61" s="527"/>
      <c r="AF61" s="527"/>
      <c r="AG61" s="537">
        <f>AE61*AG58</f>
        <v>0</v>
      </c>
      <c r="AH61" s="530"/>
      <c r="AI61" s="538">
        <f t="shared" si="81"/>
        <v>0</v>
      </c>
      <c r="AJ61" s="539" t="str">
        <f t="shared" si="82"/>
        <v/>
      </c>
      <c r="AK61" s="513"/>
      <c r="AL61" s="527"/>
      <c r="AM61" s="527"/>
      <c r="AN61" s="537">
        <f>AL61*AN58</f>
        <v>0</v>
      </c>
      <c r="AO61" s="530"/>
      <c r="AP61" s="538">
        <f t="shared" si="83"/>
        <v>0</v>
      </c>
      <c r="AQ61" s="539" t="str">
        <f t="shared" si="84"/>
        <v/>
      </c>
      <c r="AR61" s="540"/>
      <c r="AS61" s="3"/>
      <c r="AT61" s="3"/>
      <c r="AU61" s="3"/>
      <c r="AV61" s="3"/>
      <c r="AW61" s="3"/>
      <c r="AX61" s="3"/>
    </row>
    <row r="62" spans="1:50" ht="12" customHeight="1">
      <c r="A62" s="551"/>
      <c r="B62" s="635" t="s">
        <v>321</v>
      </c>
      <c r="C62" s="613"/>
      <c r="D62" s="613"/>
      <c r="E62" s="541"/>
      <c r="F62" s="542"/>
      <c r="G62" s="543"/>
      <c r="H62" s="544">
        <f>H60-H61</f>
        <v>4787.1888389999995</v>
      </c>
      <c r="I62" s="545"/>
      <c r="J62" s="545"/>
      <c r="K62" s="545"/>
      <c r="L62" s="546">
        <f>L60-L61</f>
        <v>5083.7334959999989</v>
      </c>
      <c r="M62" s="547"/>
      <c r="N62" s="548">
        <f t="shared" si="75"/>
        <v>296.54465699999946</v>
      </c>
      <c r="O62" s="549">
        <f t="shared" si="76"/>
        <v>6.1945468827994878E-2</v>
      </c>
      <c r="P62" s="513"/>
      <c r="Q62" s="545"/>
      <c r="R62" s="545"/>
      <c r="S62" s="546">
        <f>S60-S61</f>
        <v>5099.1071460000003</v>
      </c>
      <c r="T62" s="547"/>
      <c r="U62" s="548">
        <f t="shared" si="77"/>
        <v>15.373650000001362</v>
      </c>
      <c r="V62" s="549">
        <f t="shared" si="78"/>
        <v>3.0240865324859595E-3</v>
      </c>
      <c r="W62" s="513"/>
      <c r="X62" s="545"/>
      <c r="Y62" s="545"/>
      <c r="Z62" s="546">
        <f>Z60-Z61</f>
        <v>5339.4383709999984</v>
      </c>
      <c r="AA62" s="547"/>
      <c r="AB62" s="548">
        <f t="shared" si="79"/>
        <v>240.33122499999808</v>
      </c>
      <c r="AC62" s="549">
        <f t="shared" si="80"/>
        <v>4.7132020983031542E-2</v>
      </c>
      <c r="AD62" s="513"/>
      <c r="AE62" s="545"/>
      <c r="AF62" s="545"/>
      <c r="AG62" s="546">
        <f>AG60-AG61</f>
        <v>5533.5780210000003</v>
      </c>
      <c r="AH62" s="547"/>
      <c r="AI62" s="548">
        <f t="shared" si="81"/>
        <v>194.13965000000189</v>
      </c>
      <c r="AJ62" s="549">
        <f t="shared" si="82"/>
        <v>3.6359563780046476E-2</v>
      </c>
      <c r="AK62" s="513"/>
      <c r="AL62" s="545"/>
      <c r="AM62" s="545"/>
      <c r="AN62" s="546">
        <f>AN60-AN61</f>
        <v>5717.9798959999989</v>
      </c>
      <c r="AO62" s="547"/>
      <c r="AP62" s="548">
        <f t="shared" si="83"/>
        <v>184.40187499999865</v>
      </c>
      <c r="AQ62" s="549">
        <f t="shared" si="84"/>
        <v>3.3324166443518308E-2</v>
      </c>
      <c r="AR62" s="550"/>
      <c r="AS62" s="3"/>
      <c r="AT62" s="3"/>
      <c r="AU62" s="3"/>
      <c r="AV62" s="3"/>
      <c r="AW62" s="3"/>
      <c r="AX62" s="3"/>
    </row>
    <row r="63" spans="1:50" ht="12" customHeight="1">
      <c r="A63" s="551"/>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3"/>
      <c r="AT63" s="3"/>
      <c r="AU63" s="3"/>
      <c r="AV63" s="3"/>
      <c r="AW63" s="3"/>
      <c r="AX63" s="3"/>
    </row>
    <row r="64" spans="1:50" ht="12" customHeight="1">
      <c r="A64" s="551"/>
      <c r="B64" s="52"/>
      <c r="C64" s="52"/>
      <c r="D64" s="52"/>
      <c r="E64" s="52"/>
      <c r="F64" s="52"/>
      <c r="G64" s="52"/>
      <c r="H64" s="52">
        <v>17559.439999999999</v>
      </c>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3"/>
      <c r="AT64" s="3"/>
      <c r="AU64" s="3"/>
      <c r="AV64" s="3"/>
      <c r="AW64" s="3"/>
      <c r="AX64" s="3"/>
    </row>
    <row r="65" spans="1:50" ht="12" customHeight="1">
      <c r="A65" s="551"/>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3"/>
      <c r="AT65" s="3"/>
      <c r="AU65" s="3"/>
      <c r="AV65" s="3"/>
      <c r="AW65" s="3"/>
      <c r="AX65" s="3"/>
    </row>
    <row r="66" spans="1:50"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3"/>
      <c r="AT66" s="3"/>
      <c r="AU66" s="3"/>
      <c r="AV66" s="3"/>
      <c r="AW66" s="3"/>
      <c r="AX66" s="3"/>
    </row>
    <row r="67" spans="1:50" ht="12" customHeight="1">
      <c r="A67" s="479" t="s">
        <v>389</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3"/>
      <c r="AT67" s="3"/>
      <c r="AU67" s="3"/>
      <c r="AV67" s="3"/>
      <c r="AW67" s="3"/>
      <c r="AX67" s="3"/>
    </row>
    <row r="68" spans="1:50"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3"/>
      <c r="AT68" s="3"/>
      <c r="AU68" s="3"/>
      <c r="AV68" s="3"/>
      <c r="AW68" s="3"/>
      <c r="AX68" s="3"/>
    </row>
    <row r="69" spans="1:50" ht="12"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3"/>
      <c r="AT69" s="3"/>
      <c r="AU69" s="3"/>
      <c r="AV69" s="3"/>
      <c r="AW69" s="3"/>
      <c r="AX69" s="3"/>
    </row>
    <row r="70" spans="1:50" ht="12"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3"/>
      <c r="AT70" s="3"/>
      <c r="AU70" s="3"/>
      <c r="AV70" s="3"/>
      <c r="AW70" s="3"/>
      <c r="AX70" s="3"/>
    </row>
    <row r="71" spans="1:50"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3"/>
      <c r="AT71" s="3"/>
      <c r="AU71" s="3"/>
      <c r="AV71" s="3"/>
      <c r="AW71" s="3"/>
      <c r="AX71" s="3"/>
    </row>
    <row r="72" spans="1:50" ht="12"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3"/>
      <c r="AT72" s="3"/>
      <c r="AU72" s="3"/>
      <c r="AV72" s="3"/>
      <c r="AW72" s="3"/>
      <c r="AX72" s="3"/>
    </row>
    <row r="73" spans="1:50" ht="12"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3"/>
      <c r="AT73" s="3"/>
      <c r="AU73" s="3"/>
      <c r="AV73" s="3"/>
      <c r="AW73" s="3"/>
      <c r="AX73" s="3"/>
    </row>
    <row r="74" spans="1:50"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3"/>
      <c r="AT74" s="3"/>
      <c r="AU74" s="3"/>
      <c r="AV74" s="3"/>
      <c r="AW74" s="3"/>
      <c r="AX74" s="3"/>
    </row>
    <row r="75" spans="1:50" ht="12"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3"/>
      <c r="AT75" s="3"/>
      <c r="AU75" s="3"/>
      <c r="AV75" s="3"/>
      <c r="AW75" s="3"/>
      <c r="AX75" s="3"/>
    </row>
    <row r="76" spans="1:50" ht="12"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3"/>
      <c r="AT76" s="3"/>
      <c r="AU76" s="3"/>
      <c r="AV76" s="3"/>
      <c r="AW76" s="3"/>
      <c r="AX76" s="3"/>
    </row>
    <row r="77" spans="1:50" ht="12"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3"/>
      <c r="AT77" s="3"/>
      <c r="AU77" s="3"/>
      <c r="AV77" s="3"/>
      <c r="AW77" s="3"/>
      <c r="AX77" s="3"/>
    </row>
    <row r="78" spans="1:50" ht="12"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3"/>
      <c r="AT78" s="3"/>
      <c r="AU78" s="3"/>
      <c r="AV78" s="3"/>
      <c r="AW78" s="3"/>
      <c r="AX78" s="3"/>
    </row>
    <row r="79" spans="1:50" ht="12"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3"/>
      <c r="AT79" s="3"/>
      <c r="AU79" s="3"/>
      <c r="AV79" s="3"/>
      <c r="AW79" s="3"/>
      <c r="AX79" s="3"/>
    </row>
    <row r="80" spans="1:50"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3"/>
      <c r="AT80" s="3"/>
      <c r="AU80" s="3"/>
      <c r="AV80" s="3"/>
      <c r="AW80" s="3"/>
      <c r="AX80" s="3"/>
    </row>
    <row r="81" spans="1:50"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3"/>
      <c r="AT81" s="3"/>
      <c r="AU81" s="3"/>
      <c r="AV81" s="3"/>
      <c r="AW81" s="3"/>
      <c r="AX81" s="3"/>
    </row>
    <row r="82" spans="1:50"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3"/>
      <c r="AT82" s="3"/>
      <c r="AU82" s="3"/>
      <c r="AV82" s="3"/>
      <c r="AW82" s="3"/>
      <c r="AX82" s="3"/>
    </row>
    <row r="83" spans="1:50"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3"/>
      <c r="AT83" s="3"/>
      <c r="AU83" s="3"/>
      <c r="AV83" s="3"/>
      <c r="AW83" s="3"/>
      <c r="AX83" s="3"/>
    </row>
    <row r="84" spans="1:50"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3"/>
      <c r="AT84" s="3"/>
      <c r="AU84" s="3"/>
      <c r="AV84" s="3"/>
      <c r="AW84" s="3"/>
      <c r="AX84" s="3"/>
    </row>
    <row r="85" spans="1:50"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3"/>
      <c r="AT85" s="3"/>
      <c r="AU85" s="3"/>
      <c r="AV85" s="3"/>
      <c r="AW85" s="3"/>
      <c r="AX85" s="3"/>
    </row>
    <row r="86" spans="1:50"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3"/>
      <c r="AT86" s="3"/>
      <c r="AU86" s="3"/>
      <c r="AV86" s="3"/>
      <c r="AW86" s="3"/>
      <c r="AX86" s="3"/>
    </row>
    <row r="87" spans="1:50"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3"/>
      <c r="AT87" s="3"/>
      <c r="AU87" s="3"/>
      <c r="AV87" s="3"/>
      <c r="AW87" s="3"/>
      <c r="AX87" s="3"/>
    </row>
    <row r="88" spans="1:50"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3"/>
      <c r="AT88" s="3"/>
      <c r="AU88" s="3"/>
      <c r="AV88" s="3"/>
      <c r="AW88" s="3"/>
      <c r="AX88" s="3"/>
    </row>
    <row r="89" spans="1:50"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3"/>
      <c r="AT89" s="3"/>
      <c r="AU89" s="3"/>
      <c r="AV89" s="3"/>
      <c r="AW89" s="3"/>
      <c r="AX89" s="3"/>
    </row>
    <row r="90" spans="1:50"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3"/>
      <c r="AT90" s="3"/>
      <c r="AU90" s="3"/>
      <c r="AV90" s="3"/>
      <c r="AW90" s="3"/>
      <c r="AX90" s="3"/>
    </row>
    <row r="91" spans="1:50"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3"/>
      <c r="AT91" s="3"/>
      <c r="AU91" s="3"/>
      <c r="AV91" s="3"/>
      <c r="AW91" s="3"/>
      <c r="AX91" s="3"/>
    </row>
    <row r="92" spans="1:50"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3"/>
      <c r="AT92" s="3"/>
      <c r="AU92" s="3"/>
      <c r="AV92" s="3"/>
      <c r="AW92" s="3"/>
      <c r="AX92" s="3"/>
    </row>
    <row r="93" spans="1:50"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3"/>
      <c r="AT93" s="3"/>
      <c r="AU93" s="3"/>
      <c r="AV93" s="3"/>
      <c r="AW93" s="3"/>
      <c r="AX93" s="3"/>
    </row>
    <row r="94" spans="1:50"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3"/>
      <c r="AT94" s="3"/>
      <c r="AU94" s="3"/>
      <c r="AV94" s="3"/>
      <c r="AW94" s="3"/>
      <c r="AX94" s="3"/>
    </row>
    <row r="95" spans="1:50"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3"/>
      <c r="AT95" s="3"/>
      <c r="AU95" s="3"/>
      <c r="AV95" s="3"/>
      <c r="AW95" s="3"/>
      <c r="AX95" s="3"/>
    </row>
    <row r="96" spans="1:50"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3"/>
      <c r="AT96" s="3"/>
      <c r="AU96" s="3"/>
      <c r="AV96" s="3"/>
      <c r="AW96" s="3"/>
      <c r="AX96" s="3"/>
    </row>
    <row r="97" spans="1:50"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3"/>
      <c r="AT97" s="3"/>
      <c r="AU97" s="3"/>
      <c r="AV97" s="3"/>
      <c r="AW97" s="3"/>
      <c r="AX97" s="3"/>
    </row>
    <row r="98" spans="1:50"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3"/>
      <c r="AT98" s="3"/>
      <c r="AU98" s="3"/>
      <c r="AV98" s="3"/>
      <c r="AW98" s="3"/>
      <c r="AX98" s="3"/>
    </row>
    <row r="99" spans="1:50"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3"/>
      <c r="AT99" s="3"/>
      <c r="AU99" s="3"/>
      <c r="AV99" s="3"/>
      <c r="AW99" s="3"/>
      <c r="AX99" s="3"/>
    </row>
    <row r="100" spans="1:50"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3"/>
      <c r="AT100" s="3"/>
      <c r="AU100" s="3"/>
      <c r="AV100" s="3"/>
      <c r="AW100" s="3"/>
      <c r="AX100" s="3"/>
    </row>
    <row r="101" spans="1:50"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3"/>
      <c r="AT101" s="3"/>
      <c r="AU101" s="3"/>
      <c r="AV101" s="3"/>
      <c r="AW101" s="3"/>
      <c r="AX101" s="3"/>
    </row>
    <row r="102" spans="1:50"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3"/>
      <c r="AT102" s="3"/>
      <c r="AU102" s="3"/>
      <c r="AV102" s="3"/>
      <c r="AW102" s="3"/>
      <c r="AX102" s="3"/>
    </row>
    <row r="103" spans="1:50"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3"/>
      <c r="AT103" s="3"/>
      <c r="AU103" s="3"/>
      <c r="AV103" s="3"/>
      <c r="AW103" s="3"/>
      <c r="AX103" s="3"/>
    </row>
    <row r="104" spans="1:50"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3"/>
      <c r="AT104" s="3"/>
      <c r="AU104" s="3"/>
      <c r="AV104" s="3"/>
      <c r="AW104" s="3"/>
      <c r="AX104" s="3"/>
    </row>
    <row r="105" spans="1:50"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3"/>
      <c r="AT105" s="3"/>
      <c r="AU105" s="3"/>
      <c r="AV105" s="3"/>
      <c r="AW105" s="3"/>
      <c r="AX105" s="3"/>
    </row>
    <row r="106" spans="1:50"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3"/>
      <c r="AT106" s="3"/>
      <c r="AU106" s="3"/>
      <c r="AV106" s="3"/>
      <c r="AW106" s="3"/>
      <c r="AX106" s="3"/>
    </row>
    <row r="107" spans="1:50"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3"/>
      <c r="AT107" s="3"/>
      <c r="AU107" s="3"/>
      <c r="AV107" s="3"/>
      <c r="AW107" s="3"/>
      <c r="AX107" s="3"/>
    </row>
    <row r="108" spans="1:50"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3"/>
      <c r="AT108" s="3"/>
      <c r="AU108" s="3"/>
      <c r="AV108" s="3"/>
      <c r="AW108" s="3"/>
      <c r="AX108" s="3"/>
    </row>
    <row r="109" spans="1:50"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3"/>
      <c r="AT109" s="3"/>
      <c r="AU109" s="3"/>
      <c r="AV109" s="3"/>
      <c r="AW109" s="3"/>
      <c r="AX109" s="3"/>
    </row>
    <row r="110" spans="1:50"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3"/>
      <c r="AT110" s="3"/>
      <c r="AU110" s="3"/>
      <c r="AV110" s="3"/>
      <c r="AW110" s="3"/>
      <c r="AX110" s="3"/>
    </row>
    <row r="111" spans="1:50"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3"/>
      <c r="AT111" s="3"/>
      <c r="AU111" s="3"/>
      <c r="AV111" s="3"/>
      <c r="AW111" s="3"/>
      <c r="AX111" s="3"/>
    </row>
    <row r="112" spans="1:50"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3"/>
      <c r="AT112" s="3"/>
      <c r="AU112" s="3"/>
      <c r="AV112" s="3"/>
      <c r="AW112" s="3"/>
      <c r="AX112" s="3"/>
    </row>
    <row r="113" spans="1:50"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3"/>
      <c r="AT113" s="3"/>
      <c r="AU113" s="3"/>
      <c r="AV113" s="3"/>
      <c r="AW113" s="3"/>
      <c r="AX113" s="3"/>
    </row>
    <row r="114" spans="1:50"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3"/>
      <c r="AT114" s="3"/>
      <c r="AU114" s="3"/>
      <c r="AV114" s="3"/>
      <c r="AW114" s="3"/>
      <c r="AX114" s="3"/>
    </row>
    <row r="115" spans="1:50"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3"/>
      <c r="AT115" s="3"/>
      <c r="AU115" s="3"/>
      <c r="AV115" s="3"/>
      <c r="AW115" s="3"/>
      <c r="AX115" s="3"/>
    </row>
    <row r="116" spans="1:50"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3"/>
      <c r="AT116" s="3"/>
      <c r="AU116" s="3"/>
      <c r="AV116" s="3"/>
      <c r="AW116" s="3"/>
      <c r="AX116" s="3"/>
    </row>
    <row r="117" spans="1:50"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3"/>
      <c r="AT117" s="3"/>
      <c r="AU117" s="3"/>
      <c r="AV117" s="3"/>
      <c r="AW117" s="3"/>
      <c r="AX117" s="3"/>
    </row>
    <row r="118" spans="1:50"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3"/>
      <c r="AT118" s="3"/>
      <c r="AU118" s="3"/>
      <c r="AV118" s="3"/>
      <c r="AW118" s="3"/>
      <c r="AX118" s="3"/>
    </row>
    <row r="119" spans="1:50"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3"/>
      <c r="AT119" s="3"/>
      <c r="AU119" s="3"/>
      <c r="AV119" s="3"/>
      <c r="AW119" s="3"/>
      <c r="AX119" s="3"/>
    </row>
    <row r="120" spans="1:50"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3"/>
      <c r="AT120" s="3"/>
      <c r="AU120" s="3"/>
      <c r="AV120" s="3"/>
      <c r="AW120" s="3"/>
      <c r="AX120" s="3"/>
    </row>
    <row r="121" spans="1:50"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3"/>
      <c r="AT121" s="3"/>
      <c r="AU121" s="3"/>
      <c r="AV121" s="3"/>
      <c r="AW121" s="3"/>
      <c r="AX121" s="3"/>
    </row>
    <row r="122" spans="1:50"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3"/>
      <c r="AT122" s="3"/>
      <c r="AU122" s="3"/>
      <c r="AV122" s="3"/>
      <c r="AW122" s="3"/>
      <c r="AX122" s="3"/>
    </row>
    <row r="123" spans="1:50"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3"/>
      <c r="AT123" s="3"/>
      <c r="AU123" s="3"/>
      <c r="AV123" s="3"/>
      <c r="AW123" s="3"/>
      <c r="AX123" s="3"/>
    </row>
    <row r="124" spans="1:50"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3"/>
      <c r="AT124" s="3"/>
      <c r="AU124" s="3"/>
      <c r="AV124" s="3"/>
      <c r="AW124" s="3"/>
      <c r="AX124" s="3"/>
    </row>
    <row r="125" spans="1:50"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3"/>
      <c r="AT125" s="3"/>
      <c r="AU125" s="3"/>
      <c r="AV125" s="3"/>
      <c r="AW125" s="3"/>
      <c r="AX125" s="3"/>
    </row>
    <row r="126" spans="1:50"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3"/>
      <c r="AT126" s="3"/>
      <c r="AU126" s="3"/>
      <c r="AV126" s="3"/>
      <c r="AW126" s="3"/>
      <c r="AX126" s="3"/>
    </row>
    <row r="127" spans="1:50"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3"/>
      <c r="AT127" s="3"/>
      <c r="AU127" s="3"/>
      <c r="AV127" s="3"/>
      <c r="AW127" s="3"/>
      <c r="AX127" s="3"/>
    </row>
    <row r="128" spans="1:50"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3"/>
      <c r="AT128" s="3"/>
      <c r="AU128" s="3"/>
      <c r="AV128" s="3"/>
      <c r="AW128" s="3"/>
      <c r="AX128" s="3"/>
    </row>
    <row r="129" spans="1:50"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3"/>
      <c r="AT129" s="3"/>
      <c r="AU129" s="3"/>
      <c r="AV129" s="3"/>
      <c r="AW129" s="3"/>
      <c r="AX129" s="3"/>
    </row>
    <row r="130" spans="1:50"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3"/>
      <c r="AT130" s="3"/>
      <c r="AU130" s="3"/>
      <c r="AV130" s="3"/>
      <c r="AW130" s="3"/>
      <c r="AX130" s="3"/>
    </row>
    <row r="131" spans="1:50"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3"/>
      <c r="AT131" s="3"/>
      <c r="AU131" s="3"/>
      <c r="AV131" s="3"/>
      <c r="AW131" s="3"/>
      <c r="AX131" s="3"/>
    </row>
    <row r="132" spans="1:50"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3"/>
      <c r="AT132" s="3"/>
      <c r="AU132" s="3"/>
      <c r="AV132" s="3"/>
      <c r="AW132" s="3"/>
      <c r="AX132" s="3"/>
    </row>
    <row r="133" spans="1:50"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3"/>
      <c r="AT133" s="3"/>
      <c r="AU133" s="3"/>
      <c r="AV133" s="3"/>
      <c r="AW133" s="3"/>
      <c r="AX133" s="3"/>
    </row>
    <row r="134" spans="1:50"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3"/>
      <c r="AT134" s="3"/>
      <c r="AU134" s="3"/>
      <c r="AV134" s="3"/>
      <c r="AW134" s="3"/>
      <c r="AX134" s="3"/>
    </row>
    <row r="135" spans="1:50"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3"/>
      <c r="AT135" s="3"/>
      <c r="AU135" s="3"/>
      <c r="AV135" s="3"/>
      <c r="AW135" s="3"/>
      <c r="AX135" s="3"/>
    </row>
    <row r="136" spans="1:50"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3"/>
      <c r="AT136" s="3"/>
      <c r="AU136" s="3"/>
      <c r="AV136" s="3"/>
      <c r="AW136" s="3"/>
      <c r="AX136" s="3"/>
    </row>
    <row r="137" spans="1:50"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3"/>
      <c r="AT137" s="3"/>
      <c r="AU137" s="3"/>
      <c r="AV137" s="3"/>
      <c r="AW137" s="3"/>
      <c r="AX137" s="3"/>
    </row>
    <row r="138" spans="1:50"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3"/>
      <c r="AT138" s="3"/>
      <c r="AU138" s="3"/>
      <c r="AV138" s="3"/>
      <c r="AW138" s="3"/>
      <c r="AX138" s="3"/>
    </row>
    <row r="139" spans="1:50"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3"/>
      <c r="AT139" s="3"/>
      <c r="AU139" s="3"/>
      <c r="AV139" s="3"/>
      <c r="AW139" s="3"/>
      <c r="AX139" s="3"/>
    </row>
    <row r="140" spans="1:50"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3"/>
      <c r="AT140" s="3"/>
      <c r="AU140" s="3"/>
      <c r="AV140" s="3"/>
      <c r="AW140" s="3"/>
      <c r="AX140" s="3"/>
    </row>
    <row r="141" spans="1:50"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3"/>
      <c r="AT141" s="3"/>
      <c r="AU141" s="3"/>
      <c r="AV141" s="3"/>
      <c r="AW141" s="3"/>
      <c r="AX141" s="3"/>
    </row>
    <row r="142" spans="1:50"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3"/>
      <c r="AT142" s="3"/>
      <c r="AU142" s="3"/>
      <c r="AV142" s="3"/>
      <c r="AW142" s="3"/>
      <c r="AX142" s="3"/>
    </row>
    <row r="143" spans="1:50"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3"/>
      <c r="AT143" s="3"/>
      <c r="AU143" s="3"/>
      <c r="AV143" s="3"/>
      <c r="AW143" s="3"/>
      <c r="AX143" s="3"/>
    </row>
    <row r="144" spans="1:50"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3"/>
      <c r="AT144" s="3"/>
      <c r="AU144" s="3"/>
      <c r="AV144" s="3"/>
      <c r="AW144" s="3"/>
      <c r="AX144" s="3"/>
    </row>
    <row r="145" spans="1:50"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3"/>
      <c r="AT145" s="3"/>
      <c r="AU145" s="3"/>
      <c r="AV145" s="3"/>
      <c r="AW145" s="3"/>
      <c r="AX145" s="3"/>
    </row>
    <row r="146" spans="1:50"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3"/>
      <c r="AT146" s="3"/>
      <c r="AU146" s="3"/>
      <c r="AV146" s="3"/>
      <c r="AW146" s="3"/>
      <c r="AX146" s="3"/>
    </row>
    <row r="147" spans="1:50"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3"/>
      <c r="AT147" s="3"/>
      <c r="AU147" s="3"/>
      <c r="AV147" s="3"/>
      <c r="AW147" s="3"/>
      <c r="AX147" s="3"/>
    </row>
    <row r="148" spans="1:50"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3"/>
      <c r="AT148" s="3"/>
      <c r="AU148" s="3"/>
      <c r="AV148" s="3"/>
      <c r="AW148" s="3"/>
      <c r="AX148" s="3"/>
    </row>
    <row r="149" spans="1:50"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3"/>
      <c r="AT149" s="3"/>
      <c r="AU149" s="3"/>
      <c r="AV149" s="3"/>
      <c r="AW149" s="3"/>
      <c r="AX149" s="3"/>
    </row>
    <row r="150" spans="1:50"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3"/>
      <c r="AT150" s="3"/>
      <c r="AU150" s="3"/>
      <c r="AV150" s="3"/>
      <c r="AW150" s="3"/>
      <c r="AX150" s="3"/>
    </row>
    <row r="151" spans="1:50"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3"/>
      <c r="AT151" s="3"/>
      <c r="AU151" s="3"/>
      <c r="AV151" s="3"/>
      <c r="AW151" s="3"/>
      <c r="AX151" s="3"/>
    </row>
    <row r="152" spans="1:50"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3"/>
      <c r="AT152" s="3"/>
      <c r="AU152" s="3"/>
      <c r="AV152" s="3"/>
      <c r="AW152" s="3"/>
      <c r="AX152" s="3"/>
    </row>
    <row r="153" spans="1:50"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3"/>
      <c r="AT153" s="3"/>
      <c r="AU153" s="3"/>
      <c r="AV153" s="3"/>
      <c r="AW153" s="3"/>
      <c r="AX153" s="3"/>
    </row>
    <row r="154" spans="1:50"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3"/>
      <c r="AT154" s="3"/>
      <c r="AU154" s="3"/>
      <c r="AV154" s="3"/>
      <c r="AW154" s="3"/>
      <c r="AX154" s="3"/>
    </row>
    <row r="155" spans="1:50"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3"/>
      <c r="AT155" s="3"/>
      <c r="AU155" s="3"/>
      <c r="AV155" s="3"/>
      <c r="AW155" s="3"/>
      <c r="AX155" s="3"/>
    </row>
    <row r="156" spans="1:50"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3"/>
      <c r="AT156" s="3"/>
      <c r="AU156" s="3"/>
      <c r="AV156" s="3"/>
      <c r="AW156" s="3"/>
      <c r="AX156" s="3"/>
    </row>
    <row r="157" spans="1:50"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3"/>
      <c r="AT157" s="3"/>
      <c r="AU157" s="3"/>
      <c r="AV157" s="3"/>
      <c r="AW157" s="3"/>
      <c r="AX157" s="3"/>
    </row>
    <row r="158" spans="1:50"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3"/>
      <c r="AT158" s="3"/>
      <c r="AU158" s="3"/>
      <c r="AV158" s="3"/>
      <c r="AW158" s="3"/>
      <c r="AX158" s="3"/>
    </row>
    <row r="159" spans="1:50"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3"/>
      <c r="AT159" s="3"/>
      <c r="AU159" s="3"/>
      <c r="AV159" s="3"/>
      <c r="AW159" s="3"/>
      <c r="AX159" s="3"/>
    </row>
    <row r="160" spans="1:50"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3"/>
      <c r="AT160" s="3"/>
      <c r="AU160" s="3"/>
      <c r="AV160" s="3"/>
      <c r="AW160" s="3"/>
      <c r="AX160" s="3"/>
    </row>
    <row r="161" spans="1:50"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3"/>
      <c r="AT161" s="3"/>
      <c r="AU161" s="3"/>
      <c r="AV161" s="3"/>
      <c r="AW161" s="3"/>
      <c r="AX161" s="3"/>
    </row>
    <row r="162" spans="1:50"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3"/>
      <c r="AT162" s="3"/>
      <c r="AU162" s="3"/>
      <c r="AV162" s="3"/>
      <c r="AW162" s="3"/>
      <c r="AX162" s="3"/>
    </row>
    <row r="163" spans="1:50"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3"/>
      <c r="AT163" s="3"/>
      <c r="AU163" s="3"/>
      <c r="AV163" s="3"/>
      <c r="AW163" s="3"/>
      <c r="AX163" s="3"/>
    </row>
    <row r="164" spans="1:50"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3"/>
      <c r="AT164" s="3"/>
      <c r="AU164" s="3"/>
      <c r="AV164" s="3"/>
      <c r="AW164" s="3"/>
      <c r="AX164" s="3"/>
    </row>
    <row r="165" spans="1:50"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3"/>
      <c r="AT165" s="3"/>
      <c r="AU165" s="3"/>
      <c r="AV165" s="3"/>
      <c r="AW165" s="3"/>
      <c r="AX165" s="3"/>
    </row>
    <row r="166" spans="1:50"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3"/>
      <c r="AT166" s="3"/>
      <c r="AU166" s="3"/>
      <c r="AV166" s="3"/>
      <c r="AW166" s="3"/>
      <c r="AX166" s="3"/>
    </row>
    <row r="167" spans="1:50"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3"/>
      <c r="AT167" s="3"/>
      <c r="AU167" s="3"/>
      <c r="AV167" s="3"/>
      <c r="AW167" s="3"/>
      <c r="AX167" s="3"/>
    </row>
    <row r="168" spans="1:50"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3"/>
      <c r="AT168" s="3"/>
      <c r="AU168" s="3"/>
      <c r="AV168" s="3"/>
      <c r="AW168" s="3"/>
      <c r="AX168" s="3"/>
    </row>
    <row r="169" spans="1:50"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3"/>
      <c r="AT169" s="3"/>
      <c r="AU169" s="3"/>
      <c r="AV169" s="3"/>
      <c r="AW169" s="3"/>
      <c r="AX169" s="3"/>
    </row>
    <row r="170" spans="1:50"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3"/>
      <c r="AT170" s="3"/>
      <c r="AU170" s="3"/>
      <c r="AV170" s="3"/>
      <c r="AW170" s="3"/>
      <c r="AX170" s="3"/>
    </row>
    <row r="171" spans="1:50"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3"/>
      <c r="AT171" s="3"/>
      <c r="AU171" s="3"/>
      <c r="AV171" s="3"/>
      <c r="AW171" s="3"/>
      <c r="AX171" s="3"/>
    </row>
    <row r="172" spans="1:50"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3"/>
      <c r="AT172" s="3"/>
      <c r="AU172" s="3"/>
      <c r="AV172" s="3"/>
      <c r="AW172" s="3"/>
      <c r="AX172" s="3"/>
    </row>
    <row r="173" spans="1:50"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3"/>
      <c r="AT173" s="3"/>
      <c r="AU173" s="3"/>
      <c r="AV173" s="3"/>
      <c r="AW173" s="3"/>
      <c r="AX173" s="3"/>
    </row>
    <row r="174" spans="1:50"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3"/>
      <c r="AT174" s="3"/>
      <c r="AU174" s="3"/>
      <c r="AV174" s="3"/>
      <c r="AW174" s="3"/>
      <c r="AX174" s="3"/>
    </row>
    <row r="175" spans="1:50"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3"/>
      <c r="AT175" s="3"/>
      <c r="AU175" s="3"/>
      <c r="AV175" s="3"/>
      <c r="AW175" s="3"/>
      <c r="AX175" s="3"/>
    </row>
    <row r="176" spans="1:50"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3"/>
      <c r="AT176" s="3"/>
      <c r="AU176" s="3"/>
      <c r="AV176" s="3"/>
      <c r="AW176" s="3"/>
      <c r="AX176" s="3"/>
    </row>
    <row r="177" spans="1:50"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3"/>
      <c r="AT177" s="3"/>
      <c r="AU177" s="3"/>
      <c r="AV177" s="3"/>
      <c r="AW177" s="3"/>
      <c r="AX177" s="3"/>
    </row>
    <row r="178" spans="1:50"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3"/>
      <c r="AT178" s="3"/>
      <c r="AU178" s="3"/>
      <c r="AV178" s="3"/>
      <c r="AW178" s="3"/>
      <c r="AX178" s="3"/>
    </row>
    <row r="179" spans="1:50"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3"/>
      <c r="AT179" s="3"/>
      <c r="AU179" s="3"/>
      <c r="AV179" s="3"/>
      <c r="AW179" s="3"/>
      <c r="AX179" s="3"/>
    </row>
    <row r="180" spans="1:50"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3"/>
      <c r="AT180" s="3"/>
      <c r="AU180" s="3"/>
      <c r="AV180" s="3"/>
      <c r="AW180" s="3"/>
      <c r="AX180" s="3"/>
    </row>
    <row r="181" spans="1:50"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3"/>
      <c r="AT181" s="3"/>
      <c r="AU181" s="3"/>
      <c r="AV181" s="3"/>
      <c r="AW181" s="3"/>
      <c r="AX181" s="3"/>
    </row>
    <row r="182" spans="1:50"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3"/>
      <c r="AT182" s="3"/>
      <c r="AU182" s="3"/>
      <c r="AV182" s="3"/>
      <c r="AW182" s="3"/>
      <c r="AX182" s="3"/>
    </row>
    <row r="183" spans="1:50"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3"/>
      <c r="AT183" s="3"/>
      <c r="AU183" s="3"/>
      <c r="AV183" s="3"/>
      <c r="AW183" s="3"/>
      <c r="AX183" s="3"/>
    </row>
    <row r="184" spans="1:50"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3"/>
      <c r="AT184" s="3"/>
      <c r="AU184" s="3"/>
      <c r="AV184" s="3"/>
      <c r="AW184" s="3"/>
      <c r="AX184" s="3"/>
    </row>
    <row r="185" spans="1:50"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3"/>
      <c r="AT185" s="3"/>
      <c r="AU185" s="3"/>
      <c r="AV185" s="3"/>
      <c r="AW185" s="3"/>
      <c r="AX185" s="3"/>
    </row>
    <row r="186" spans="1:50"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3"/>
      <c r="AT186" s="3"/>
      <c r="AU186" s="3"/>
      <c r="AV186" s="3"/>
      <c r="AW186" s="3"/>
      <c r="AX186" s="3"/>
    </row>
    <row r="187" spans="1:50"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3"/>
      <c r="AT187" s="3"/>
      <c r="AU187" s="3"/>
      <c r="AV187" s="3"/>
      <c r="AW187" s="3"/>
      <c r="AX187" s="3"/>
    </row>
    <row r="188" spans="1:50"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3"/>
      <c r="AT188" s="3"/>
      <c r="AU188" s="3"/>
      <c r="AV188" s="3"/>
      <c r="AW188" s="3"/>
      <c r="AX188" s="3"/>
    </row>
    <row r="189" spans="1:50"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3"/>
      <c r="AT189" s="3"/>
      <c r="AU189" s="3"/>
      <c r="AV189" s="3"/>
      <c r="AW189" s="3"/>
      <c r="AX189" s="3"/>
    </row>
    <row r="190" spans="1:50"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3"/>
      <c r="AT190" s="3"/>
      <c r="AU190" s="3"/>
      <c r="AV190" s="3"/>
      <c r="AW190" s="3"/>
      <c r="AX190" s="3"/>
    </row>
    <row r="191" spans="1:50"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3"/>
      <c r="AT191" s="3"/>
      <c r="AU191" s="3"/>
      <c r="AV191" s="3"/>
      <c r="AW191" s="3"/>
      <c r="AX191" s="3"/>
    </row>
    <row r="192" spans="1:50"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c r="AS192" s="3"/>
      <c r="AT192" s="3"/>
      <c r="AU192" s="3"/>
      <c r="AV192" s="3"/>
      <c r="AW192" s="3"/>
      <c r="AX192" s="3"/>
    </row>
    <row r="193" spans="1:50"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c r="AS193" s="3"/>
      <c r="AT193" s="3"/>
      <c r="AU193" s="3"/>
      <c r="AV193" s="3"/>
      <c r="AW193" s="3"/>
      <c r="AX193" s="3"/>
    </row>
    <row r="194" spans="1:50"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c r="AS194" s="3"/>
      <c r="AT194" s="3"/>
      <c r="AU194" s="3"/>
      <c r="AV194" s="3"/>
      <c r="AW194" s="3"/>
      <c r="AX194" s="3"/>
    </row>
    <row r="195" spans="1:50"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c r="AS195" s="3"/>
      <c r="AT195" s="3"/>
      <c r="AU195" s="3"/>
      <c r="AV195" s="3"/>
      <c r="AW195" s="3"/>
      <c r="AX195" s="3"/>
    </row>
    <row r="196" spans="1:50"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c r="AS196" s="3"/>
      <c r="AT196" s="3"/>
      <c r="AU196" s="3"/>
      <c r="AV196" s="3"/>
      <c r="AW196" s="3"/>
      <c r="AX196" s="3"/>
    </row>
    <row r="197" spans="1:50"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c r="AS197" s="3"/>
      <c r="AT197" s="3"/>
      <c r="AU197" s="3"/>
      <c r="AV197" s="3"/>
      <c r="AW197" s="3"/>
      <c r="AX197" s="3"/>
    </row>
    <row r="198" spans="1:50"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c r="AS198" s="3"/>
      <c r="AT198" s="3"/>
      <c r="AU198" s="3"/>
      <c r="AV198" s="3"/>
      <c r="AW198" s="3"/>
      <c r="AX198" s="3"/>
    </row>
    <row r="199" spans="1:50"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c r="AS199" s="3"/>
      <c r="AT199" s="3"/>
      <c r="AU199" s="3"/>
      <c r="AV199" s="3"/>
      <c r="AW199" s="3"/>
      <c r="AX199" s="3"/>
    </row>
    <row r="200" spans="1:50"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c r="AS200" s="3"/>
      <c r="AT200" s="3"/>
      <c r="AU200" s="3"/>
      <c r="AV200" s="3"/>
      <c r="AW200" s="3"/>
      <c r="AX200" s="3"/>
    </row>
    <row r="201" spans="1:50"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c r="AS201" s="3"/>
      <c r="AT201" s="3"/>
      <c r="AU201" s="3"/>
      <c r="AV201" s="3"/>
      <c r="AW201" s="3"/>
      <c r="AX201" s="3"/>
    </row>
    <row r="202" spans="1:50"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c r="AS202" s="3"/>
      <c r="AT202" s="3"/>
      <c r="AU202" s="3"/>
      <c r="AV202" s="3"/>
      <c r="AW202" s="3"/>
      <c r="AX202" s="3"/>
    </row>
    <row r="203" spans="1:50"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c r="AS203" s="3"/>
      <c r="AT203" s="3"/>
      <c r="AU203" s="3"/>
      <c r="AV203" s="3"/>
      <c r="AW203" s="3"/>
      <c r="AX203" s="3"/>
    </row>
    <row r="204" spans="1:50"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c r="AS204" s="3"/>
      <c r="AT204" s="3"/>
      <c r="AU204" s="3"/>
      <c r="AV204" s="3"/>
      <c r="AW204" s="3"/>
      <c r="AX204" s="3"/>
    </row>
    <row r="205" spans="1:50"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c r="AS205" s="3"/>
      <c r="AT205" s="3"/>
      <c r="AU205" s="3"/>
      <c r="AV205" s="3"/>
      <c r="AW205" s="3"/>
      <c r="AX205" s="3"/>
    </row>
    <row r="206" spans="1:50"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c r="AS206" s="3"/>
      <c r="AT206" s="3"/>
      <c r="AU206" s="3"/>
      <c r="AV206" s="3"/>
      <c r="AW206" s="3"/>
      <c r="AX206" s="3"/>
    </row>
    <row r="207" spans="1:50"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c r="AS207" s="3"/>
      <c r="AT207" s="3"/>
      <c r="AU207" s="3"/>
      <c r="AV207" s="3"/>
      <c r="AW207" s="3"/>
      <c r="AX207" s="3"/>
    </row>
    <row r="208" spans="1:50"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c r="AS208" s="3"/>
      <c r="AT208" s="3"/>
      <c r="AU208" s="3"/>
      <c r="AV208" s="3"/>
      <c r="AW208" s="3"/>
      <c r="AX208" s="3"/>
    </row>
    <row r="209" spans="1:50"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c r="AS209" s="3"/>
      <c r="AT209" s="3"/>
      <c r="AU209" s="3"/>
      <c r="AV209" s="3"/>
      <c r="AW209" s="3"/>
      <c r="AX209" s="3"/>
    </row>
    <row r="210" spans="1:50"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c r="AS210" s="3"/>
      <c r="AT210" s="3"/>
      <c r="AU210" s="3"/>
      <c r="AV210" s="3"/>
      <c r="AW210" s="3"/>
      <c r="AX210" s="3"/>
    </row>
    <row r="211" spans="1:50"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c r="AS211" s="3"/>
      <c r="AT211" s="3"/>
      <c r="AU211" s="3"/>
      <c r="AV211" s="3"/>
      <c r="AW211" s="3"/>
      <c r="AX211" s="3"/>
    </row>
    <row r="212" spans="1:50"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c r="AS212" s="3"/>
      <c r="AT212" s="3"/>
      <c r="AU212" s="3"/>
      <c r="AV212" s="3"/>
      <c r="AW212" s="3"/>
      <c r="AX212" s="3"/>
    </row>
    <row r="213" spans="1:50"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c r="AS213" s="3"/>
      <c r="AT213" s="3"/>
      <c r="AU213" s="3"/>
      <c r="AV213" s="3"/>
      <c r="AW213" s="3"/>
      <c r="AX213" s="3"/>
    </row>
    <row r="214" spans="1:50"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c r="AS214" s="3"/>
      <c r="AT214" s="3"/>
      <c r="AU214" s="3"/>
      <c r="AV214" s="3"/>
      <c r="AW214" s="3"/>
      <c r="AX214" s="3"/>
    </row>
    <row r="215" spans="1:50"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c r="AS215" s="3"/>
      <c r="AT215" s="3"/>
      <c r="AU215" s="3"/>
      <c r="AV215" s="3"/>
      <c r="AW215" s="3"/>
      <c r="AX215" s="3"/>
    </row>
    <row r="216" spans="1:50"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c r="AS216" s="3"/>
      <c r="AT216" s="3"/>
      <c r="AU216" s="3"/>
      <c r="AV216" s="3"/>
      <c r="AW216" s="3"/>
      <c r="AX216" s="3"/>
    </row>
    <row r="217" spans="1:50"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c r="AS217" s="3"/>
      <c r="AT217" s="3"/>
      <c r="AU217" s="3"/>
      <c r="AV217" s="3"/>
      <c r="AW217" s="3"/>
      <c r="AX217" s="3"/>
    </row>
    <row r="218" spans="1:50"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c r="AS218" s="3"/>
      <c r="AT218" s="3"/>
      <c r="AU218" s="3"/>
      <c r="AV218" s="3"/>
      <c r="AW218" s="3"/>
      <c r="AX218" s="3"/>
    </row>
    <row r="219" spans="1:50"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c r="AS219" s="3"/>
      <c r="AT219" s="3"/>
      <c r="AU219" s="3"/>
      <c r="AV219" s="3"/>
      <c r="AW219" s="3"/>
      <c r="AX219" s="3"/>
    </row>
    <row r="220" spans="1:50"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c r="AS220" s="3"/>
      <c r="AT220" s="3"/>
      <c r="AU220" s="3"/>
      <c r="AV220" s="3"/>
      <c r="AW220" s="3"/>
      <c r="AX220" s="3"/>
    </row>
    <row r="221" spans="1:50"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c r="AS221" s="3"/>
      <c r="AT221" s="3"/>
      <c r="AU221" s="3"/>
      <c r="AV221" s="3"/>
      <c r="AW221" s="3"/>
      <c r="AX221" s="3"/>
    </row>
    <row r="222" spans="1:50"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c r="AS222" s="3"/>
      <c r="AT222" s="3"/>
      <c r="AU222" s="3"/>
      <c r="AV222" s="3"/>
      <c r="AW222" s="3"/>
      <c r="AX222" s="3"/>
    </row>
    <row r="223" spans="1:50"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c r="AS223" s="3"/>
      <c r="AT223" s="3"/>
      <c r="AU223" s="3"/>
      <c r="AV223" s="3"/>
      <c r="AW223" s="3"/>
      <c r="AX223" s="3"/>
    </row>
    <row r="224" spans="1:50"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c r="AS224" s="3"/>
      <c r="AT224" s="3"/>
      <c r="AU224" s="3"/>
      <c r="AV224" s="3"/>
      <c r="AW224" s="3"/>
      <c r="AX224" s="3"/>
    </row>
    <row r="225" spans="1:50"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c r="AS225" s="3"/>
      <c r="AT225" s="3"/>
      <c r="AU225" s="3"/>
      <c r="AV225" s="3"/>
      <c r="AW225" s="3"/>
      <c r="AX225" s="3"/>
    </row>
    <row r="226" spans="1:50"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c r="AS226" s="3"/>
      <c r="AT226" s="3"/>
      <c r="AU226" s="3"/>
      <c r="AV226" s="3"/>
      <c r="AW226" s="3"/>
      <c r="AX226" s="3"/>
    </row>
    <row r="227" spans="1:50"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c r="AS227" s="3"/>
      <c r="AT227" s="3"/>
      <c r="AU227" s="3"/>
      <c r="AV227" s="3"/>
      <c r="AW227" s="3"/>
      <c r="AX227" s="3"/>
    </row>
    <row r="228" spans="1:50"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c r="AS228" s="3"/>
      <c r="AT228" s="3"/>
      <c r="AU228" s="3"/>
      <c r="AV228" s="3"/>
      <c r="AW228" s="3"/>
      <c r="AX228" s="3"/>
    </row>
    <row r="229" spans="1:50"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c r="AS229" s="3"/>
      <c r="AT229" s="3"/>
      <c r="AU229" s="3"/>
      <c r="AV229" s="3"/>
      <c r="AW229" s="3"/>
      <c r="AX229" s="3"/>
    </row>
    <row r="230" spans="1:50"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c r="AS230" s="3"/>
      <c r="AT230" s="3"/>
      <c r="AU230" s="3"/>
      <c r="AV230" s="3"/>
      <c r="AW230" s="3"/>
      <c r="AX230" s="3"/>
    </row>
    <row r="231" spans="1:50"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c r="AS231" s="3"/>
      <c r="AT231" s="3"/>
      <c r="AU231" s="3"/>
      <c r="AV231" s="3"/>
      <c r="AW231" s="3"/>
      <c r="AX231" s="3"/>
    </row>
    <row r="232" spans="1:50"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c r="AS232" s="3"/>
      <c r="AT232" s="3"/>
      <c r="AU232" s="3"/>
      <c r="AV232" s="3"/>
      <c r="AW232" s="3"/>
      <c r="AX232" s="3"/>
    </row>
    <row r="233" spans="1:50"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c r="AS233" s="3"/>
      <c r="AT233" s="3"/>
      <c r="AU233" s="3"/>
      <c r="AV233" s="3"/>
      <c r="AW233" s="3"/>
      <c r="AX233" s="3"/>
    </row>
    <row r="234" spans="1:50"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c r="AS234" s="3"/>
      <c r="AT234" s="3"/>
      <c r="AU234" s="3"/>
      <c r="AV234" s="3"/>
      <c r="AW234" s="3"/>
      <c r="AX234" s="3"/>
    </row>
    <row r="235" spans="1:50"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c r="AS235" s="3"/>
      <c r="AT235" s="3"/>
      <c r="AU235" s="3"/>
      <c r="AV235" s="3"/>
      <c r="AW235" s="3"/>
      <c r="AX235" s="3"/>
    </row>
    <row r="236" spans="1:50"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c r="AS236" s="3"/>
      <c r="AT236" s="3"/>
      <c r="AU236" s="3"/>
      <c r="AV236" s="3"/>
      <c r="AW236" s="3"/>
      <c r="AX236" s="3"/>
    </row>
    <row r="237" spans="1:50"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c r="AS237" s="3"/>
      <c r="AT237" s="3"/>
      <c r="AU237" s="3"/>
      <c r="AV237" s="3"/>
      <c r="AW237" s="3"/>
      <c r="AX237" s="3"/>
    </row>
    <row r="238" spans="1:50"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c r="AS238" s="3"/>
      <c r="AT238" s="3"/>
      <c r="AU238" s="3"/>
      <c r="AV238" s="3"/>
      <c r="AW238" s="3"/>
      <c r="AX238" s="3"/>
    </row>
    <row r="239" spans="1:50"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c r="AS239" s="3"/>
      <c r="AT239" s="3"/>
      <c r="AU239" s="3"/>
      <c r="AV239" s="3"/>
      <c r="AW239" s="3"/>
      <c r="AX239" s="3"/>
    </row>
    <row r="240" spans="1:50"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c r="AS240" s="3"/>
      <c r="AT240" s="3"/>
      <c r="AU240" s="3"/>
      <c r="AV240" s="3"/>
      <c r="AW240" s="3"/>
      <c r="AX240" s="3"/>
    </row>
    <row r="241" spans="1:50"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c r="AS241" s="3"/>
      <c r="AT241" s="3"/>
      <c r="AU241" s="3"/>
      <c r="AV241" s="3"/>
      <c r="AW241" s="3"/>
      <c r="AX241" s="3"/>
    </row>
    <row r="242" spans="1:50"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c r="AS242" s="3"/>
      <c r="AT242" s="3"/>
      <c r="AU242" s="3"/>
      <c r="AV242" s="3"/>
      <c r="AW242" s="3"/>
      <c r="AX242" s="3"/>
    </row>
    <row r="243" spans="1:50"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c r="AS243" s="3"/>
      <c r="AT243" s="3"/>
      <c r="AU243" s="3"/>
      <c r="AV243" s="3"/>
      <c r="AW243" s="3"/>
      <c r="AX243" s="3"/>
    </row>
    <row r="244" spans="1:50"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c r="AS244" s="3"/>
      <c r="AT244" s="3"/>
      <c r="AU244" s="3"/>
      <c r="AV244" s="3"/>
      <c r="AW244" s="3"/>
      <c r="AX244" s="3"/>
    </row>
    <row r="245" spans="1:50"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c r="AS245" s="3"/>
      <c r="AT245" s="3"/>
      <c r="AU245" s="3"/>
      <c r="AV245" s="3"/>
      <c r="AW245" s="3"/>
      <c r="AX245" s="3"/>
    </row>
    <row r="246" spans="1:50"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c r="AS246" s="3"/>
      <c r="AT246" s="3"/>
      <c r="AU246" s="3"/>
      <c r="AV246" s="3"/>
      <c r="AW246" s="3"/>
      <c r="AX246" s="3"/>
    </row>
    <row r="247" spans="1:50"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c r="AS247" s="3"/>
      <c r="AT247" s="3"/>
      <c r="AU247" s="3"/>
      <c r="AV247" s="3"/>
      <c r="AW247" s="3"/>
      <c r="AX247" s="3"/>
    </row>
    <row r="248" spans="1:50"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c r="AS248" s="3"/>
      <c r="AT248" s="3"/>
      <c r="AU248" s="3"/>
      <c r="AV248" s="3"/>
      <c r="AW248" s="3"/>
      <c r="AX248" s="3"/>
    </row>
    <row r="249" spans="1:50"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c r="AS249" s="3"/>
      <c r="AT249" s="3"/>
      <c r="AU249" s="3"/>
      <c r="AV249" s="3"/>
      <c r="AW249" s="3"/>
      <c r="AX249" s="3"/>
    </row>
    <row r="250" spans="1:50"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c r="AS250" s="3"/>
      <c r="AT250" s="3"/>
      <c r="AU250" s="3"/>
      <c r="AV250" s="3"/>
      <c r="AW250" s="3"/>
      <c r="AX250" s="3"/>
    </row>
    <row r="251" spans="1:50"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c r="AS251" s="3"/>
      <c r="AT251" s="3"/>
      <c r="AU251" s="3"/>
      <c r="AV251" s="3"/>
      <c r="AW251" s="3"/>
      <c r="AX251" s="3"/>
    </row>
    <row r="252" spans="1:50"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c r="AS252" s="3"/>
      <c r="AT252" s="3"/>
      <c r="AU252" s="3"/>
      <c r="AV252" s="3"/>
      <c r="AW252" s="3"/>
      <c r="AX252" s="3"/>
    </row>
    <row r="253" spans="1:50"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c r="AS253" s="3"/>
      <c r="AT253" s="3"/>
      <c r="AU253" s="3"/>
      <c r="AV253" s="3"/>
      <c r="AW253" s="3"/>
      <c r="AX253" s="3"/>
    </row>
    <row r="254" spans="1:50"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c r="AS254" s="3"/>
      <c r="AT254" s="3"/>
      <c r="AU254" s="3"/>
      <c r="AV254" s="3"/>
      <c r="AW254" s="3"/>
      <c r="AX254" s="3"/>
    </row>
    <row r="255" spans="1:50"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c r="AS255" s="3"/>
      <c r="AT255" s="3"/>
      <c r="AU255" s="3"/>
      <c r="AV255" s="3"/>
      <c r="AW255" s="3"/>
      <c r="AX255" s="3"/>
    </row>
    <row r="256" spans="1:50"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c r="AS256" s="3"/>
      <c r="AT256" s="3"/>
      <c r="AU256" s="3"/>
      <c r="AV256" s="3"/>
      <c r="AW256" s="3"/>
      <c r="AX256" s="3"/>
    </row>
    <row r="257" spans="1:50"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c r="AS257" s="3"/>
      <c r="AT257" s="3"/>
      <c r="AU257" s="3"/>
      <c r="AV257" s="3"/>
      <c r="AW257" s="3"/>
      <c r="AX257" s="3"/>
    </row>
    <row r="258" spans="1:50"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c r="AS258" s="3"/>
      <c r="AT258" s="3"/>
      <c r="AU258" s="3"/>
      <c r="AV258" s="3"/>
      <c r="AW258" s="3"/>
      <c r="AX258" s="3"/>
    </row>
    <row r="259" spans="1:50"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c r="AS259" s="3"/>
      <c r="AT259" s="3"/>
      <c r="AU259" s="3"/>
      <c r="AV259" s="3"/>
      <c r="AW259" s="3"/>
      <c r="AX259" s="3"/>
    </row>
    <row r="260" spans="1:50"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c r="AS260" s="3"/>
      <c r="AT260" s="3"/>
      <c r="AU260" s="3"/>
      <c r="AV260" s="3"/>
      <c r="AW260" s="3"/>
      <c r="AX260" s="3"/>
    </row>
    <row r="261" spans="1:50"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c r="AS261" s="3"/>
      <c r="AT261" s="3"/>
      <c r="AU261" s="3"/>
      <c r="AV261" s="3"/>
      <c r="AW261" s="3"/>
      <c r="AX261" s="3"/>
    </row>
    <row r="262" spans="1:50"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c r="AS262" s="3"/>
      <c r="AT262" s="3"/>
      <c r="AU262" s="3"/>
      <c r="AV262" s="3"/>
      <c r="AW262" s="3"/>
      <c r="AX262" s="3"/>
    </row>
    <row r="263" spans="1:50"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c r="AS263" s="3"/>
      <c r="AT263" s="3"/>
      <c r="AU263" s="3"/>
      <c r="AV263" s="3"/>
      <c r="AW263" s="3"/>
      <c r="AX263" s="3"/>
    </row>
    <row r="264" spans="1:50"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c r="AS264" s="3"/>
      <c r="AT264" s="3"/>
      <c r="AU264" s="3"/>
      <c r="AV264" s="3"/>
      <c r="AW264" s="3"/>
      <c r="AX264" s="3"/>
    </row>
    <row r="265" spans="1:50"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c r="AS265" s="3"/>
      <c r="AT265" s="3"/>
      <c r="AU265" s="3"/>
      <c r="AV265" s="3"/>
      <c r="AW265" s="3"/>
      <c r="AX265" s="3"/>
    </row>
    <row r="266" spans="1:50"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c r="AS266" s="3"/>
      <c r="AT266" s="3"/>
      <c r="AU266" s="3"/>
      <c r="AV266" s="3"/>
      <c r="AW266" s="3"/>
      <c r="AX266" s="3"/>
    </row>
    <row r="267" spans="1:50"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c r="AS267" s="3"/>
      <c r="AT267" s="3"/>
      <c r="AU267" s="3"/>
      <c r="AV267" s="3"/>
      <c r="AW267" s="3"/>
      <c r="AX267" s="3"/>
    </row>
    <row r="268" spans="1:50"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c r="AS268" s="3"/>
      <c r="AT268" s="3"/>
      <c r="AU268" s="3"/>
      <c r="AV268" s="3"/>
      <c r="AW268" s="3"/>
      <c r="AX268" s="3"/>
    </row>
    <row r="269" spans="1:50"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c r="AS269" s="3"/>
      <c r="AT269" s="3"/>
      <c r="AU269" s="3"/>
      <c r="AV269" s="3"/>
      <c r="AW269" s="3"/>
      <c r="AX269" s="3"/>
    </row>
    <row r="270" spans="1:50"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c r="AS270" s="3"/>
      <c r="AT270" s="3"/>
      <c r="AU270" s="3"/>
      <c r="AV270" s="3"/>
      <c r="AW270" s="3"/>
      <c r="AX270" s="3"/>
    </row>
    <row r="271" spans="1:50"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c r="AS271" s="3"/>
      <c r="AT271" s="3"/>
      <c r="AU271" s="3"/>
      <c r="AV271" s="3"/>
      <c r="AW271" s="3"/>
      <c r="AX271" s="3"/>
    </row>
    <row r="272" spans="1:50"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c r="AS272" s="3"/>
      <c r="AT272" s="3"/>
      <c r="AU272" s="3"/>
      <c r="AV272" s="3"/>
      <c r="AW272" s="3"/>
      <c r="AX272" s="3"/>
    </row>
    <row r="273" spans="1:50"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c r="AS273" s="3"/>
      <c r="AT273" s="3"/>
      <c r="AU273" s="3"/>
      <c r="AV273" s="3"/>
      <c r="AW273" s="3"/>
      <c r="AX273" s="3"/>
    </row>
    <row r="274" spans="1:50"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c r="AS274" s="3"/>
      <c r="AT274" s="3"/>
      <c r="AU274" s="3"/>
      <c r="AV274" s="3"/>
      <c r="AW274" s="3"/>
      <c r="AX274" s="3"/>
    </row>
    <row r="275" spans="1:50"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c r="AS275" s="3"/>
      <c r="AT275" s="3"/>
      <c r="AU275" s="3"/>
      <c r="AV275" s="3"/>
      <c r="AW275" s="3"/>
      <c r="AX275" s="3"/>
    </row>
    <row r="276" spans="1:50"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3"/>
      <c r="AS276" s="3"/>
      <c r="AT276" s="3"/>
      <c r="AU276" s="3"/>
      <c r="AV276" s="3"/>
      <c r="AW276" s="3"/>
      <c r="AX276" s="3"/>
    </row>
    <row r="277" spans="1:50"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3"/>
      <c r="AS277" s="3"/>
      <c r="AT277" s="3"/>
      <c r="AU277" s="3"/>
      <c r="AV277" s="3"/>
      <c r="AW277" s="3"/>
      <c r="AX277" s="3"/>
    </row>
    <row r="278" spans="1:50"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3"/>
      <c r="AS278" s="3"/>
      <c r="AT278" s="3"/>
      <c r="AU278" s="3"/>
      <c r="AV278" s="3"/>
      <c r="AW278" s="3"/>
      <c r="AX278" s="3"/>
    </row>
    <row r="279" spans="1:50"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3"/>
      <c r="AS279" s="3"/>
      <c r="AT279" s="3"/>
      <c r="AU279" s="3"/>
      <c r="AV279" s="3"/>
      <c r="AW279" s="3"/>
      <c r="AX279" s="3"/>
    </row>
    <row r="280" spans="1:50"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3"/>
      <c r="AS280" s="3"/>
      <c r="AT280" s="3"/>
      <c r="AU280" s="3"/>
      <c r="AV280" s="3"/>
      <c r="AW280" s="3"/>
      <c r="AX280" s="3"/>
    </row>
    <row r="281" spans="1:50"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3"/>
      <c r="AS281" s="3"/>
      <c r="AT281" s="3"/>
      <c r="AU281" s="3"/>
      <c r="AV281" s="3"/>
      <c r="AW281" s="3"/>
      <c r="AX281" s="3"/>
    </row>
    <row r="282" spans="1:50"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3"/>
      <c r="AS282" s="3"/>
      <c r="AT282" s="3"/>
      <c r="AU282" s="3"/>
      <c r="AV282" s="3"/>
      <c r="AW282" s="3"/>
      <c r="AX282" s="3"/>
    </row>
    <row r="283" spans="1:50"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3"/>
      <c r="AS283" s="3"/>
      <c r="AT283" s="3"/>
      <c r="AU283" s="3"/>
      <c r="AV283" s="3"/>
      <c r="AW283" s="3"/>
      <c r="AX283" s="3"/>
    </row>
    <row r="284" spans="1:5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B00-000000000000}">
      <formula1>"TOU,non-TOU"</formula1>
    </dataValidation>
    <dataValidation type="list" allowBlank="1" showErrorMessage="1" sqref="E15:E28 E30:E38 E40:E41 E43:E51 E57 E63" xr:uid="{00000000-0002-0000-1B00-000001000000}">
      <formula1>#REF!</formula1>
    </dataValidation>
    <dataValidation type="list" allowBlank="1" showInputMessage="1" showErrorMessage="1" prompt="Select Charge Unit - monthly, per kWh, per kW" sqref="D15:D28 D30:D38 D40:D41 D43:D51 D57 D63" xr:uid="{00000000-0002-0000-1B00-000002000000}">
      <formula1>"Monthly,per kWh,per kW"</formula1>
    </dataValidation>
  </dataValidations>
  <pageMargins left="0.74803149606299213" right="0.74803149606299213" top="0.98425196850393704" bottom="0.98425196850393704"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1000"/>
  <sheetViews>
    <sheetView showGridLines="0" workbookViewId="0">
      <pane ySplit="14" topLeftCell="A15" activePane="bottomLeft" state="frozen"/>
      <selection pane="bottomLeft" activeCell="L47" sqref="L47"/>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9.42578125" customWidth="1"/>
    <col min="7" max="7" width="9.28515625" customWidth="1"/>
    <col min="8" max="8" width="12.28515625" customWidth="1"/>
    <col min="9" max="9" width="1.42578125" customWidth="1"/>
    <col min="10" max="11" width="9.28515625" customWidth="1"/>
    <col min="12" max="12" width="12.28515625" customWidth="1"/>
    <col min="13" max="13" width="1.42578125" customWidth="1"/>
    <col min="14" max="14" width="9.42578125" customWidth="1"/>
    <col min="15" max="15" width="10" customWidth="1"/>
    <col min="16" max="16" width="1.7109375" customWidth="1"/>
    <col min="17" max="18" width="9.28515625" customWidth="1"/>
    <col min="19" max="19" width="12.28515625" customWidth="1"/>
    <col min="20" max="20" width="0.42578125" customWidth="1"/>
    <col min="21" max="21" width="11" customWidth="1"/>
    <col min="22" max="22" width="10" customWidth="1"/>
    <col min="23" max="23" width="0.42578125" customWidth="1"/>
    <col min="24" max="25" width="9.28515625" customWidth="1"/>
    <col min="26" max="26" width="12.28515625" customWidth="1"/>
    <col min="27" max="27" width="0.42578125" customWidth="1"/>
    <col min="28" max="28" width="9.42578125" customWidth="1"/>
    <col min="29" max="29" width="10" customWidth="1"/>
    <col min="30" max="30" width="2.1406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2.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3.28515625" customWidth="1"/>
    <col min="45" max="46" width="12.42578125" customWidth="1"/>
  </cols>
  <sheetData>
    <row r="1" spans="1:46" ht="7.5" customHeight="1">
      <c r="A1" s="52"/>
      <c r="B1" s="52"/>
      <c r="C1" s="52"/>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6" ht="18.75" customHeight="1">
      <c r="A2" s="52"/>
      <c r="B2" s="52"/>
      <c r="C2" s="379"/>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6" ht="18.75"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6" ht="7.5"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6" ht="7.5"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6" ht="12.75"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row>
    <row r="7" spans="1:46" ht="7.5"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6" ht="12.75"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6" ht="12.75" customHeight="1">
      <c r="A9" s="52"/>
      <c r="B9" s="383"/>
      <c r="C9" s="52"/>
      <c r="D9" s="306" t="s">
        <v>297</v>
      </c>
      <c r="E9" s="306"/>
      <c r="F9" s="386">
        <v>255500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6" ht="12.75" customHeight="1">
      <c r="A10" s="52"/>
      <c r="B10" s="52"/>
      <c r="C10" s="52"/>
      <c r="D10" s="52"/>
      <c r="E10" s="52"/>
      <c r="F10" s="386">
        <v>500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6" ht="12.75" customHeight="1">
      <c r="A11" s="52"/>
      <c r="B11" s="52"/>
      <c r="C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6" ht="12.75"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6" ht="12.75" customHeight="1">
      <c r="A13" s="52"/>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6" ht="12.75"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6" ht="12.75" customHeight="1">
      <c r="A15" s="52"/>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46" si="13">Z15-S15</f>
        <v>0</v>
      </c>
      <c r="AC15" s="402">
        <f t="shared" ref="AC15:AC46"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row>
    <row r="16" spans="1:46" ht="12.75" customHeight="1">
      <c r="A16" s="52"/>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500</v>
      </c>
      <c r="H17" s="400">
        <f t="shared" si="2"/>
        <v>0</v>
      </c>
      <c r="I17" s="128"/>
      <c r="J17" s="397">
        <f>IFERROR(VLOOKUP($C17,'Proposed Rates'!$B:$J,J$11,FALSE),0)</f>
        <v>0</v>
      </c>
      <c r="K17" s="415">
        <f t="shared" si="3"/>
        <v>500</v>
      </c>
      <c r="L17" s="400">
        <f t="shared" si="4"/>
        <v>0</v>
      </c>
      <c r="M17" s="128"/>
      <c r="N17" s="401">
        <f t="shared" si="5"/>
        <v>0</v>
      </c>
      <c r="O17" s="402" t="str">
        <f t="shared" si="6"/>
        <v/>
      </c>
      <c r="P17" s="52"/>
      <c r="Q17" s="397">
        <f>IFERROR(VLOOKUP($C17,'Proposed Rates'!$B:$J,Q$11,FALSE),0)</f>
        <v>0</v>
      </c>
      <c r="R17" s="415">
        <f t="shared" si="7"/>
        <v>500</v>
      </c>
      <c r="S17" s="400">
        <f t="shared" si="8"/>
        <v>0</v>
      </c>
      <c r="T17" s="128"/>
      <c r="U17" s="401">
        <f t="shared" si="9"/>
        <v>0</v>
      </c>
      <c r="V17" s="402" t="str">
        <f t="shared" si="10"/>
        <v/>
      </c>
      <c r="W17" s="52"/>
      <c r="X17" s="397">
        <f>IFERROR(VLOOKUP($C17,'Proposed Rates'!$B:$J,X$11,FALSE),0)</f>
        <v>0</v>
      </c>
      <c r="Y17" s="415">
        <f t="shared" si="11"/>
        <v>500</v>
      </c>
      <c r="Z17" s="400">
        <f t="shared" si="12"/>
        <v>0</v>
      </c>
      <c r="AA17" s="128"/>
      <c r="AB17" s="401">
        <f t="shared" si="13"/>
        <v>0</v>
      </c>
      <c r="AC17" s="402" t="str">
        <f t="shared" si="14"/>
        <v/>
      </c>
      <c r="AD17" s="52"/>
      <c r="AE17" s="397">
        <f>IFERROR(VLOOKUP($C17,'Proposed Rates'!$B:$J,AE$11,FALSE),0)</f>
        <v>0</v>
      </c>
      <c r="AF17" s="415">
        <f t="shared" si="15"/>
        <v>500</v>
      </c>
      <c r="AG17" s="400">
        <f t="shared" si="16"/>
        <v>0</v>
      </c>
      <c r="AH17" s="128"/>
      <c r="AI17" s="401">
        <f t="shared" si="17"/>
        <v>0</v>
      </c>
      <c r="AJ17" s="402" t="str">
        <f t="shared" si="18"/>
        <v/>
      </c>
      <c r="AK17" s="52"/>
      <c r="AL17" s="397">
        <f>IFERROR(VLOOKUP($C17,'Proposed Rates'!$B:$J,AL$11,FALSE),0)</f>
        <v>0</v>
      </c>
      <c r="AM17" s="415">
        <f t="shared" si="19"/>
        <v>500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500</v>
      </c>
      <c r="H18" s="400">
        <f t="shared" si="2"/>
        <v>0</v>
      </c>
      <c r="I18" s="128"/>
      <c r="J18" s="397">
        <f>IFERROR(VLOOKUP($C18,'Proposed Rates'!$B:$J,J$11,FALSE),0)</f>
        <v>0</v>
      </c>
      <c r="K18" s="415">
        <f t="shared" si="3"/>
        <v>500</v>
      </c>
      <c r="L18" s="400">
        <f t="shared" si="4"/>
        <v>0</v>
      </c>
      <c r="M18" s="128"/>
      <c r="N18" s="401">
        <f t="shared" si="5"/>
        <v>0</v>
      </c>
      <c r="O18" s="402" t="str">
        <f t="shared" si="6"/>
        <v/>
      </c>
      <c r="P18" s="52"/>
      <c r="Q18" s="397">
        <f>IFERROR(VLOOKUP($C18,'Proposed Rates'!$B:$J,Q$11,FALSE),0)</f>
        <v>0</v>
      </c>
      <c r="R18" s="415">
        <f t="shared" si="7"/>
        <v>500</v>
      </c>
      <c r="S18" s="400">
        <f t="shared" si="8"/>
        <v>0</v>
      </c>
      <c r="T18" s="128"/>
      <c r="U18" s="401">
        <f t="shared" si="9"/>
        <v>0</v>
      </c>
      <c r="V18" s="402" t="str">
        <f t="shared" si="10"/>
        <v/>
      </c>
      <c r="W18" s="52"/>
      <c r="X18" s="397">
        <f>IFERROR(VLOOKUP($C18,'Proposed Rates'!$B:$J,X$11,FALSE),0)</f>
        <v>0</v>
      </c>
      <c r="Y18" s="415">
        <f t="shared" si="11"/>
        <v>500</v>
      </c>
      <c r="Z18" s="400">
        <f t="shared" si="12"/>
        <v>0</v>
      </c>
      <c r="AA18" s="128"/>
      <c r="AB18" s="401">
        <f t="shared" si="13"/>
        <v>0</v>
      </c>
      <c r="AC18" s="402" t="str">
        <f t="shared" si="14"/>
        <v/>
      </c>
      <c r="AD18" s="52"/>
      <c r="AE18" s="397">
        <f>IFERROR(VLOOKUP($C18,'Proposed Rates'!$B:$J,AE$11,FALSE),0)</f>
        <v>0</v>
      </c>
      <c r="AF18" s="415">
        <f t="shared" si="15"/>
        <v>500</v>
      </c>
      <c r="AG18" s="400">
        <f t="shared" si="16"/>
        <v>0</v>
      </c>
      <c r="AH18" s="128"/>
      <c r="AI18" s="401">
        <f t="shared" si="17"/>
        <v>0</v>
      </c>
      <c r="AJ18" s="402" t="str">
        <f t="shared" si="18"/>
        <v/>
      </c>
      <c r="AK18" s="52"/>
      <c r="AL18" s="397">
        <f>IFERROR(VLOOKUP($C18,'Proposed Rates'!$B:$J,AL$11,FALSE),0)</f>
        <v>0</v>
      </c>
      <c r="AM18" s="415">
        <f t="shared" si="19"/>
        <v>500</v>
      </c>
      <c r="AN18" s="400">
        <f t="shared" si="20"/>
        <v>0</v>
      </c>
      <c r="AO18" s="128"/>
      <c r="AP18" s="401">
        <f t="shared" si="21"/>
        <v>0</v>
      </c>
      <c r="AQ18" s="402" t="str">
        <f t="shared" si="22"/>
        <v/>
      </c>
      <c r="AR18" s="403"/>
    </row>
    <row r="19" spans="1:44" ht="12.75" customHeight="1">
      <c r="A19" s="52"/>
      <c r="B19" s="320" t="s">
        <v>59</v>
      </c>
      <c r="C19" s="395" t="str">
        <f t="shared" si="0"/>
        <v>General Service 50 to 1,499 KW.Distribution Volumetric Rate</v>
      </c>
      <c r="D19" s="396" t="s">
        <v>377</v>
      </c>
      <c r="E19" s="320"/>
      <c r="F19" s="414">
        <f>IFERROR(VLOOKUP($C19,'Proposed Rates'!$B:$J,F$11,FALSE),0)</f>
        <v>6.5552999999999999</v>
      </c>
      <c r="G19" s="415">
        <f t="shared" si="1"/>
        <v>500</v>
      </c>
      <c r="H19" s="400">
        <f t="shared" si="2"/>
        <v>3277.65</v>
      </c>
      <c r="I19" s="128"/>
      <c r="J19" s="414">
        <f>IFERROR(VLOOKUP($C19,'Proposed Rates'!$B:$J,J$11,FALSE),0)</f>
        <v>8.0635999999999992</v>
      </c>
      <c r="K19" s="415">
        <f t="shared" si="3"/>
        <v>500</v>
      </c>
      <c r="L19" s="400">
        <f t="shared" si="4"/>
        <v>4031.7999999999997</v>
      </c>
      <c r="M19" s="128"/>
      <c r="N19" s="401">
        <f t="shared" si="5"/>
        <v>754.14999999999964</v>
      </c>
      <c r="O19" s="402">
        <f t="shared" si="6"/>
        <v>0.2300886305737341</v>
      </c>
      <c r="P19" s="52"/>
      <c r="Q19" s="414">
        <f>IFERROR(VLOOKUP($C19,'Proposed Rates'!$B:$J,Q$11,FALSE),0)</f>
        <v>8.7552000000000003</v>
      </c>
      <c r="R19" s="415">
        <f t="shared" si="7"/>
        <v>500</v>
      </c>
      <c r="S19" s="400">
        <f t="shared" si="8"/>
        <v>4377.6000000000004</v>
      </c>
      <c r="T19" s="128"/>
      <c r="U19" s="401">
        <f t="shared" si="9"/>
        <v>345.80000000000064</v>
      </c>
      <c r="V19" s="402">
        <f t="shared" si="10"/>
        <v>8.5768143261074625E-2</v>
      </c>
      <c r="W19" s="52"/>
      <c r="X19" s="414">
        <f>IFERROR(VLOOKUP($C19,'Proposed Rates'!$B:$J,X$11,FALSE),0)</f>
        <v>9.6349999999999998</v>
      </c>
      <c r="Y19" s="415">
        <f t="shared" si="11"/>
        <v>500</v>
      </c>
      <c r="Z19" s="400">
        <f t="shared" si="12"/>
        <v>4817.5</v>
      </c>
      <c r="AA19" s="128"/>
      <c r="AB19" s="401">
        <f t="shared" si="13"/>
        <v>439.89999999999964</v>
      </c>
      <c r="AC19" s="402">
        <f t="shared" si="14"/>
        <v>0.1004888523391812</v>
      </c>
      <c r="AD19" s="52"/>
      <c r="AE19" s="414">
        <f>IFERROR(VLOOKUP($C19,'Proposed Rates'!$B:$J,AE$11,FALSE),0)</f>
        <v>10.3217</v>
      </c>
      <c r="AF19" s="415">
        <f t="shared" si="15"/>
        <v>500</v>
      </c>
      <c r="AG19" s="400">
        <f t="shared" si="16"/>
        <v>5160.8500000000004</v>
      </c>
      <c r="AH19" s="128"/>
      <c r="AI19" s="401">
        <f t="shared" si="17"/>
        <v>343.35000000000036</v>
      </c>
      <c r="AJ19" s="402">
        <f t="shared" si="18"/>
        <v>7.1271406331084669E-2</v>
      </c>
      <c r="AK19" s="52"/>
      <c r="AL19" s="414">
        <f>IFERROR(VLOOKUP($C19,'Proposed Rates'!$B:$J,AL$11,FALSE),0)</f>
        <v>10.9739</v>
      </c>
      <c r="AM19" s="415">
        <f t="shared" si="19"/>
        <v>500</v>
      </c>
      <c r="AN19" s="400">
        <f t="shared" si="20"/>
        <v>5486.95</v>
      </c>
      <c r="AO19" s="128"/>
      <c r="AP19" s="401">
        <f t="shared" si="21"/>
        <v>326.09999999999945</v>
      </c>
      <c r="AQ19" s="402">
        <f t="shared" si="22"/>
        <v>6.3187265663601819E-2</v>
      </c>
      <c r="AR19" s="403"/>
    </row>
    <row r="20" spans="1:44" ht="12.75" customHeight="1">
      <c r="A20" s="52"/>
      <c r="B20" s="320" t="s">
        <v>309</v>
      </c>
      <c r="C20" s="395" t="str">
        <f t="shared" si="0"/>
        <v>General Service 50 to 1,499 KW.Smart Meter Disposition Rider</v>
      </c>
      <c r="D20" s="396" t="s">
        <v>308</v>
      </c>
      <c r="E20" s="320"/>
      <c r="F20" s="397">
        <f>IFERROR(VLOOKUP($C20,'Proposed Rates'!$B:$J,F$11,FALSE),0)</f>
        <v>0</v>
      </c>
      <c r="G20" s="415">
        <f t="shared" si="1"/>
        <v>255500</v>
      </c>
      <c r="H20" s="400">
        <f t="shared" si="2"/>
        <v>0</v>
      </c>
      <c r="I20" s="128"/>
      <c r="J20" s="397">
        <f>IFERROR(VLOOKUP($C20,'Proposed Rates'!$B:$J,J$11,FALSE),0)</f>
        <v>0</v>
      </c>
      <c r="K20" s="415">
        <f t="shared" si="3"/>
        <v>255500</v>
      </c>
      <c r="L20" s="400">
        <f t="shared" si="4"/>
        <v>0</v>
      </c>
      <c r="M20" s="128"/>
      <c r="N20" s="401">
        <f t="shared" si="5"/>
        <v>0</v>
      </c>
      <c r="O20" s="402" t="str">
        <f t="shared" si="6"/>
        <v/>
      </c>
      <c r="P20" s="52"/>
      <c r="Q20" s="397">
        <f>IFERROR(VLOOKUP($C20,'Proposed Rates'!$B:$J,Q$11,FALSE),0)</f>
        <v>0</v>
      </c>
      <c r="R20" s="415">
        <f t="shared" si="7"/>
        <v>255500</v>
      </c>
      <c r="S20" s="400">
        <f t="shared" si="8"/>
        <v>0</v>
      </c>
      <c r="T20" s="128"/>
      <c r="U20" s="401">
        <f t="shared" si="9"/>
        <v>0</v>
      </c>
      <c r="V20" s="402" t="str">
        <f t="shared" si="10"/>
        <v/>
      </c>
      <c r="W20" s="52"/>
      <c r="X20" s="397">
        <f>IFERROR(VLOOKUP($C20,'Proposed Rates'!$B:$J,X$11,FALSE),0)</f>
        <v>0</v>
      </c>
      <c r="Y20" s="415">
        <f t="shared" si="11"/>
        <v>255500</v>
      </c>
      <c r="Z20" s="400">
        <f t="shared" si="12"/>
        <v>0</v>
      </c>
      <c r="AA20" s="128"/>
      <c r="AB20" s="401">
        <f t="shared" si="13"/>
        <v>0</v>
      </c>
      <c r="AC20" s="402" t="str">
        <f t="shared" si="14"/>
        <v/>
      </c>
      <c r="AD20" s="52"/>
      <c r="AE20" s="397">
        <f>IFERROR(VLOOKUP($C20,'Proposed Rates'!$B:$J,AE$11,FALSE),0)</f>
        <v>0</v>
      </c>
      <c r="AF20" s="415">
        <f t="shared" si="15"/>
        <v>255500</v>
      </c>
      <c r="AG20" s="400">
        <f t="shared" si="16"/>
        <v>0</v>
      </c>
      <c r="AH20" s="128"/>
      <c r="AI20" s="401">
        <f t="shared" si="17"/>
        <v>0</v>
      </c>
      <c r="AJ20" s="402" t="str">
        <f t="shared" si="18"/>
        <v/>
      </c>
      <c r="AK20" s="52"/>
      <c r="AL20" s="397">
        <f>IFERROR(VLOOKUP($C20,'Proposed Rates'!$B:$J,AL$11,FALSE),0)</f>
        <v>0</v>
      </c>
      <c r="AM20" s="415">
        <f t="shared" si="19"/>
        <v>255500</v>
      </c>
      <c r="AN20" s="400">
        <f t="shared" si="20"/>
        <v>0</v>
      </c>
      <c r="AO20" s="128"/>
      <c r="AP20" s="401">
        <f t="shared" si="21"/>
        <v>0</v>
      </c>
      <c r="AQ20" s="402" t="str">
        <f t="shared" si="22"/>
        <v/>
      </c>
      <c r="AR20" s="403"/>
    </row>
    <row r="21" spans="1:44" ht="12.75" customHeight="1">
      <c r="A21" s="52"/>
      <c r="B21" s="320" t="s">
        <v>241</v>
      </c>
      <c r="C21" s="395" t="str">
        <f t="shared" si="0"/>
        <v>General Service 50 to 1,499 KW.LRAM Rate Rider</v>
      </c>
      <c r="D21" s="396" t="s">
        <v>377</v>
      </c>
      <c r="E21" s="320"/>
      <c r="F21" s="414">
        <f>'Proposed Rates'!E79+'Proposed Rates'!E92</f>
        <v>-0.2477</v>
      </c>
      <c r="G21" s="415">
        <f t="shared" si="1"/>
        <v>500</v>
      </c>
      <c r="H21" s="400">
        <f t="shared" si="2"/>
        <v>-123.85000000000001</v>
      </c>
      <c r="I21" s="128"/>
      <c r="J21" s="414">
        <f>'Proposed Rates'!F79+'Proposed Rates'!F92</f>
        <v>0</v>
      </c>
      <c r="K21" s="415">
        <f t="shared" si="3"/>
        <v>500</v>
      </c>
      <c r="L21" s="400">
        <f t="shared" si="4"/>
        <v>0</v>
      </c>
      <c r="M21" s="128"/>
      <c r="N21" s="401">
        <f t="shared" si="5"/>
        <v>123.85000000000001</v>
      </c>
      <c r="O21" s="402">
        <f t="shared" si="6"/>
        <v>-1</v>
      </c>
      <c r="P21" s="52"/>
      <c r="Q21" s="414">
        <f>'Proposed Rates'!G79+'Proposed Rates'!G92</f>
        <v>2.9499999999999998E-2</v>
      </c>
      <c r="R21" s="415">
        <f t="shared" si="7"/>
        <v>500</v>
      </c>
      <c r="S21" s="400">
        <f t="shared" si="8"/>
        <v>14.75</v>
      </c>
      <c r="T21" s="128"/>
      <c r="U21" s="401">
        <f t="shared" si="9"/>
        <v>14.75</v>
      </c>
      <c r="V21" s="402" t="str">
        <f t="shared" si="10"/>
        <v/>
      </c>
      <c r="W21" s="52"/>
      <c r="X21" s="414">
        <f>IFERROR(VLOOKUP($C21,'Proposed Rates'!$B:$J,X$11,FALSE),0)</f>
        <v>0</v>
      </c>
      <c r="Y21" s="415">
        <f t="shared" si="11"/>
        <v>500</v>
      </c>
      <c r="Z21" s="400">
        <f t="shared" si="12"/>
        <v>0</v>
      </c>
      <c r="AA21" s="128"/>
      <c r="AB21" s="401">
        <f t="shared" si="13"/>
        <v>-14.75</v>
      </c>
      <c r="AC21" s="402">
        <f t="shared" si="14"/>
        <v>-1</v>
      </c>
      <c r="AD21" s="52"/>
      <c r="AE21" s="414">
        <f>IFERROR(VLOOKUP($C21,'Proposed Rates'!$B:$J,AE$11,FALSE),0)</f>
        <v>0</v>
      </c>
      <c r="AF21" s="415">
        <f t="shared" si="15"/>
        <v>500</v>
      </c>
      <c r="AG21" s="400">
        <f t="shared" si="16"/>
        <v>0</v>
      </c>
      <c r="AH21" s="128"/>
      <c r="AI21" s="401">
        <f t="shared" si="17"/>
        <v>0</v>
      </c>
      <c r="AJ21" s="402" t="str">
        <f t="shared" si="18"/>
        <v/>
      </c>
      <c r="AK21" s="52"/>
      <c r="AL21" s="414">
        <f>IFERROR(VLOOKUP($C21,'Proposed Rates'!$B:$J,AL$11,FALSE),0)</f>
        <v>0</v>
      </c>
      <c r="AM21" s="415">
        <f t="shared" si="19"/>
        <v>500</v>
      </c>
      <c r="AN21" s="400">
        <f t="shared" si="20"/>
        <v>0</v>
      </c>
      <c r="AO21" s="128"/>
      <c r="AP21" s="401">
        <f t="shared" si="21"/>
        <v>0</v>
      </c>
      <c r="AQ21" s="402" t="str">
        <f t="shared" si="22"/>
        <v/>
      </c>
      <c r="AR21" s="403"/>
    </row>
    <row r="22" spans="1:44" ht="12.75" customHeight="1">
      <c r="A22" s="52"/>
      <c r="B22" s="484" t="s">
        <v>237</v>
      </c>
      <c r="C22" s="395" t="str">
        <f t="shared" si="0"/>
        <v>General Service 50 to 1,499 KW.Deferral/Variance Account Disposition Rate Rider Group 2</v>
      </c>
      <c r="D22" s="396" t="s">
        <v>377</v>
      </c>
      <c r="E22" s="320"/>
      <c r="F22" s="397">
        <f>IFERROR(VLOOKUP($C22,'Proposed Rates'!$B:$J,F$11,FALSE),0)</f>
        <v>0</v>
      </c>
      <c r="G22" s="415">
        <f t="shared" si="1"/>
        <v>500</v>
      </c>
      <c r="H22" s="400">
        <f t="shared" si="2"/>
        <v>0</v>
      </c>
      <c r="I22" s="128"/>
      <c r="J22" s="397">
        <f>IFERROR(VLOOKUP($C22,'Proposed Rates'!$B:$J,J$11,FALSE),0)</f>
        <v>-0.1202</v>
      </c>
      <c r="K22" s="415">
        <f t="shared" si="3"/>
        <v>500</v>
      </c>
      <c r="L22" s="400">
        <f t="shared" si="4"/>
        <v>-60.1</v>
      </c>
      <c r="M22" s="128"/>
      <c r="N22" s="401">
        <f t="shared" si="5"/>
        <v>-60.1</v>
      </c>
      <c r="O22" s="402" t="str">
        <f t="shared" si="6"/>
        <v/>
      </c>
      <c r="P22" s="52"/>
      <c r="Q22" s="397">
        <f>IFERROR(VLOOKUP($C22,'Proposed Rates'!$B:$J,Q$11,FALSE),0)</f>
        <v>0</v>
      </c>
      <c r="R22" s="415">
        <f t="shared" si="7"/>
        <v>500</v>
      </c>
      <c r="S22" s="400">
        <f t="shared" si="8"/>
        <v>0</v>
      </c>
      <c r="T22" s="128"/>
      <c r="U22" s="401">
        <f t="shared" si="9"/>
        <v>60.1</v>
      </c>
      <c r="V22" s="402">
        <f t="shared" si="10"/>
        <v>-1</v>
      </c>
      <c r="W22" s="52"/>
      <c r="X22" s="397">
        <f>IFERROR(VLOOKUP($C22,'Proposed Rates'!$B:$J,X$11,FALSE),0)</f>
        <v>0</v>
      </c>
      <c r="Y22" s="415">
        <f t="shared" si="11"/>
        <v>500</v>
      </c>
      <c r="Z22" s="400">
        <f t="shared" si="12"/>
        <v>0</v>
      </c>
      <c r="AA22" s="128"/>
      <c r="AB22" s="401">
        <f t="shared" si="13"/>
        <v>0</v>
      </c>
      <c r="AC22" s="402" t="str">
        <f t="shared" si="14"/>
        <v/>
      </c>
      <c r="AD22" s="52"/>
      <c r="AE22" s="397">
        <f>IFERROR(VLOOKUP($C22,'Proposed Rates'!$B:$J,AE$11,FALSE),0)</f>
        <v>0</v>
      </c>
      <c r="AF22" s="415">
        <f t="shared" si="15"/>
        <v>500</v>
      </c>
      <c r="AG22" s="400">
        <f t="shared" si="16"/>
        <v>0</v>
      </c>
      <c r="AH22" s="128"/>
      <c r="AI22" s="401">
        <f t="shared" si="17"/>
        <v>0</v>
      </c>
      <c r="AJ22" s="402" t="str">
        <f t="shared" si="18"/>
        <v/>
      </c>
      <c r="AK22" s="52"/>
      <c r="AL22" s="397">
        <f>IFERROR(VLOOKUP($C22,'Proposed Rates'!$B:$J,AL$11,FALSE),0)</f>
        <v>0</v>
      </c>
      <c r="AM22" s="415">
        <f t="shared" si="19"/>
        <v>500</v>
      </c>
      <c r="AN22" s="400">
        <f t="shared" si="20"/>
        <v>0</v>
      </c>
      <c r="AO22" s="128"/>
      <c r="AP22" s="401">
        <f t="shared" si="21"/>
        <v>0</v>
      </c>
      <c r="AQ22" s="402" t="str">
        <f t="shared" si="22"/>
        <v/>
      </c>
      <c r="AR22" s="403"/>
    </row>
    <row r="23" spans="1:44" ht="12.75" customHeight="1">
      <c r="A23" s="52"/>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406"/>
      <c r="D29" s="406"/>
      <c r="E29" s="406"/>
      <c r="F29" s="407"/>
      <c r="G29" s="500"/>
      <c r="H29" s="409">
        <f>SUM(H15:H28)</f>
        <v>3353.8</v>
      </c>
      <c r="I29" s="410"/>
      <c r="J29" s="407"/>
      <c r="K29" s="500"/>
      <c r="L29" s="409">
        <f>SUM(L15:L28)</f>
        <v>4171.6999999999989</v>
      </c>
      <c r="M29" s="410"/>
      <c r="N29" s="411">
        <f t="shared" si="5"/>
        <v>817.89999999999873</v>
      </c>
      <c r="O29" s="412">
        <f t="shared" si="6"/>
        <v>0.24387262210030375</v>
      </c>
      <c r="P29" s="306"/>
      <c r="Q29" s="407"/>
      <c r="R29" s="500"/>
      <c r="S29" s="409">
        <f>SUM(S15:S28)</f>
        <v>4592.3500000000004</v>
      </c>
      <c r="T29" s="410"/>
      <c r="U29" s="411">
        <f t="shared" si="9"/>
        <v>420.65000000000146</v>
      </c>
      <c r="V29" s="412">
        <f t="shared" si="10"/>
        <v>0.10083419229570716</v>
      </c>
      <c r="W29" s="306"/>
      <c r="X29" s="407"/>
      <c r="Y29" s="500"/>
      <c r="Z29" s="409">
        <f>SUM(Z15:Z28)</f>
        <v>5017.5</v>
      </c>
      <c r="AA29" s="410"/>
      <c r="AB29" s="411">
        <f t="shared" si="13"/>
        <v>425.14999999999964</v>
      </c>
      <c r="AC29" s="412">
        <f t="shared" si="14"/>
        <v>9.257787407318685E-2</v>
      </c>
      <c r="AD29" s="306"/>
      <c r="AE29" s="407"/>
      <c r="AF29" s="500"/>
      <c r="AG29" s="409">
        <f>SUM(AG15:AG28)</f>
        <v>5360.85</v>
      </c>
      <c r="AH29" s="410"/>
      <c r="AI29" s="411">
        <f t="shared" si="17"/>
        <v>343.35000000000036</v>
      </c>
      <c r="AJ29" s="412">
        <f t="shared" si="18"/>
        <v>6.843049327354267E-2</v>
      </c>
      <c r="AK29" s="306"/>
      <c r="AL29" s="407"/>
      <c r="AM29" s="500"/>
      <c r="AN29" s="409">
        <f>SUM(AN15:AN28)</f>
        <v>5686.95</v>
      </c>
      <c r="AO29" s="410"/>
      <c r="AP29" s="411">
        <f t="shared" si="21"/>
        <v>326.09999999999945</v>
      </c>
      <c r="AQ29" s="412">
        <f t="shared" si="22"/>
        <v>6.082990570525186E-2</v>
      </c>
      <c r="AR29" s="413"/>
    </row>
    <row r="30" spans="1:44" ht="12.75" customHeight="1">
      <c r="A30" s="52"/>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500</v>
      </c>
      <c r="H30" s="400">
        <f t="shared" ref="H30:H38" si="25">G30*F30</f>
        <v>176.55</v>
      </c>
      <c r="I30" s="128"/>
      <c r="J30" s="414">
        <f>IFERROR(VLOOKUP($C30,'Proposed Rates'!$B:$J,J$11,FALSE),0)</f>
        <v>7.1999999999999998E-3</v>
      </c>
      <c r="K30" s="415">
        <f t="shared" ref="K30:K36" si="26">IF($D30="Monthly",1,IF($D30="per KW",$F$10,IF($D30="per kWh",$F$9,0)))</f>
        <v>500</v>
      </c>
      <c r="L30" s="400">
        <f t="shared" ref="L30:L38" si="27">K30*J30</f>
        <v>3.6</v>
      </c>
      <c r="M30" s="128"/>
      <c r="N30" s="401">
        <f t="shared" si="5"/>
        <v>-172.95000000000002</v>
      </c>
      <c r="O30" s="402">
        <f t="shared" si="6"/>
        <v>-0.97960917587085816</v>
      </c>
      <c r="P30" s="52"/>
      <c r="Q30" s="414">
        <f>IFERROR(VLOOKUP($C30,'Proposed Rates'!$B:$J,Q$11,FALSE),0)</f>
        <v>0</v>
      </c>
      <c r="R30" s="415">
        <f t="shared" ref="R30:R36" si="28">IF($D30="Monthly",1,IF($D30="per KW",$F$10,IF($D30="per kWh",$F$9,0)))</f>
        <v>500</v>
      </c>
      <c r="S30" s="400">
        <f t="shared" ref="S30:S38" si="29">R30*Q30</f>
        <v>0</v>
      </c>
      <c r="T30" s="128"/>
      <c r="U30" s="401">
        <f t="shared" si="9"/>
        <v>-3.6</v>
      </c>
      <c r="V30" s="402">
        <f t="shared" si="10"/>
        <v>-1</v>
      </c>
      <c r="W30" s="52"/>
      <c r="X30" s="414">
        <f>IFERROR(VLOOKUP($C30,'Proposed Rates'!$B:$J,X$11,FALSE),0)</f>
        <v>0</v>
      </c>
      <c r="Y30" s="415">
        <f t="shared" ref="Y30:Y36" si="30">IF($D30="Monthly",1,IF($D30="per KW",$F$10,IF($D30="per kWh",$F$9,0)))</f>
        <v>500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500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500</v>
      </c>
      <c r="AN30" s="400">
        <f t="shared" ref="AN30:AN38" si="35">AM30*AL30</f>
        <v>0</v>
      </c>
      <c r="AO30" s="128"/>
      <c r="AP30" s="401">
        <f t="shared" si="21"/>
        <v>0</v>
      </c>
      <c r="AQ30" s="402" t="str">
        <f t="shared" si="22"/>
        <v/>
      </c>
      <c r="AR30" s="403"/>
    </row>
    <row r="31" spans="1:44" ht="12.75" customHeight="1">
      <c r="A31" s="52"/>
      <c r="B31" s="484" t="s">
        <v>236</v>
      </c>
      <c r="C31" s="395" t="str">
        <f t="shared" si="23"/>
        <v>General Service 50 to 1,499 KW.DVA Disposition Rate Rider Group 1 - 2024</v>
      </c>
      <c r="D31" s="396" t="s">
        <v>377</v>
      </c>
      <c r="E31" s="320"/>
      <c r="F31" s="414">
        <f>IFERROR(VLOOKUP($C31,'Proposed Rates'!$B:$J,F$11,FALSE),0)</f>
        <v>0</v>
      </c>
      <c r="G31" s="415">
        <f t="shared" si="24"/>
        <v>500</v>
      </c>
      <c r="H31" s="400">
        <f t="shared" si="25"/>
        <v>0</v>
      </c>
      <c r="I31" s="128"/>
      <c r="J31" s="414">
        <f>IFERROR(VLOOKUP($C31,'Proposed Rates'!$B:$J,J$11,FALSE),0)</f>
        <v>0</v>
      </c>
      <c r="K31" s="415">
        <f t="shared" si="26"/>
        <v>500</v>
      </c>
      <c r="L31" s="400">
        <f t="shared" si="27"/>
        <v>0</v>
      </c>
      <c r="M31" s="128"/>
      <c r="N31" s="401">
        <f t="shared" si="5"/>
        <v>0</v>
      </c>
      <c r="O31" s="402" t="str">
        <f t="shared" si="6"/>
        <v/>
      </c>
      <c r="P31" s="52"/>
      <c r="Q31" s="414">
        <f>IFERROR(VLOOKUP($C31,'Proposed Rates'!$B:$J,Q$11,FALSE),0)</f>
        <v>0</v>
      </c>
      <c r="R31" s="415">
        <f t="shared" si="28"/>
        <v>500</v>
      </c>
      <c r="S31" s="400">
        <f t="shared" si="29"/>
        <v>0</v>
      </c>
      <c r="T31" s="128"/>
      <c r="U31" s="401">
        <f t="shared" si="9"/>
        <v>0</v>
      </c>
      <c r="V31" s="402" t="str">
        <f t="shared" si="10"/>
        <v/>
      </c>
      <c r="W31" s="52"/>
      <c r="X31" s="414">
        <f>IFERROR(VLOOKUP($C31,'Proposed Rates'!$B:$J,X$11,FALSE),0)</f>
        <v>0</v>
      </c>
      <c r="Y31" s="415">
        <f t="shared" si="30"/>
        <v>500</v>
      </c>
      <c r="Z31" s="400">
        <f t="shared" si="31"/>
        <v>0</v>
      </c>
      <c r="AA31" s="128"/>
      <c r="AB31" s="401">
        <f t="shared" si="13"/>
        <v>0</v>
      </c>
      <c r="AC31" s="402" t="str">
        <f t="shared" si="14"/>
        <v/>
      </c>
      <c r="AD31" s="52"/>
      <c r="AE31" s="414">
        <f>IFERROR(VLOOKUP($C31,'Proposed Rates'!$B:$J,AE$11,FALSE),0)</f>
        <v>0</v>
      </c>
      <c r="AF31" s="415">
        <f t="shared" si="32"/>
        <v>500</v>
      </c>
      <c r="AG31" s="400">
        <f t="shared" si="33"/>
        <v>0</v>
      </c>
      <c r="AH31" s="128"/>
      <c r="AI31" s="401">
        <f t="shared" si="17"/>
        <v>0</v>
      </c>
      <c r="AJ31" s="402" t="str">
        <f t="shared" si="18"/>
        <v/>
      </c>
      <c r="AK31" s="52"/>
      <c r="AL31" s="414">
        <f>IFERROR(VLOOKUP($C31,'Proposed Rates'!$B:$J,AL$11,FALSE),0)</f>
        <v>0</v>
      </c>
      <c r="AM31" s="415">
        <f t="shared" si="34"/>
        <v>500</v>
      </c>
      <c r="AN31" s="400">
        <f t="shared" si="35"/>
        <v>0</v>
      </c>
      <c r="AO31" s="128"/>
      <c r="AP31" s="401">
        <f t="shared" si="21"/>
        <v>0</v>
      </c>
      <c r="AQ31" s="402" t="str">
        <f t="shared" si="22"/>
        <v/>
      </c>
      <c r="AR31" s="403"/>
    </row>
    <row r="32" spans="1:44" ht="12.75" customHeight="1">
      <c r="A32" s="52"/>
      <c r="B32" s="484" t="s">
        <v>244</v>
      </c>
      <c r="C32" s="395" t="str">
        <f t="shared" si="23"/>
        <v>General Service 50 to 1,499 KW.CBR Class B Rate Riders</v>
      </c>
      <c r="D32" s="396" t="s">
        <v>308</v>
      </c>
      <c r="E32" s="320"/>
      <c r="F32" s="414">
        <f>IFERROR(VLOOKUP($C32,'Proposed Rates'!$B:$J,F$11,FALSE),0)</f>
        <v>2.0000000000000001E-4</v>
      </c>
      <c r="G32" s="415">
        <f t="shared" si="24"/>
        <v>255500</v>
      </c>
      <c r="H32" s="400">
        <f t="shared" si="25"/>
        <v>51.1</v>
      </c>
      <c r="I32" s="485"/>
      <c r="J32" s="414">
        <f>IFERROR(VLOOKUP($C32,'Proposed Rates'!$B:$J,J$11,FALSE),0)</f>
        <v>4.0000000000000002E-4</v>
      </c>
      <c r="K32" s="415">
        <f t="shared" si="26"/>
        <v>255500</v>
      </c>
      <c r="L32" s="400">
        <f t="shared" si="27"/>
        <v>102.2</v>
      </c>
      <c r="M32" s="417"/>
      <c r="N32" s="401">
        <f t="shared" si="5"/>
        <v>51.1</v>
      </c>
      <c r="O32" s="402">
        <f t="shared" si="6"/>
        <v>1</v>
      </c>
      <c r="P32" s="52"/>
      <c r="Q32" s="414">
        <f>IFERROR(VLOOKUP($C32,'Proposed Rates'!$B:$J,Q$11,FALSE),0)</f>
        <v>0</v>
      </c>
      <c r="R32" s="415">
        <f t="shared" si="28"/>
        <v>255500</v>
      </c>
      <c r="S32" s="400">
        <f t="shared" si="29"/>
        <v>0</v>
      </c>
      <c r="T32" s="417"/>
      <c r="U32" s="401">
        <f t="shared" si="9"/>
        <v>-102.2</v>
      </c>
      <c r="V32" s="402">
        <f t="shared" si="10"/>
        <v>-1</v>
      </c>
      <c r="W32" s="52"/>
      <c r="X32" s="414">
        <f>IFERROR(VLOOKUP($C32,'Proposed Rates'!$B:$J,X$11,FALSE),0)</f>
        <v>0</v>
      </c>
      <c r="Y32" s="415">
        <f t="shared" si="30"/>
        <v>255500</v>
      </c>
      <c r="Z32" s="400">
        <f t="shared" si="31"/>
        <v>0</v>
      </c>
      <c r="AA32" s="128"/>
      <c r="AB32" s="401">
        <f t="shared" si="13"/>
        <v>0</v>
      </c>
      <c r="AC32" s="402" t="str">
        <f t="shared" si="14"/>
        <v/>
      </c>
      <c r="AD32" s="52"/>
      <c r="AE32" s="414">
        <f>IFERROR(VLOOKUP($C32,'Proposed Rates'!$B:$J,AE$11,FALSE),0)</f>
        <v>0</v>
      </c>
      <c r="AF32" s="415">
        <f t="shared" si="32"/>
        <v>255500</v>
      </c>
      <c r="AG32" s="400">
        <f t="shared" si="33"/>
        <v>0</v>
      </c>
      <c r="AH32" s="128"/>
      <c r="AI32" s="401">
        <f t="shared" si="17"/>
        <v>0</v>
      </c>
      <c r="AJ32" s="402" t="str">
        <f t="shared" si="18"/>
        <v/>
      </c>
      <c r="AK32" s="52"/>
      <c r="AL32" s="414">
        <f>IFERROR(VLOOKUP($C32,'Proposed Rates'!$B:$J,AL$11,FALSE),0)</f>
        <v>0</v>
      </c>
      <c r="AM32" s="415">
        <f t="shared" si="34"/>
        <v>255500</v>
      </c>
      <c r="AN32" s="400">
        <f t="shared" si="35"/>
        <v>0</v>
      </c>
      <c r="AO32" s="417"/>
      <c r="AP32" s="401">
        <f t="shared" si="21"/>
        <v>0</v>
      </c>
      <c r="AQ32" s="402" t="str">
        <f t="shared" si="22"/>
        <v/>
      </c>
      <c r="AR32" s="403"/>
    </row>
    <row r="33" spans="1:44" ht="12.75" customHeight="1">
      <c r="A33" s="52"/>
      <c r="B33" s="484" t="s">
        <v>249</v>
      </c>
      <c r="C33" s="395" t="str">
        <f t="shared" si="23"/>
        <v>General Service 50 to 1,499 KW.GA Rate Riders</v>
      </c>
      <c r="D33" s="396" t="s">
        <v>308</v>
      </c>
      <c r="E33" s="320"/>
      <c r="F33" s="414">
        <f>IFERROR(VLOOKUP($C33,'Proposed Rates'!$B:$J,F$11,FALSE),0)</f>
        <v>3.8999999999999998E-3</v>
      </c>
      <c r="G33" s="415">
        <f t="shared" si="24"/>
        <v>255500</v>
      </c>
      <c r="H33" s="400">
        <f t="shared" si="25"/>
        <v>996.44999999999993</v>
      </c>
      <c r="I33" s="485"/>
      <c r="J33" s="414">
        <f>IFERROR(VLOOKUP($C33,'Proposed Rates'!$B:$J,J$11,FALSE),0)</f>
        <v>4.4999999999999997E-3</v>
      </c>
      <c r="K33" s="415">
        <f t="shared" si="26"/>
        <v>255500</v>
      </c>
      <c r="L33" s="400">
        <f t="shared" si="27"/>
        <v>1149.75</v>
      </c>
      <c r="M33" s="417"/>
      <c r="N33" s="401">
        <f t="shared" si="5"/>
        <v>153.30000000000007</v>
      </c>
      <c r="O33" s="402">
        <f t="shared" si="6"/>
        <v>0.15384615384615394</v>
      </c>
      <c r="P33" s="52"/>
      <c r="Q33" s="414">
        <f>IFERROR(VLOOKUP($C33,'Proposed Rates'!$B:$J,Q$11,FALSE),0)</f>
        <v>0</v>
      </c>
      <c r="R33" s="415">
        <f t="shared" si="28"/>
        <v>255500</v>
      </c>
      <c r="S33" s="400">
        <f t="shared" si="29"/>
        <v>0</v>
      </c>
      <c r="T33" s="417"/>
      <c r="U33" s="401">
        <f t="shared" si="9"/>
        <v>-1149.75</v>
      </c>
      <c r="V33" s="402">
        <f t="shared" si="10"/>
        <v>-1</v>
      </c>
      <c r="W33" s="52"/>
      <c r="X33" s="414">
        <f>IFERROR(VLOOKUP($C33,'Proposed Rates'!$B:$J,X$11,FALSE),0)</f>
        <v>0</v>
      </c>
      <c r="Y33" s="415">
        <f t="shared" si="30"/>
        <v>255500</v>
      </c>
      <c r="Z33" s="400">
        <f t="shared" si="31"/>
        <v>0</v>
      </c>
      <c r="AA33" s="417"/>
      <c r="AB33" s="401">
        <f t="shared" si="13"/>
        <v>0</v>
      </c>
      <c r="AC33" s="402" t="str">
        <f t="shared" si="14"/>
        <v/>
      </c>
      <c r="AD33" s="52"/>
      <c r="AE33" s="414">
        <f>IFERROR(VLOOKUP($C33,'Proposed Rates'!$B:$J,AE$11,FALSE),0)</f>
        <v>0</v>
      </c>
      <c r="AF33" s="415">
        <f t="shared" si="32"/>
        <v>255500</v>
      </c>
      <c r="AG33" s="400">
        <f t="shared" si="33"/>
        <v>0</v>
      </c>
      <c r="AH33" s="417"/>
      <c r="AI33" s="401">
        <f t="shared" si="17"/>
        <v>0</v>
      </c>
      <c r="AJ33" s="402" t="str">
        <f t="shared" si="18"/>
        <v/>
      </c>
      <c r="AK33" s="52"/>
      <c r="AL33" s="414">
        <f>IFERROR(VLOOKUP($C33,'Proposed Rates'!$B:$J,AL$11,FALSE),0)</f>
        <v>0</v>
      </c>
      <c r="AM33" s="415">
        <f t="shared" si="34"/>
        <v>255500</v>
      </c>
      <c r="AN33" s="400">
        <f t="shared" si="35"/>
        <v>0</v>
      </c>
      <c r="AO33" s="417"/>
      <c r="AP33" s="401">
        <f t="shared" si="21"/>
        <v>0</v>
      </c>
      <c r="AQ33" s="402" t="str">
        <f t="shared" si="22"/>
        <v/>
      </c>
      <c r="AR33" s="403"/>
    </row>
    <row r="34" spans="1:44" ht="12.75" customHeight="1">
      <c r="A34" s="52"/>
      <c r="B34" s="484" t="s">
        <v>252</v>
      </c>
      <c r="C34" s="395" t="str">
        <f t="shared" si="23"/>
        <v>General Service 50 to 1,499 KW.Total Deferral/Variance Account Rate RidersYr2</v>
      </c>
      <c r="D34" s="396" t="s">
        <v>377</v>
      </c>
      <c r="E34" s="320"/>
      <c r="F34" s="414">
        <f>IFERROR(VLOOKUP($C34,'Proposed Rates'!$B:$J,F$11,FALSE),0)</f>
        <v>-0.30499999999999999</v>
      </c>
      <c r="G34" s="415">
        <f t="shared" si="24"/>
        <v>500</v>
      </c>
      <c r="H34" s="400">
        <f t="shared" si="25"/>
        <v>-152.5</v>
      </c>
      <c r="I34" s="485"/>
      <c r="J34" s="414">
        <f>IFERROR(VLOOKUP($C34,'Proposed Rates'!$B:$J,J$11,FALSE),0)</f>
        <v>-0.21920000000000001</v>
      </c>
      <c r="K34" s="415">
        <f t="shared" si="26"/>
        <v>500</v>
      </c>
      <c r="L34" s="400">
        <f t="shared" si="27"/>
        <v>-109.60000000000001</v>
      </c>
      <c r="M34" s="417"/>
      <c r="N34" s="401">
        <f t="shared" si="5"/>
        <v>42.899999999999991</v>
      </c>
      <c r="O34" s="402">
        <f t="shared" si="6"/>
        <v>-0.28131147540983603</v>
      </c>
      <c r="P34" s="52"/>
      <c r="Q34" s="414">
        <f>IFERROR(VLOOKUP($C34,'Proposed Rates'!$B:$J,Q$11,FALSE),0)</f>
        <v>0</v>
      </c>
      <c r="R34" s="415">
        <f t="shared" si="28"/>
        <v>500</v>
      </c>
      <c r="S34" s="400">
        <f t="shared" si="29"/>
        <v>0</v>
      </c>
      <c r="T34" s="417"/>
      <c r="U34" s="401">
        <f t="shared" si="9"/>
        <v>109.60000000000001</v>
      </c>
      <c r="V34" s="402">
        <f t="shared" si="10"/>
        <v>-1</v>
      </c>
      <c r="W34" s="52"/>
      <c r="X34" s="414">
        <f>IFERROR(VLOOKUP($C34,'Proposed Rates'!$B:$J,X$11,FALSE),0)</f>
        <v>0</v>
      </c>
      <c r="Y34" s="415">
        <f t="shared" si="30"/>
        <v>500</v>
      </c>
      <c r="Z34" s="400">
        <f t="shared" si="31"/>
        <v>0</v>
      </c>
      <c r="AA34" s="417"/>
      <c r="AB34" s="401">
        <f t="shared" si="13"/>
        <v>0</v>
      </c>
      <c r="AC34" s="402" t="str">
        <f t="shared" si="14"/>
        <v/>
      </c>
      <c r="AD34" s="52"/>
      <c r="AE34" s="414">
        <f>IFERROR(VLOOKUP($C34,'Proposed Rates'!$B:$J,AE$11,FALSE),0)</f>
        <v>0</v>
      </c>
      <c r="AF34" s="415">
        <f t="shared" si="32"/>
        <v>500</v>
      </c>
      <c r="AG34" s="400">
        <f t="shared" si="33"/>
        <v>0</v>
      </c>
      <c r="AH34" s="417"/>
      <c r="AI34" s="401">
        <f t="shared" si="17"/>
        <v>0</v>
      </c>
      <c r="AJ34" s="402" t="str">
        <f t="shared" si="18"/>
        <v/>
      </c>
      <c r="AK34" s="52"/>
      <c r="AL34" s="414">
        <f>IFERROR(VLOOKUP($C34,'Proposed Rates'!$B:$J,AL$11,FALSE),0)</f>
        <v>0</v>
      </c>
      <c r="AM34" s="415">
        <f t="shared" si="34"/>
        <v>500</v>
      </c>
      <c r="AN34" s="400">
        <f t="shared" si="35"/>
        <v>0</v>
      </c>
      <c r="AO34" s="417"/>
      <c r="AP34" s="401">
        <f t="shared" si="21"/>
        <v>0</v>
      </c>
      <c r="AQ34" s="402" t="str">
        <f t="shared" si="22"/>
        <v/>
      </c>
      <c r="AR34" s="403"/>
    </row>
    <row r="35" spans="1:44" ht="12.75" customHeight="1">
      <c r="A35" s="52"/>
      <c r="B35" s="484" t="s">
        <v>254</v>
      </c>
      <c r="C35" s="395" t="str">
        <f t="shared" si="23"/>
        <v>General Service 50 to 1,499 KW.Total Deferral/Variance Account Rate Riders</v>
      </c>
      <c r="D35" s="396" t="s">
        <v>377</v>
      </c>
      <c r="E35" s="320"/>
      <c r="F35" s="414">
        <f>IFERROR(VLOOKUP($C35,'Proposed Rates'!$B:$J,F$11,FALSE),0)</f>
        <v>0</v>
      </c>
      <c r="G35" s="415">
        <f t="shared" si="24"/>
        <v>500</v>
      </c>
      <c r="H35" s="400">
        <f t="shared" si="25"/>
        <v>0</v>
      </c>
      <c r="I35" s="128"/>
      <c r="J35" s="414">
        <f>IFERROR(VLOOKUP($C35,'Proposed Rates'!$B:$J,J$11,FALSE),0)</f>
        <v>0</v>
      </c>
      <c r="K35" s="415">
        <f t="shared" si="26"/>
        <v>500</v>
      </c>
      <c r="L35" s="400">
        <f t="shared" si="27"/>
        <v>0</v>
      </c>
      <c r="M35" s="128"/>
      <c r="N35" s="401">
        <f t="shared" si="5"/>
        <v>0</v>
      </c>
      <c r="O35" s="402" t="str">
        <f t="shared" si="6"/>
        <v/>
      </c>
      <c r="P35" s="52"/>
      <c r="Q35" s="414">
        <f>IFERROR(VLOOKUP($C35,'Proposed Rates'!$B:$J,Q$11,FALSE),0)</f>
        <v>0</v>
      </c>
      <c r="R35" s="415">
        <f t="shared" si="28"/>
        <v>500</v>
      </c>
      <c r="S35" s="400">
        <f t="shared" si="29"/>
        <v>0</v>
      </c>
      <c r="T35" s="128"/>
      <c r="U35" s="401">
        <f t="shared" si="9"/>
        <v>0</v>
      </c>
      <c r="V35" s="402" t="str">
        <f t="shared" si="10"/>
        <v/>
      </c>
      <c r="W35" s="52"/>
      <c r="X35" s="414">
        <f>IFERROR(VLOOKUP($C35,'Proposed Rates'!$B:$J,X$11,FALSE),0)</f>
        <v>0</v>
      </c>
      <c r="Y35" s="415">
        <f t="shared" si="30"/>
        <v>500</v>
      </c>
      <c r="Z35" s="400">
        <f t="shared" si="31"/>
        <v>0</v>
      </c>
      <c r="AA35" s="128"/>
      <c r="AB35" s="401">
        <f t="shared" si="13"/>
        <v>0</v>
      </c>
      <c r="AC35" s="402" t="str">
        <f t="shared" si="14"/>
        <v/>
      </c>
      <c r="AD35" s="52"/>
      <c r="AE35" s="414">
        <f>IFERROR(VLOOKUP($C35,'Proposed Rates'!$B:$J,AE$11,FALSE),0)</f>
        <v>0</v>
      </c>
      <c r="AF35" s="415">
        <f t="shared" si="32"/>
        <v>500</v>
      </c>
      <c r="AG35" s="400">
        <f t="shared" si="33"/>
        <v>0</v>
      </c>
      <c r="AH35" s="128"/>
      <c r="AI35" s="401">
        <f t="shared" si="17"/>
        <v>0</v>
      </c>
      <c r="AJ35" s="402" t="str">
        <f t="shared" si="18"/>
        <v/>
      </c>
      <c r="AK35" s="52"/>
      <c r="AL35" s="414">
        <f>IFERROR(VLOOKUP($C35,'Proposed Rates'!$B:$J,AL$11,FALSE),0)</f>
        <v>0</v>
      </c>
      <c r="AM35" s="415">
        <f t="shared" si="34"/>
        <v>500</v>
      </c>
      <c r="AN35" s="400">
        <f t="shared" si="35"/>
        <v>0</v>
      </c>
      <c r="AO35" s="128"/>
      <c r="AP35" s="401">
        <f t="shared" si="21"/>
        <v>0</v>
      </c>
      <c r="AQ35" s="402" t="str">
        <f t="shared" si="22"/>
        <v/>
      </c>
      <c r="AR35" s="403"/>
    </row>
    <row r="36" spans="1:44" ht="12.75" customHeight="1">
      <c r="A36" s="52"/>
      <c r="B36" s="320" t="s">
        <v>269</v>
      </c>
      <c r="C36" s="395" t="str">
        <f t="shared" si="23"/>
        <v>General Service 50 to 1,499 KW.Low Voltage Service Charge</v>
      </c>
      <c r="D36" s="396" t="s">
        <v>377</v>
      </c>
      <c r="E36" s="320"/>
      <c r="F36" s="414">
        <f>IFERROR(VLOOKUP($C36,'Proposed Rates'!$B:$J,F$11,FALSE),0)</f>
        <v>2.0629999999999999E-2</v>
      </c>
      <c r="G36" s="415">
        <f t="shared" si="24"/>
        <v>500</v>
      </c>
      <c r="H36" s="400">
        <f t="shared" si="25"/>
        <v>10.315</v>
      </c>
      <c r="I36" s="128"/>
      <c r="J36" s="414">
        <f>IFERROR(VLOOKUP($C36,'Proposed Rates'!$B:$J,J$11,FALSE),0)</f>
        <v>2.334E-2</v>
      </c>
      <c r="K36" s="415">
        <f t="shared" si="26"/>
        <v>500</v>
      </c>
      <c r="L36" s="400">
        <f t="shared" si="27"/>
        <v>11.67</v>
      </c>
      <c r="M36" s="128"/>
      <c r="N36" s="401">
        <f t="shared" si="5"/>
        <v>1.3550000000000004</v>
      </c>
      <c r="O36" s="402">
        <f t="shared" si="6"/>
        <v>0.13136209403780907</v>
      </c>
      <c r="P36" s="52"/>
      <c r="Q36" s="414">
        <f>IFERROR(VLOOKUP($C36,'Proposed Rates'!$B:$J,Q$11,FALSE),0)</f>
        <v>2.3939999999999999E-2</v>
      </c>
      <c r="R36" s="415">
        <f t="shared" si="28"/>
        <v>500</v>
      </c>
      <c r="S36" s="400">
        <f t="shared" si="29"/>
        <v>11.969999999999999</v>
      </c>
      <c r="T36" s="128"/>
      <c r="U36" s="401">
        <f t="shared" si="9"/>
        <v>0.29999999999999893</v>
      </c>
      <c r="V36" s="402">
        <f t="shared" si="10"/>
        <v>2.57069408740359E-2</v>
      </c>
      <c r="W36" s="52"/>
      <c r="X36" s="414">
        <f>IFERROR(VLOOKUP($C36,'Proposed Rates'!$B:$J,X$11,FALSE),0)</f>
        <v>2.4250000000000001E-2</v>
      </c>
      <c r="Y36" s="415">
        <f t="shared" si="30"/>
        <v>500</v>
      </c>
      <c r="Z36" s="400">
        <f t="shared" si="31"/>
        <v>12.125</v>
      </c>
      <c r="AA36" s="128"/>
      <c r="AB36" s="401">
        <f t="shared" si="13"/>
        <v>0.15500000000000114</v>
      </c>
      <c r="AC36" s="402">
        <f t="shared" si="14"/>
        <v>1.2949039264828835E-2</v>
      </c>
      <c r="AD36" s="52"/>
      <c r="AE36" s="414">
        <f>IFERROR(VLOOKUP($C36,'Proposed Rates'!$B:$J,AE$11,FALSE),0)</f>
        <v>2.4649999999999998E-2</v>
      </c>
      <c r="AF36" s="415">
        <f t="shared" si="32"/>
        <v>500</v>
      </c>
      <c r="AG36" s="400">
        <f t="shared" si="33"/>
        <v>12.324999999999999</v>
      </c>
      <c r="AH36" s="128"/>
      <c r="AI36" s="401">
        <f t="shared" si="17"/>
        <v>0.19999999999999929</v>
      </c>
      <c r="AJ36" s="402">
        <f t="shared" si="18"/>
        <v>1.6494845360824684E-2</v>
      </c>
      <c r="AK36" s="52"/>
      <c r="AL36" s="414">
        <f>IFERROR(VLOOKUP($C36,'Proposed Rates'!$B:$J,AL$11,FALSE),0)</f>
        <v>2.5080000000000002E-2</v>
      </c>
      <c r="AM36" s="415">
        <f t="shared" si="34"/>
        <v>500</v>
      </c>
      <c r="AN36" s="400">
        <f t="shared" si="35"/>
        <v>12.540000000000001</v>
      </c>
      <c r="AO36" s="128"/>
      <c r="AP36" s="401">
        <f t="shared" si="21"/>
        <v>0.21500000000000163</v>
      </c>
      <c r="AQ36" s="402">
        <f t="shared" si="22"/>
        <v>1.7444219066937255E-2</v>
      </c>
      <c r="AR36" s="403"/>
    </row>
    <row r="37" spans="1:44" ht="12.75" customHeight="1">
      <c r="A37" s="52"/>
      <c r="B37" s="320" t="s">
        <v>312</v>
      </c>
      <c r="C37" s="395" t="str">
        <f t="shared" si="23"/>
        <v>General Service 50 to 1,499 KW.Line Losses on Cost of Power</v>
      </c>
      <c r="D37" s="396" t="s">
        <v>308</v>
      </c>
      <c r="E37" s="320"/>
      <c r="F37" s="430"/>
      <c r="G37" s="421">
        <f>$F$9*(1+F$65)-$F$9</f>
        <v>8635.9000000000233</v>
      </c>
      <c r="H37" s="400">
        <f t="shared" si="25"/>
        <v>0</v>
      </c>
      <c r="I37" s="128"/>
      <c r="J37" s="430"/>
      <c r="K37" s="421">
        <f>$F$9*(1+J$65)-$F$9</f>
        <v>8482.5999999999767</v>
      </c>
      <c r="L37" s="400">
        <f t="shared" si="27"/>
        <v>0</v>
      </c>
      <c r="M37" s="128"/>
      <c r="N37" s="401">
        <f t="shared" si="5"/>
        <v>0</v>
      </c>
      <c r="O37" s="402" t="str">
        <f t="shared" si="6"/>
        <v/>
      </c>
      <c r="P37" s="52"/>
      <c r="Q37" s="430"/>
      <c r="R37" s="421">
        <f>$F$9*(1+Q$65)-$F$9</f>
        <v>8482.5999999999767</v>
      </c>
      <c r="S37" s="400">
        <f t="shared" si="29"/>
        <v>0</v>
      </c>
      <c r="T37" s="128"/>
      <c r="U37" s="401">
        <f t="shared" si="9"/>
        <v>0</v>
      </c>
      <c r="V37" s="402" t="str">
        <f t="shared" si="10"/>
        <v/>
      </c>
      <c r="W37" s="52"/>
      <c r="X37" s="430"/>
      <c r="Y37" s="421">
        <f>$F$9*(1+X$65)-$F$9</f>
        <v>8482.5999999999767</v>
      </c>
      <c r="Z37" s="400">
        <f t="shared" si="31"/>
        <v>0</v>
      </c>
      <c r="AA37" s="128"/>
      <c r="AB37" s="401">
        <f t="shared" si="13"/>
        <v>0</v>
      </c>
      <c r="AC37" s="402" t="str">
        <f t="shared" si="14"/>
        <v/>
      </c>
      <c r="AD37" s="52"/>
      <c r="AE37" s="430"/>
      <c r="AF37" s="421">
        <f>$F$9*(1+AE$65)-$F$9</f>
        <v>8482.5999999999767</v>
      </c>
      <c r="AG37" s="400">
        <f t="shared" si="33"/>
        <v>0</v>
      </c>
      <c r="AH37" s="128"/>
      <c r="AI37" s="401">
        <f t="shared" si="17"/>
        <v>0</v>
      </c>
      <c r="AJ37" s="402" t="str">
        <f t="shared" si="18"/>
        <v/>
      </c>
      <c r="AK37" s="52"/>
      <c r="AL37" s="430"/>
      <c r="AM37" s="421">
        <f>$F$9*(1+AL$65)-$F$9</f>
        <v>8482.5999999999767</v>
      </c>
      <c r="AN37" s="400">
        <f t="shared" si="35"/>
        <v>0</v>
      </c>
      <c r="AO37" s="128"/>
      <c r="AP37" s="401">
        <f t="shared" si="21"/>
        <v>0</v>
      </c>
      <c r="AQ37" s="402" t="str">
        <f t="shared" si="22"/>
        <v/>
      </c>
      <c r="AR37" s="403"/>
    </row>
    <row r="38" spans="1:44" ht="12.75" customHeight="1">
      <c r="A38" s="52"/>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13"/>
        <v>0</v>
      </c>
      <c r="AC38" s="402" t="str">
        <f t="shared" si="14"/>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422"/>
      <c r="D39" s="422"/>
      <c r="E39" s="422"/>
      <c r="F39" s="423"/>
      <c r="G39" s="501"/>
      <c r="H39" s="409">
        <f>SUM(H30:H38)+H29</f>
        <v>4435.7150000000001</v>
      </c>
      <c r="I39" s="425"/>
      <c r="J39" s="423"/>
      <c r="K39" s="501"/>
      <c r="L39" s="409">
        <f>SUM(L30:L38)+L29</f>
        <v>5329.3199999999988</v>
      </c>
      <c r="M39" s="425"/>
      <c r="N39" s="411">
        <f t="shared" si="5"/>
        <v>893.60499999999865</v>
      </c>
      <c r="O39" s="412">
        <f t="shared" si="6"/>
        <v>0.20145681135961138</v>
      </c>
      <c r="P39" s="52"/>
      <c r="Q39" s="423"/>
      <c r="R39" s="501"/>
      <c r="S39" s="409">
        <f>SUM(S30:S38)+S29</f>
        <v>4604.3200000000006</v>
      </c>
      <c r="T39" s="425"/>
      <c r="U39" s="411">
        <f t="shared" si="9"/>
        <v>-724.99999999999818</v>
      </c>
      <c r="V39" s="412">
        <f t="shared" si="10"/>
        <v>-0.13603987000217632</v>
      </c>
      <c r="W39" s="52"/>
      <c r="X39" s="423"/>
      <c r="Y39" s="501"/>
      <c r="Z39" s="409">
        <f>SUM(Z30:Z38)+Z29</f>
        <v>5029.625</v>
      </c>
      <c r="AA39" s="425"/>
      <c r="AB39" s="411">
        <f t="shared" si="13"/>
        <v>425.30499999999938</v>
      </c>
      <c r="AC39" s="412">
        <f t="shared" si="14"/>
        <v>9.2370860409354549E-2</v>
      </c>
      <c r="AD39" s="52"/>
      <c r="AE39" s="423"/>
      <c r="AF39" s="501"/>
      <c r="AG39" s="409">
        <f>SUM(AG30:AG38)+AG29</f>
        <v>5373.1750000000002</v>
      </c>
      <c r="AH39" s="425"/>
      <c r="AI39" s="411">
        <f t="shared" si="17"/>
        <v>343.55000000000018</v>
      </c>
      <c r="AJ39" s="412">
        <f t="shared" si="18"/>
        <v>6.8305291149936664E-2</v>
      </c>
      <c r="AK39" s="52"/>
      <c r="AL39" s="423"/>
      <c r="AM39" s="501"/>
      <c r="AN39" s="409">
        <f>SUM(AN30:AN38)+AN29</f>
        <v>5699.49</v>
      </c>
      <c r="AO39" s="425"/>
      <c r="AP39" s="411">
        <f t="shared" si="21"/>
        <v>326.3149999999996</v>
      </c>
      <c r="AQ39" s="412">
        <f t="shared" si="22"/>
        <v>6.0730387526927672E-2</v>
      </c>
      <c r="AR39" s="413"/>
    </row>
    <row r="40" spans="1:44" ht="12.75" customHeight="1">
      <c r="A40" s="52"/>
      <c r="B40" s="128" t="s">
        <v>255</v>
      </c>
      <c r="C40" s="395" t="str">
        <f t="shared" ref="C40:C41" si="36">D$6&amp;"."&amp;B40</f>
        <v>General Service 50 to 1,499 KW.RTSR - Network</v>
      </c>
      <c r="D40" s="426" t="s">
        <v>377</v>
      </c>
      <c r="E40" s="128"/>
      <c r="F40" s="414">
        <f>IFERROR(VLOOKUP($C40,'Proposed Rates'!$B:$J,F$11,FALSE),0)</f>
        <v>4.8479999999999999</v>
      </c>
      <c r="G40" s="415">
        <f t="shared" ref="G40:G41" si="37">IF($D40="Monthly",1,IF($D40="per KW",$F$10,IF($D40="per kWh",$F$9,0)))</f>
        <v>500</v>
      </c>
      <c r="H40" s="400">
        <f t="shared" ref="H40:H41" si="38">G40*F40</f>
        <v>2424</v>
      </c>
      <c r="I40" s="128"/>
      <c r="J40" s="414">
        <f>IFERROR(VLOOKUP($C40,'Proposed Rates'!$B:$J,J$11,FALSE),0)</f>
        <v>4.5787000000000004</v>
      </c>
      <c r="K40" s="415">
        <f t="shared" ref="K40:K41" si="39">IF($D40="Monthly",1,IF($D40="per KW",$F$10,IF($D40="per kWh",$F$9,0)))</f>
        <v>500</v>
      </c>
      <c r="L40" s="400">
        <f t="shared" ref="L40:L41" si="40">K40*J40</f>
        <v>2289.3500000000004</v>
      </c>
      <c r="M40" s="128"/>
      <c r="N40" s="401">
        <f t="shared" si="5"/>
        <v>-134.64999999999964</v>
      </c>
      <c r="O40" s="402">
        <f t="shared" si="6"/>
        <v>-5.5548679867986651E-2</v>
      </c>
      <c r="P40" s="52"/>
      <c r="Q40" s="414">
        <f>IFERROR(VLOOKUP($C40,'Proposed Rates'!$B:$J,Q$11,FALSE),0)</f>
        <v>4.5787000000000004</v>
      </c>
      <c r="R40" s="415">
        <f t="shared" ref="R40:R41" si="41">IF($D40="Monthly",1,IF($D40="per KW",$F$10,IF($D40="per kWh",$F$9,0)))</f>
        <v>500</v>
      </c>
      <c r="S40" s="400">
        <f t="shared" ref="S40:S41" si="42">R40*Q40</f>
        <v>2289.3500000000004</v>
      </c>
      <c r="T40" s="128"/>
      <c r="U40" s="401">
        <f t="shared" si="9"/>
        <v>0</v>
      </c>
      <c r="V40" s="402">
        <f t="shared" si="10"/>
        <v>0</v>
      </c>
      <c r="W40" s="52"/>
      <c r="X40" s="414">
        <f>IFERROR(VLOOKUP($C40,'Proposed Rates'!$B:$J,X$11,FALSE),0)</f>
        <v>4.5787000000000004</v>
      </c>
      <c r="Y40" s="415">
        <f t="shared" ref="Y40:Y41" si="43">IF($D40="Monthly",1,IF($D40="per KW",$F$10,IF($D40="per kWh",$F$9,0)))</f>
        <v>500</v>
      </c>
      <c r="Z40" s="400">
        <f t="shared" ref="Z40:Z41" si="44">Y40*X40</f>
        <v>2289.3500000000004</v>
      </c>
      <c r="AA40" s="128"/>
      <c r="AB40" s="401">
        <f t="shared" si="13"/>
        <v>0</v>
      </c>
      <c r="AC40" s="402">
        <f t="shared" si="14"/>
        <v>0</v>
      </c>
      <c r="AD40" s="52"/>
      <c r="AE40" s="414">
        <f>IFERROR(VLOOKUP($C40,'Proposed Rates'!$B:$J,AE$11,FALSE),0)</f>
        <v>4.5787000000000004</v>
      </c>
      <c r="AF40" s="415">
        <f t="shared" ref="AF40:AF41" si="45">IF($D40="Monthly",1,IF($D40="per KW",$F$10,IF($D40="per kWh",$F$9,0)))</f>
        <v>500</v>
      </c>
      <c r="AG40" s="400">
        <f t="shared" ref="AG40:AG41" si="46">AF40*AE40</f>
        <v>2289.3500000000004</v>
      </c>
      <c r="AH40" s="128"/>
      <c r="AI40" s="401">
        <f t="shared" si="17"/>
        <v>0</v>
      </c>
      <c r="AJ40" s="402">
        <f t="shared" si="18"/>
        <v>0</v>
      </c>
      <c r="AK40" s="52"/>
      <c r="AL40" s="414">
        <f>IFERROR(VLOOKUP($C40,'Proposed Rates'!$B:$J,AL$11,FALSE),0)</f>
        <v>4.5787000000000004</v>
      </c>
      <c r="AM40" s="415">
        <f t="shared" ref="AM40:AM41" si="47">IF($D40="Monthly",1,IF($D40="per KW",$F$10,IF($D40="per kWh",$F$9,0)))</f>
        <v>500</v>
      </c>
      <c r="AN40" s="400">
        <f t="shared" ref="AN40:AN41" si="48">AM40*AL40</f>
        <v>2289.3500000000004</v>
      </c>
      <c r="AO40" s="128"/>
      <c r="AP40" s="401">
        <f t="shared" si="21"/>
        <v>0</v>
      </c>
      <c r="AQ40" s="402">
        <f t="shared" si="22"/>
        <v>0</v>
      </c>
      <c r="AR40" s="403"/>
    </row>
    <row r="41" spans="1:44" ht="12.75" customHeight="1">
      <c r="A41" s="52"/>
      <c r="B41" s="487" t="s">
        <v>256</v>
      </c>
      <c r="C41" s="395" t="str">
        <f t="shared" si="36"/>
        <v>General Service 50 to 1,499 KW.RTSR - Line and Transformation Connection</v>
      </c>
      <c r="D41" s="426" t="s">
        <v>377</v>
      </c>
      <c r="E41" s="128"/>
      <c r="F41" s="414">
        <f>IFERROR(VLOOKUP($C41,'Proposed Rates'!$B:$J,F$11,FALSE),0)</f>
        <v>2.8187000000000002</v>
      </c>
      <c r="G41" s="415">
        <f t="shared" si="37"/>
        <v>500</v>
      </c>
      <c r="H41" s="400">
        <f t="shared" si="38"/>
        <v>1409.3500000000001</v>
      </c>
      <c r="I41" s="128"/>
      <c r="J41" s="414">
        <f>IFERROR(VLOOKUP($C41,'Proposed Rates'!$B:$J,J$11,FALSE),0)</f>
        <v>2.5918000000000001</v>
      </c>
      <c r="K41" s="415">
        <f t="shared" si="39"/>
        <v>500</v>
      </c>
      <c r="L41" s="400">
        <f t="shared" si="40"/>
        <v>1295.9000000000001</v>
      </c>
      <c r="M41" s="128"/>
      <c r="N41" s="401">
        <f t="shared" si="5"/>
        <v>-113.45000000000005</v>
      </c>
      <c r="O41" s="402">
        <f t="shared" si="6"/>
        <v>-8.0498101961897356E-2</v>
      </c>
      <c r="P41" s="52"/>
      <c r="Q41" s="414">
        <f>IFERROR(VLOOKUP($C41,'Proposed Rates'!$B:$J,Q$11,FALSE),0)</f>
        <v>2.5918000000000001</v>
      </c>
      <c r="R41" s="415">
        <f t="shared" si="41"/>
        <v>500</v>
      </c>
      <c r="S41" s="400">
        <f t="shared" si="42"/>
        <v>1295.9000000000001</v>
      </c>
      <c r="T41" s="128"/>
      <c r="U41" s="401">
        <f t="shared" si="9"/>
        <v>0</v>
      </c>
      <c r="V41" s="402">
        <f t="shared" si="10"/>
        <v>0</v>
      </c>
      <c r="W41" s="52"/>
      <c r="X41" s="414">
        <f>IFERROR(VLOOKUP($C41,'Proposed Rates'!$B:$J,X$11,FALSE),0)</f>
        <v>2.5918000000000001</v>
      </c>
      <c r="Y41" s="415">
        <f t="shared" si="43"/>
        <v>500</v>
      </c>
      <c r="Z41" s="400">
        <f t="shared" si="44"/>
        <v>1295.9000000000001</v>
      </c>
      <c r="AA41" s="128"/>
      <c r="AB41" s="401">
        <f t="shared" si="13"/>
        <v>0</v>
      </c>
      <c r="AC41" s="402">
        <f t="shared" si="14"/>
        <v>0</v>
      </c>
      <c r="AD41" s="52"/>
      <c r="AE41" s="414">
        <f>IFERROR(VLOOKUP($C41,'Proposed Rates'!$B:$J,AE$11,FALSE),0)</f>
        <v>2.5918000000000001</v>
      </c>
      <c r="AF41" s="415">
        <f t="shared" si="45"/>
        <v>500</v>
      </c>
      <c r="AG41" s="400">
        <f t="shared" si="46"/>
        <v>1295.9000000000001</v>
      </c>
      <c r="AH41" s="128"/>
      <c r="AI41" s="401">
        <f t="shared" si="17"/>
        <v>0</v>
      </c>
      <c r="AJ41" s="402">
        <f t="shared" si="18"/>
        <v>0</v>
      </c>
      <c r="AK41" s="52"/>
      <c r="AL41" s="414">
        <f>IFERROR(VLOOKUP($C41,'Proposed Rates'!$B:$J,AL$11,FALSE),0)</f>
        <v>2.5918000000000001</v>
      </c>
      <c r="AM41" s="415">
        <f t="shared" si="47"/>
        <v>500</v>
      </c>
      <c r="AN41" s="400">
        <f t="shared" si="48"/>
        <v>1295.9000000000001</v>
      </c>
      <c r="AO41" s="128"/>
      <c r="AP41" s="401">
        <f t="shared" si="21"/>
        <v>0</v>
      </c>
      <c r="AQ41" s="402">
        <f t="shared" si="22"/>
        <v>0</v>
      </c>
      <c r="AR41" s="403"/>
    </row>
    <row r="42" spans="1:44" ht="12.75" customHeight="1">
      <c r="A42" s="52"/>
      <c r="B42" s="486" t="s">
        <v>314</v>
      </c>
      <c r="C42" s="427"/>
      <c r="D42" s="427"/>
      <c r="E42" s="427"/>
      <c r="F42" s="428"/>
      <c r="G42" s="501"/>
      <c r="H42" s="409">
        <f>SUM(H39:H41)</f>
        <v>8269.0650000000005</v>
      </c>
      <c r="I42" s="410"/>
      <c r="J42" s="428"/>
      <c r="K42" s="501"/>
      <c r="L42" s="409">
        <f>SUM(L39:L41)</f>
        <v>8914.57</v>
      </c>
      <c r="M42" s="410"/>
      <c r="N42" s="411">
        <f t="shared" si="5"/>
        <v>645.5049999999992</v>
      </c>
      <c r="O42" s="412">
        <f t="shared" si="6"/>
        <v>7.806263465095499E-2</v>
      </c>
      <c r="P42" s="52"/>
      <c r="Q42" s="428"/>
      <c r="R42" s="501"/>
      <c r="S42" s="409">
        <f>SUM(S39:S41)</f>
        <v>8189.5700000000015</v>
      </c>
      <c r="T42" s="410"/>
      <c r="U42" s="411">
        <f t="shared" si="9"/>
        <v>-724.99999999999818</v>
      </c>
      <c r="V42" s="412">
        <f t="shared" si="10"/>
        <v>-8.1327534586637176E-2</v>
      </c>
      <c r="W42" s="52"/>
      <c r="X42" s="428"/>
      <c r="Y42" s="501"/>
      <c r="Z42" s="409">
        <f>SUM(Z39:Z41)</f>
        <v>8614.875</v>
      </c>
      <c r="AA42" s="410"/>
      <c r="AB42" s="411">
        <f t="shared" si="13"/>
        <v>425.30499999999847</v>
      </c>
      <c r="AC42" s="412">
        <f t="shared" si="14"/>
        <v>5.1932519045566297E-2</v>
      </c>
      <c r="AD42" s="52"/>
      <c r="AE42" s="428"/>
      <c r="AF42" s="501"/>
      <c r="AG42" s="409">
        <f>SUM(AG39:AG41)</f>
        <v>8958.4250000000011</v>
      </c>
      <c r="AH42" s="410"/>
      <c r="AI42" s="411">
        <f t="shared" si="17"/>
        <v>343.55000000000109</v>
      </c>
      <c r="AJ42" s="412">
        <f t="shared" si="18"/>
        <v>3.9878698181923834E-2</v>
      </c>
      <c r="AK42" s="52"/>
      <c r="AL42" s="428"/>
      <c r="AM42" s="501"/>
      <c r="AN42" s="409">
        <f>SUM(AN39:AN41)</f>
        <v>9284.74</v>
      </c>
      <c r="AO42" s="410"/>
      <c r="AP42" s="411">
        <f t="shared" si="21"/>
        <v>326.31499999999869</v>
      </c>
      <c r="AQ42" s="412">
        <f t="shared" si="22"/>
        <v>3.642548773919508E-2</v>
      </c>
      <c r="AR42" s="413"/>
    </row>
    <row r="43" spans="1:44" ht="12.75" customHeight="1">
      <c r="A43" s="52"/>
      <c r="B43" s="488" t="s">
        <v>257</v>
      </c>
      <c r="C43" s="395" t="str">
        <f t="shared" ref="C43:C45" si="49">D$6&amp;"."&amp;B43</f>
        <v>General Service 50 to 1,499 KW.Wholesale Market Service Charge (WMSC)</v>
      </c>
      <c r="D43" s="396" t="s">
        <v>308</v>
      </c>
      <c r="E43" s="320"/>
      <c r="F43" s="414">
        <f>IFERROR(VLOOKUP($C43,'Proposed Rates'!$B:$J,F$11,FALSE),0)</f>
        <v>4.4999999999999997E-3</v>
      </c>
      <c r="G43" s="421">
        <f t="shared" ref="G43:G44" si="50">$F$9+G$37</f>
        <v>264135.90000000002</v>
      </c>
      <c r="H43" s="400">
        <f t="shared" ref="H43:H46" si="51">G43*F43</f>
        <v>1188.6115500000001</v>
      </c>
      <c r="I43" s="128"/>
      <c r="J43" s="414">
        <f>IFERROR(VLOOKUP($C43,'Proposed Rates'!$B:$J,J$11,FALSE),0)</f>
        <v>4.4999999999999997E-3</v>
      </c>
      <c r="K43" s="421">
        <f t="shared" ref="K43:K44" si="52">$F$9+K$37</f>
        <v>263982.59999999998</v>
      </c>
      <c r="L43" s="400">
        <f t="shared" ref="L43:L46" si="53">K43*J43</f>
        <v>1187.9216999999999</v>
      </c>
      <c r="M43" s="128"/>
      <c r="N43" s="401">
        <f t="shared" si="5"/>
        <v>-0.68985000000020591</v>
      </c>
      <c r="O43" s="402">
        <f t="shared" si="6"/>
        <v>-5.8038305281503096E-4</v>
      </c>
      <c r="P43" s="52"/>
      <c r="Q43" s="414">
        <f>IFERROR(VLOOKUP($C43,'Proposed Rates'!$B:$J,Q$11,FALSE),0)</f>
        <v>4.4999999999999997E-3</v>
      </c>
      <c r="R43" s="421">
        <f t="shared" ref="R43:R44" si="54">$F$9+R$37</f>
        <v>263982.59999999998</v>
      </c>
      <c r="S43" s="400">
        <f t="shared" ref="S43:S46" si="55">R43*Q43</f>
        <v>1187.9216999999999</v>
      </c>
      <c r="T43" s="128"/>
      <c r="U43" s="401">
        <f t="shared" si="9"/>
        <v>0</v>
      </c>
      <c r="V43" s="402">
        <f t="shared" si="10"/>
        <v>0</v>
      </c>
      <c r="W43" s="52"/>
      <c r="X43" s="414">
        <f>IFERROR(VLOOKUP($C43,'Proposed Rates'!$B:$J,X$11,FALSE),0)</f>
        <v>4.4999999999999997E-3</v>
      </c>
      <c r="Y43" s="421">
        <f t="shared" ref="Y43:Y44" si="56">$F$9+Y$37</f>
        <v>263982.59999999998</v>
      </c>
      <c r="Z43" s="400">
        <f t="shared" ref="Z43:Z46" si="57">Y43*X43</f>
        <v>1187.9216999999999</v>
      </c>
      <c r="AA43" s="128"/>
      <c r="AB43" s="401">
        <f t="shared" si="13"/>
        <v>0</v>
      </c>
      <c r="AC43" s="402">
        <f t="shared" si="14"/>
        <v>0</v>
      </c>
      <c r="AD43" s="52"/>
      <c r="AE43" s="414">
        <f>IFERROR(VLOOKUP($C43,'Proposed Rates'!$B:$J,AE$11,FALSE),0)</f>
        <v>4.4999999999999997E-3</v>
      </c>
      <c r="AF43" s="421">
        <f t="shared" ref="AF43:AF44" si="58">$F$9+AF$37</f>
        <v>263982.59999999998</v>
      </c>
      <c r="AG43" s="400">
        <f t="shared" ref="AG43:AG46" si="59">AF43*AE43</f>
        <v>1187.9216999999999</v>
      </c>
      <c r="AH43" s="128"/>
      <c r="AI43" s="401">
        <f t="shared" si="17"/>
        <v>0</v>
      </c>
      <c r="AJ43" s="402">
        <f t="shared" si="18"/>
        <v>0</v>
      </c>
      <c r="AK43" s="52"/>
      <c r="AL43" s="414">
        <f>IFERROR(VLOOKUP($C43,'Proposed Rates'!$B:$J,AL$11,FALSE),0)</f>
        <v>4.4999999999999997E-3</v>
      </c>
      <c r="AM43" s="421">
        <f t="shared" ref="AM43:AM44" si="60">$F$9+AM$37</f>
        <v>263982.59999999998</v>
      </c>
      <c r="AN43" s="400">
        <f t="shared" ref="AN43:AN46" si="61">AM43*AL43</f>
        <v>1187.9216999999999</v>
      </c>
      <c r="AO43" s="128"/>
      <c r="AP43" s="401">
        <f t="shared" si="21"/>
        <v>0</v>
      </c>
      <c r="AQ43" s="402">
        <f t="shared" si="22"/>
        <v>0</v>
      </c>
      <c r="AR43" s="403"/>
    </row>
    <row r="44" spans="1:44" ht="12.75" customHeight="1">
      <c r="A44" s="52"/>
      <c r="B44" s="488" t="s">
        <v>258</v>
      </c>
      <c r="C44" s="395" t="str">
        <f t="shared" si="49"/>
        <v>General Service 50 to 1,499 KW.Rural and Remote Rate Protection (RRRP)</v>
      </c>
      <c r="D44" s="396" t="s">
        <v>308</v>
      </c>
      <c r="E44" s="320"/>
      <c r="F44" s="414">
        <f>IFERROR(VLOOKUP($C44,'Proposed Rates'!$B:$J,F$11,FALSE),0)</f>
        <v>1.5E-3</v>
      </c>
      <c r="G44" s="421">
        <f t="shared" si="50"/>
        <v>264135.90000000002</v>
      </c>
      <c r="H44" s="400">
        <f t="shared" si="51"/>
        <v>396.20385000000005</v>
      </c>
      <c r="I44" s="128"/>
      <c r="J44" s="414">
        <f>IFERROR(VLOOKUP($C44,'Proposed Rates'!$B:$J,J$11,FALSE),0)</f>
        <v>1.5E-3</v>
      </c>
      <c r="K44" s="421">
        <f t="shared" si="52"/>
        <v>263982.59999999998</v>
      </c>
      <c r="L44" s="400">
        <f t="shared" si="53"/>
        <v>395.97389999999996</v>
      </c>
      <c r="M44" s="128"/>
      <c r="N44" s="401">
        <f t="shared" si="5"/>
        <v>-0.22995000000008758</v>
      </c>
      <c r="O44" s="402">
        <f t="shared" si="6"/>
        <v>-5.8038305281507877E-4</v>
      </c>
      <c r="P44" s="52"/>
      <c r="Q44" s="414">
        <f>IFERROR(VLOOKUP($C44,'Proposed Rates'!$B:$J,Q$11,FALSE),0)</f>
        <v>1.5E-3</v>
      </c>
      <c r="R44" s="421">
        <f t="shared" si="54"/>
        <v>263982.59999999998</v>
      </c>
      <c r="S44" s="400">
        <f t="shared" si="55"/>
        <v>395.97389999999996</v>
      </c>
      <c r="T44" s="128"/>
      <c r="U44" s="401">
        <f t="shared" si="9"/>
        <v>0</v>
      </c>
      <c r="V44" s="402">
        <f t="shared" si="10"/>
        <v>0</v>
      </c>
      <c r="W44" s="52"/>
      <c r="X44" s="414">
        <f>IFERROR(VLOOKUP($C44,'Proposed Rates'!$B:$J,X$11,FALSE),0)</f>
        <v>1.5E-3</v>
      </c>
      <c r="Y44" s="421">
        <f t="shared" si="56"/>
        <v>263982.59999999998</v>
      </c>
      <c r="Z44" s="400">
        <f t="shared" si="57"/>
        <v>395.97389999999996</v>
      </c>
      <c r="AA44" s="128"/>
      <c r="AB44" s="401">
        <f t="shared" si="13"/>
        <v>0</v>
      </c>
      <c r="AC44" s="402">
        <f t="shared" si="14"/>
        <v>0</v>
      </c>
      <c r="AD44" s="52"/>
      <c r="AE44" s="414">
        <f>IFERROR(VLOOKUP($C44,'Proposed Rates'!$B:$J,AE$11,FALSE),0)</f>
        <v>1.5E-3</v>
      </c>
      <c r="AF44" s="421">
        <f t="shared" si="58"/>
        <v>263982.59999999998</v>
      </c>
      <c r="AG44" s="400">
        <f t="shared" si="59"/>
        <v>395.97389999999996</v>
      </c>
      <c r="AH44" s="128"/>
      <c r="AI44" s="401">
        <f t="shared" si="17"/>
        <v>0</v>
      </c>
      <c r="AJ44" s="402">
        <f t="shared" si="18"/>
        <v>0</v>
      </c>
      <c r="AK44" s="52"/>
      <c r="AL44" s="414">
        <f>IFERROR(VLOOKUP($C44,'Proposed Rates'!$B:$J,AL$11,FALSE),0)</f>
        <v>1.5E-3</v>
      </c>
      <c r="AM44" s="421">
        <f t="shared" si="60"/>
        <v>263982.59999999998</v>
      </c>
      <c r="AN44" s="400">
        <f t="shared" si="61"/>
        <v>395.97389999999996</v>
      </c>
      <c r="AO44" s="128"/>
      <c r="AP44" s="401">
        <f t="shared" si="21"/>
        <v>0</v>
      </c>
      <c r="AQ44" s="402">
        <f t="shared" si="22"/>
        <v>0</v>
      </c>
      <c r="AR44" s="403"/>
    </row>
    <row r="45" spans="1:44" ht="12.75" customHeight="1">
      <c r="A45" s="52"/>
      <c r="B45" s="320" t="s">
        <v>260</v>
      </c>
      <c r="C45" s="395" t="str">
        <f t="shared" si="49"/>
        <v>General Service 50 to 1,499 KW.Standard Supply Service Charge</v>
      </c>
      <c r="D45" s="396" t="s">
        <v>306</v>
      </c>
      <c r="E45" s="320"/>
      <c r="F45" s="397">
        <f>IFERROR(VLOOKUP($C45,'Proposed Rates'!$B:$J,F$11,FALSE),0)</f>
        <v>0.25</v>
      </c>
      <c r="G45" s="415">
        <f>IF($D45="Monthly",1,IF($D45="per KW",$F$10,IF($D45="per kWh",$F$9,0)))</f>
        <v>1</v>
      </c>
      <c r="H45" s="400">
        <f t="shared" si="51"/>
        <v>0.25</v>
      </c>
      <c r="I45" s="128"/>
      <c r="J45" s="397">
        <f>IFERROR(VLOOKUP($C45,'Proposed Rates'!$B:$J,J$11,FALSE),0)</f>
        <v>1.51</v>
      </c>
      <c r="K45" s="415">
        <f>IF($D45="Monthly",1,IF($D45="per KW",$F$10,IF($D45="per kWh",$F$9,0)))</f>
        <v>1</v>
      </c>
      <c r="L45" s="400">
        <f t="shared" si="53"/>
        <v>1.51</v>
      </c>
      <c r="M45" s="128"/>
      <c r="N45" s="401">
        <f t="shared" si="5"/>
        <v>1.26</v>
      </c>
      <c r="O45" s="402">
        <f t="shared" si="6"/>
        <v>5.04</v>
      </c>
      <c r="P45" s="52"/>
      <c r="Q45" s="397">
        <f>IFERROR(VLOOKUP($C45,'Proposed Rates'!$B:$J,Q$11,FALSE),0)</f>
        <v>1.54</v>
      </c>
      <c r="R45" s="415">
        <f>IF($D45="Monthly",1,IF($D45="per KW",$F$10,IF($D45="per kWh",$F$9,0)))</f>
        <v>1</v>
      </c>
      <c r="S45" s="400">
        <f t="shared" si="55"/>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7"/>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9"/>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1"/>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421">
        <f>$F$9+G$37</f>
        <v>264135.90000000002</v>
      </c>
      <c r="H46" s="400">
        <f t="shared" si="51"/>
        <v>27602.201550000002</v>
      </c>
      <c r="I46" s="128"/>
      <c r="J46" s="414">
        <f>IFERROR(VLOOKUP($C46,'Proposed Rates'!$B:$J,J$11,FALSE),0)</f>
        <v>0.1045</v>
      </c>
      <c r="K46" s="421">
        <f>$F$9+K$37</f>
        <v>263982.59999999998</v>
      </c>
      <c r="L46" s="400">
        <f t="shared" si="53"/>
        <v>27586.181699999997</v>
      </c>
      <c r="M46" s="128"/>
      <c r="N46" s="401">
        <f t="shared" si="5"/>
        <v>-16.019850000004226</v>
      </c>
      <c r="O46" s="402">
        <f t="shared" si="6"/>
        <v>-5.803830528150109E-4</v>
      </c>
      <c r="P46" s="52"/>
      <c r="Q46" s="414">
        <f>IFERROR(VLOOKUP($C46,'Proposed Rates'!$B:$J,Q$11,FALSE),0)</f>
        <v>0.1045</v>
      </c>
      <c r="R46" s="421">
        <f>$F$9+R$37</f>
        <v>263982.59999999998</v>
      </c>
      <c r="S46" s="400">
        <f t="shared" si="55"/>
        <v>27586.181699999997</v>
      </c>
      <c r="T46" s="128"/>
      <c r="U46" s="401">
        <f t="shared" si="9"/>
        <v>0</v>
      </c>
      <c r="V46" s="402">
        <f t="shared" si="10"/>
        <v>0</v>
      </c>
      <c r="W46" s="52"/>
      <c r="X46" s="414">
        <f>IFERROR(VLOOKUP($C46,'Proposed Rates'!$B:$J,X$11,FALSE),0)</f>
        <v>0.1045</v>
      </c>
      <c r="Y46" s="421">
        <f>$F$9+Y$37</f>
        <v>263982.59999999998</v>
      </c>
      <c r="Z46" s="400">
        <f t="shared" si="57"/>
        <v>27586.181699999997</v>
      </c>
      <c r="AA46" s="128"/>
      <c r="AB46" s="401">
        <f t="shared" si="13"/>
        <v>0</v>
      </c>
      <c r="AC46" s="402">
        <f t="shared" si="14"/>
        <v>0</v>
      </c>
      <c r="AD46" s="52"/>
      <c r="AE46" s="414">
        <f>IFERROR(VLOOKUP($C46,'Proposed Rates'!$B:$J,AE$11,FALSE),0)</f>
        <v>0.1045</v>
      </c>
      <c r="AF46" s="421">
        <f>$F$9+AF$37</f>
        <v>263982.59999999998</v>
      </c>
      <c r="AG46" s="400">
        <f t="shared" si="59"/>
        <v>27586.181699999997</v>
      </c>
      <c r="AH46" s="128"/>
      <c r="AI46" s="401">
        <f t="shared" si="17"/>
        <v>0</v>
      </c>
      <c r="AJ46" s="402">
        <f t="shared" si="18"/>
        <v>0</v>
      </c>
      <c r="AK46" s="52"/>
      <c r="AL46" s="414">
        <f>IFERROR(VLOOKUP($C46,'Proposed Rates'!$B:$J,AL$11,FALSE),0)</f>
        <v>0.1045</v>
      </c>
      <c r="AM46" s="421">
        <f>$F$9+AM$37</f>
        <v>263982.59999999998</v>
      </c>
      <c r="AN46" s="400">
        <f t="shared" si="61"/>
        <v>27586.181699999997</v>
      </c>
      <c r="AO46" s="128"/>
      <c r="AP46" s="401">
        <f t="shared" si="21"/>
        <v>0</v>
      </c>
      <c r="AQ46" s="402">
        <f t="shared" si="22"/>
        <v>0</v>
      </c>
      <c r="AR46" s="403"/>
    </row>
    <row r="47" spans="1:44" ht="7.5" customHeight="1">
      <c r="A47" s="52"/>
      <c r="B47" s="320"/>
      <c r="C47" s="395" t="str">
        <f t="shared" ref="C47:C50" si="62">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62"/>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62"/>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62"/>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320"/>
      <c r="D52" s="320"/>
      <c r="E52" s="320"/>
      <c r="F52" s="445"/>
      <c r="G52" s="489"/>
      <c r="H52" s="447">
        <f>SUM(H43:H48,H42)</f>
        <v>37456.33195</v>
      </c>
      <c r="I52" s="482"/>
      <c r="J52" s="446"/>
      <c r="K52" s="446"/>
      <c r="L52" s="447">
        <f>SUM(L43:L48,L42)</f>
        <v>38086.157299999992</v>
      </c>
      <c r="M52" s="449"/>
      <c r="N52" s="448">
        <f t="shared" ref="N52:N56" si="63">L52-H52</f>
        <v>629.82534999999189</v>
      </c>
      <c r="O52" s="450">
        <f t="shared" ref="O52:O56" si="64">IF((H52)=0,"",(N52/H52))</f>
        <v>1.6814923331006839E-2</v>
      </c>
      <c r="P52" s="52"/>
      <c r="Q52" s="446"/>
      <c r="R52" s="446"/>
      <c r="S52" s="447">
        <f>SUM(S43:S48,S42)</f>
        <v>37361.187299999998</v>
      </c>
      <c r="T52" s="449"/>
      <c r="U52" s="448">
        <f t="shared" ref="U52:U56" si="65">S52-L52</f>
        <v>-724.96999999999389</v>
      </c>
      <c r="V52" s="450">
        <f t="shared" ref="V52:V56" si="66">IF((L52)=0,"",(U52/L52))</f>
        <v>-1.9034999889579147E-2</v>
      </c>
      <c r="W52" s="52"/>
      <c r="X52" s="446"/>
      <c r="Y52" s="446"/>
      <c r="Z52" s="447">
        <f>SUM(Z43:Z48,Z42)</f>
        <v>37786.522299999997</v>
      </c>
      <c r="AA52" s="449"/>
      <c r="AB52" s="448">
        <f t="shared" ref="AB52:AB56" si="67">Z52-S52</f>
        <v>425.33499999999913</v>
      </c>
      <c r="AC52" s="450">
        <f t="shared" ref="AC52:AC56" si="68">IF((S52)=0,"",(AB52/S52))</f>
        <v>1.1384408011037678E-2</v>
      </c>
      <c r="AD52" s="52"/>
      <c r="AE52" s="446"/>
      <c r="AF52" s="446"/>
      <c r="AG52" s="447">
        <f>SUM(AG43:AG48,AG42)</f>
        <v>38130.102299999999</v>
      </c>
      <c r="AH52" s="449"/>
      <c r="AI52" s="448">
        <f t="shared" ref="AI52:AI56" si="69">AG52-Z52</f>
        <v>343.58000000000175</v>
      </c>
      <c r="AJ52" s="450">
        <f t="shared" ref="AJ52:AJ56" si="70">IF((Z52)=0,"",(AI52/Z52))</f>
        <v>9.0926600038025145E-3</v>
      </c>
      <c r="AK52" s="52"/>
      <c r="AL52" s="446"/>
      <c r="AM52" s="446"/>
      <c r="AN52" s="447">
        <f>SUM(AN43:AN48,AN42)</f>
        <v>38456.4473</v>
      </c>
      <c r="AO52" s="449"/>
      <c r="AP52" s="448">
        <f t="shared" ref="AP52:AP56" si="71">AN52-AG52</f>
        <v>326.34500000000116</v>
      </c>
      <c r="AQ52" s="450">
        <f t="shared" ref="AQ52:AQ56" si="72">IF((AG52)=0,"",(AP52/AG52))</f>
        <v>8.5587234314868643E-3</v>
      </c>
      <c r="AR52" s="451"/>
    </row>
    <row r="53" spans="1:44" ht="12.75" customHeight="1">
      <c r="A53" s="52"/>
      <c r="B53" s="452" t="s">
        <v>316</v>
      </c>
      <c r="C53" s="320"/>
      <c r="D53" s="320"/>
      <c r="E53" s="320"/>
      <c r="F53" s="445">
        <v>0.13</v>
      </c>
      <c r="G53" s="128"/>
      <c r="H53" s="490">
        <f>H52*F53</f>
        <v>4869.3231535000004</v>
      </c>
      <c r="I53" s="417"/>
      <c r="J53" s="453">
        <v>0.13</v>
      </c>
      <c r="K53" s="417"/>
      <c r="L53" s="400">
        <f>L52*J53</f>
        <v>4951.200448999999</v>
      </c>
      <c r="M53" s="128"/>
      <c r="N53" s="401">
        <f t="shared" si="63"/>
        <v>81.877295499998581</v>
      </c>
      <c r="O53" s="402">
        <f t="shared" si="64"/>
        <v>1.6814923331006763E-2</v>
      </c>
      <c r="P53" s="52"/>
      <c r="Q53" s="453">
        <v>0.13</v>
      </c>
      <c r="R53" s="417"/>
      <c r="S53" s="400">
        <f>S52*Q53</f>
        <v>4856.9543489999996</v>
      </c>
      <c r="T53" s="128"/>
      <c r="U53" s="401">
        <f t="shared" si="65"/>
        <v>-94.246099999999387</v>
      </c>
      <c r="V53" s="402">
        <f t="shared" si="66"/>
        <v>-1.9034999889579185E-2</v>
      </c>
      <c r="W53" s="52"/>
      <c r="X53" s="453">
        <v>0.13</v>
      </c>
      <c r="Y53" s="417"/>
      <c r="Z53" s="400">
        <f>Z52*X53</f>
        <v>4912.247899</v>
      </c>
      <c r="AA53" s="128"/>
      <c r="AB53" s="401">
        <f t="shared" si="67"/>
        <v>55.293550000000323</v>
      </c>
      <c r="AC53" s="402">
        <f t="shared" si="68"/>
        <v>1.1384408011037768E-2</v>
      </c>
      <c r="AD53" s="52"/>
      <c r="AE53" s="453">
        <v>0.13</v>
      </c>
      <c r="AF53" s="417"/>
      <c r="AG53" s="400">
        <f>AG52*AE53</f>
        <v>4956.9132989999998</v>
      </c>
      <c r="AH53" s="128"/>
      <c r="AI53" s="401">
        <f t="shared" si="69"/>
        <v>44.665399999999863</v>
      </c>
      <c r="AJ53" s="402">
        <f t="shared" si="70"/>
        <v>9.0926600038024399E-3</v>
      </c>
      <c r="AK53" s="52"/>
      <c r="AL53" s="453">
        <v>0.13</v>
      </c>
      <c r="AM53" s="417"/>
      <c r="AN53" s="400">
        <f>AN52*AL53</f>
        <v>4999.3381490000002</v>
      </c>
      <c r="AO53" s="128"/>
      <c r="AP53" s="401">
        <f t="shared" si="71"/>
        <v>42.424850000000333</v>
      </c>
      <c r="AQ53" s="402">
        <f t="shared" si="72"/>
        <v>8.5587234314869007E-3</v>
      </c>
      <c r="AR53" s="403"/>
    </row>
    <row r="54" spans="1:44" ht="12.75" customHeight="1">
      <c r="A54" s="52"/>
      <c r="B54" s="491" t="s">
        <v>390</v>
      </c>
      <c r="C54" s="320"/>
      <c r="D54" s="320"/>
      <c r="E54" s="320"/>
      <c r="F54" s="455"/>
      <c r="G54" s="128"/>
      <c r="H54" s="490">
        <f>H52+H53</f>
        <v>42325.655103500001</v>
      </c>
      <c r="I54" s="417"/>
      <c r="J54" s="417"/>
      <c r="K54" s="417"/>
      <c r="L54" s="400">
        <f>L52+L53</f>
        <v>43037.357748999988</v>
      </c>
      <c r="M54" s="128"/>
      <c r="N54" s="401">
        <f t="shared" si="63"/>
        <v>711.70264549998683</v>
      </c>
      <c r="O54" s="402">
        <f t="shared" si="64"/>
        <v>1.6814923331006745E-2</v>
      </c>
      <c r="P54" s="52"/>
      <c r="Q54" s="417"/>
      <c r="R54" s="417"/>
      <c r="S54" s="400">
        <f>S52+S53</f>
        <v>42218.141648999997</v>
      </c>
      <c r="T54" s="128"/>
      <c r="U54" s="401">
        <f t="shared" si="65"/>
        <v>-819.21609999999055</v>
      </c>
      <c r="V54" s="402">
        <f t="shared" si="66"/>
        <v>-1.9034999889579091E-2</v>
      </c>
      <c r="W54" s="52"/>
      <c r="X54" s="417"/>
      <c r="Y54" s="417"/>
      <c r="Z54" s="400">
        <f>Z52+Z53</f>
        <v>42698.770198999999</v>
      </c>
      <c r="AA54" s="128"/>
      <c r="AB54" s="401">
        <f t="shared" si="67"/>
        <v>480.62855000000127</v>
      </c>
      <c r="AC54" s="402">
        <f t="shared" si="68"/>
        <v>1.1384408011037732E-2</v>
      </c>
      <c r="AD54" s="52"/>
      <c r="AE54" s="417"/>
      <c r="AF54" s="417"/>
      <c r="AG54" s="400">
        <f>AG52+AG53</f>
        <v>43087.015598999998</v>
      </c>
      <c r="AH54" s="128"/>
      <c r="AI54" s="401">
        <f t="shared" si="69"/>
        <v>388.24539999999979</v>
      </c>
      <c r="AJ54" s="402">
        <f t="shared" si="70"/>
        <v>9.0926600038024625E-3</v>
      </c>
      <c r="AK54" s="52"/>
      <c r="AL54" s="417"/>
      <c r="AM54" s="417"/>
      <c r="AN54" s="400">
        <f>AN52+AN53</f>
        <v>43455.785449000003</v>
      </c>
      <c r="AO54" s="128"/>
      <c r="AP54" s="401">
        <f t="shared" si="71"/>
        <v>368.76985000000423</v>
      </c>
      <c r="AQ54" s="402">
        <f t="shared" si="72"/>
        <v>8.558723431486932E-3</v>
      </c>
      <c r="AR54" s="403"/>
    </row>
    <row r="55" spans="1:44" ht="15.75" customHeight="1">
      <c r="A55" s="52"/>
      <c r="B55" s="628"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row>
    <row r="56" spans="1:44" ht="13.5" customHeight="1">
      <c r="A56" s="52"/>
      <c r="B56" s="627" t="s">
        <v>318</v>
      </c>
      <c r="C56" s="613"/>
      <c r="D56" s="613"/>
      <c r="E56" s="461"/>
      <c r="F56" s="462"/>
      <c r="G56" s="493"/>
      <c r="H56" s="494">
        <f>H54-H55</f>
        <v>42325.655103500001</v>
      </c>
      <c r="I56" s="463"/>
      <c r="J56" s="463"/>
      <c r="K56" s="463"/>
      <c r="L56" s="464">
        <f>L54-L55</f>
        <v>43037.357748999988</v>
      </c>
      <c r="M56" s="465"/>
      <c r="N56" s="466">
        <f t="shared" si="63"/>
        <v>711.70264549998683</v>
      </c>
      <c r="O56" s="467">
        <f t="shared" si="64"/>
        <v>1.6814923331006745E-2</v>
      </c>
      <c r="P56" s="52"/>
      <c r="Q56" s="463"/>
      <c r="R56" s="463"/>
      <c r="S56" s="464">
        <f>S54-S55</f>
        <v>42218.141648999997</v>
      </c>
      <c r="T56" s="465"/>
      <c r="U56" s="466">
        <f t="shared" si="65"/>
        <v>-819.21609999999055</v>
      </c>
      <c r="V56" s="467">
        <f t="shared" si="66"/>
        <v>-1.9034999889579091E-2</v>
      </c>
      <c r="W56" s="52"/>
      <c r="X56" s="463"/>
      <c r="Y56" s="463"/>
      <c r="Z56" s="464">
        <f>Z54-Z55</f>
        <v>42698.770198999999</v>
      </c>
      <c r="AA56" s="465"/>
      <c r="AB56" s="466">
        <f t="shared" si="67"/>
        <v>480.62855000000127</v>
      </c>
      <c r="AC56" s="467">
        <f t="shared" si="68"/>
        <v>1.1384408011037732E-2</v>
      </c>
      <c r="AD56" s="52"/>
      <c r="AE56" s="463"/>
      <c r="AF56" s="463"/>
      <c r="AG56" s="464">
        <f>AG54-AG55</f>
        <v>43087.015598999998</v>
      </c>
      <c r="AH56" s="465"/>
      <c r="AI56" s="466">
        <f t="shared" si="69"/>
        <v>388.24539999999979</v>
      </c>
      <c r="AJ56" s="467">
        <f t="shared" si="70"/>
        <v>9.0926600038024625E-3</v>
      </c>
      <c r="AK56" s="52"/>
      <c r="AL56" s="463"/>
      <c r="AM56" s="463"/>
      <c r="AN56" s="464">
        <f>AN54-AN55</f>
        <v>43455.785449000003</v>
      </c>
      <c r="AO56" s="465"/>
      <c r="AP56" s="466">
        <f t="shared" si="71"/>
        <v>368.76985000000423</v>
      </c>
      <c r="AQ56" s="467">
        <f t="shared" si="72"/>
        <v>8.558723431486932E-3</v>
      </c>
      <c r="AR56" s="468"/>
    </row>
    <row r="57" spans="1:44" ht="8.25" customHeight="1">
      <c r="A57" s="52"/>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15"/>
      <c r="D58" s="515"/>
      <c r="E58" s="515"/>
      <c r="F58" s="516"/>
      <c r="G58" s="517"/>
      <c r="H58" s="518">
        <f>SUM(H49:H50,H42,H43:H45)</f>
        <v>9854.1304</v>
      </c>
      <c r="I58" s="519"/>
      <c r="J58" s="520"/>
      <c r="K58" s="520"/>
      <c r="L58" s="518">
        <f>SUM(L49:L50,L42,L43:L45)</f>
        <v>10499.9756</v>
      </c>
      <c r="M58" s="521"/>
      <c r="N58" s="522">
        <f t="shared" ref="N58:N62" si="73">L58-H58</f>
        <v>645.84519999999975</v>
      </c>
      <c r="O58" s="523">
        <f t="shared" ref="O58:O62" si="74">IF((H58)=0,"",(N58/H58))</f>
        <v>6.554055749049148E-2</v>
      </c>
      <c r="P58" s="513"/>
      <c r="Q58" s="520"/>
      <c r="R58" s="520"/>
      <c r="S58" s="518">
        <f>SUM(S49:S50,S42,S43:S45)</f>
        <v>9775.0056000000041</v>
      </c>
      <c r="T58" s="521"/>
      <c r="U58" s="522">
        <f t="shared" ref="U58:U62" si="75">S58-L58</f>
        <v>-724.96999999999571</v>
      </c>
      <c r="V58" s="523">
        <f t="shared" ref="V58:V62" si="76">IF((L58)=0,"",(U58/L58))</f>
        <v>-6.9044922352009624E-2</v>
      </c>
      <c r="W58" s="513"/>
      <c r="X58" s="520"/>
      <c r="Y58" s="520"/>
      <c r="Z58" s="518">
        <f>SUM(Z49:Z50,Z42,Z43:Z45)</f>
        <v>10200.3406</v>
      </c>
      <c r="AA58" s="521"/>
      <c r="AB58" s="522">
        <f t="shared" ref="AB58:AB62" si="77">Z58-S58</f>
        <v>425.33499999999549</v>
      </c>
      <c r="AC58" s="523">
        <f t="shared" ref="AC58:AC62" si="78">IF((S58)=0,"",(AB58/S58))</f>
        <v>4.3512507041427714E-2</v>
      </c>
      <c r="AD58" s="513"/>
      <c r="AE58" s="520"/>
      <c r="AF58" s="520"/>
      <c r="AG58" s="518">
        <f>SUM(AG49:AG50,AG42,AG43:AG45)</f>
        <v>10543.920600000003</v>
      </c>
      <c r="AH58" s="521"/>
      <c r="AI58" s="522">
        <f t="shared" ref="AI58:AI62" si="79">AG58-Z58</f>
        <v>343.58000000000357</v>
      </c>
      <c r="AJ58" s="523">
        <f t="shared" ref="AJ58:AJ62" si="80">IF((Z58)=0,"",(AI58/Z58))</f>
        <v>3.3683188971160787E-2</v>
      </c>
      <c r="AK58" s="513"/>
      <c r="AL58" s="520"/>
      <c r="AM58" s="520"/>
      <c r="AN58" s="518">
        <f>SUM(AN49:AN50,AN42,AN43:AN45)</f>
        <v>10870.265600000001</v>
      </c>
      <c r="AO58" s="521"/>
      <c r="AP58" s="522">
        <f t="shared" ref="AP58:AP62" si="81">AN58-AG58</f>
        <v>326.34499999999753</v>
      </c>
      <c r="AQ58" s="523">
        <f t="shared" ref="AQ58:AQ62" si="82">IF((AG58)=0,"",(AP58/AG58))</f>
        <v>3.0951010765388108E-2</v>
      </c>
      <c r="AR58" s="524"/>
    </row>
    <row r="59" spans="1:44" ht="12.75" customHeight="1">
      <c r="A59" s="513"/>
      <c r="B59" s="525" t="s">
        <v>316</v>
      </c>
      <c r="C59" s="515"/>
      <c r="D59" s="515"/>
      <c r="E59" s="515"/>
      <c r="F59" s="516">
        <v>0.13</v>
      </c>
      <c r="G59" s="517"/>
      <c r="H59" s="526">
        <f>H58*F59</f>
        <v>1281.0369520000002</v>
      </c>
      <c r="I59" s="527"/>
      <c r="J59" s="516">
        <v>0.13</v>
      </c>
      <c r="K59" s="528"/>
      <c r="L59" s="529">
        <f>L58*J59</f>
        <v>1364.9968280000001</v>
      </c>
      <c r="M59" s="530"/>
      <c r="N59" s="531">
        <f t="shared" si="73"/>
        <v>83.959875999999895</v>
      </c>
      <c r="O59" s="532">
        <f t="shared" si="74"/>
        <v>6.5540557490491411E-2</v>
      </c>
      <c r="P59" s="513"/>
      <c r="Q59" s="516">
        <v>0.13</v>
      </c>
      <c r="R59" s="528"/>
      <c r="S59" s="529">
        <f>S58*Q59</f>
        <v>1270.7507280000007</v>
      </c>
      <c r="T59" s="530"/>
      <c r="U59" s="531">
        <f t="shared" si="75"/>
        <v>-94.246099999999387</v>
      </c>
      <c r="V59" s="532">
        <f t="shared" si="76"/>
        <v>-6.9044922352009583E-2</v>
      </c>
      <c r="W59" s="513"/>
      <c r="X59" s="516">
        <v>0.13</v>
      </c>
      <c r="Y59" s="528"/>
      <c r="Z59" s="529">
        <f>Z58*X59</f>
        <v>1326.0442780000001</v>
      </c>
      <c r="AA59" s="530"/>
      <c r="AB59" s="531">
        <f t="shared" si="77"/>
        <v>55.293549999999414</v>
      </c>
      <c r="AC59" s="532">
        <f t="shared" si="78"/>
        <v>4.3512507041427707E-2</v>
      </c>
      <c r="AD59" s="513"/>
      <c r="AE59" s="516">
        <v>0.13</v>
      </c>
      <c r="AF59" s="528"/>
      <c r="AG59" s="529">
        <f>AG58*AE59</f>
        <v>1370.7096780000004</v>
      </c>
      <c r="AH59" s="530"/>
      <c r="AI59" s="531">
        <f t="shared" si="79"/>
        <v>44.665400000000318</v>
      </c>
      <c r="AJ59" s="532">
        <f t="shared" si="80"/>
        <v>3.3683188971160669E-2</v>
      </c>
      <c r="AK59" s="513"/>
      <c r="AL59" s="516">
        <v>0.13</v>
      </c>
      <c r="AM59" s="528"/>
      <c r="AN59" s="529">
        <f>AN58*AL59</f>
        <v>1413.134528</v>
      </c>
      <c r="AO59" s="530"/>
      <c r="AP59" s="531">
        <f t="shared" si="81"/>
        <v>42.424849999999651</v>
      </c>
      <c r="AQ59" s="532">
        <f t="shared" si="82"/>
        <v>3.0951010765388087E-2</v>
      </c>
      <c r="AR59" s="533"/>
    </row>
    <row r="60" spans="1:44" ht="12.75" customHeight="1">
      <c r="A60" s="513"/>
      <c r="B60" s="554" t="s">
        <v>391</v>
      </c>
      <c r="C60" s="515"/>
      <c r="D60" s="515"/>
      <c r="E60" s="515"/>
      <c r="F60" s="535"/>
      <c r="G60" s="530"/>
      <c r="H60" s="526">
        <f>H58+H59</f>
        <v>11135.167352</v>
      </c>
      <c r="I60" s="527"/>
      <c r="J60" s="527"/>
      <c r="K60" s="527"/>
      <c r="L60" s="529">
        <f>L58+L59</f>
        <v>11864.972427999999</v>
      </c>
      <c r="M60" s="530"/>
      <c r="N60" s="531">
        <f t="shared" si="73"/>
        <v>729.80507599999873</v>
      </c>
      <c r="O60" s="532">
        <f t="shared" si="74"/>
        <v>6.5540557490491383E-2</v>
      </c>
      <c r="P60" s="513"/>
      <c r="Q60" s="527"/>
      <c r="R60" s="527"/>
      <c r="S60" s="529">
        <f>S58+S59</f>
        <v>11045.756328000005</v>
      </c>
      <c r="T60" s="530"/>
      <c r="U60" s="531">
        <f t="shared" si="75"/>
        <v>-819.21609999999419</v>
      </c>
      <c r="V60" s="532">
        <f t="shared" si="76"/>
        <v>-6.9044922352009555E-2</v>
      </c>
      <c r="W60" s="513"/>
      <c r="X60" s="527"/>
      <c r="Y60" s="527"/>
      <c r="Z60" s="529">
        <f>Z58+Z59</f>
        <v>11526.384877999999</v>
      </c>
      <c r="AA60" s="530"/>
      <c r="AB60" s="531">
        <f t="shared" si="77"/>
        <v>480.62854999999399</v>
      </c>
      <c r="AC60" s="532">
        <f t="shared" si="78"/>
        <v>4.3512507041427631E-2</v>
      </c>
      <c r="AD60" s="513"/>
      <c r="AE60" s="527"/>
      <c r="AF60" s="527"/>
      <c r="AG60" s="529">
        <f>AG58+AG59</f>
        <v>11914.630278000004</v>
      </c>
      <c r="AH60" s="530"/>
      <c r="AI60" s="531">
        <f t="shared" si="79"/>
        <v>388.24540000000525</v>
      </c>
      <c r="AJ60" s="532">
        <f t="shared" si="80"/>
        <v>3.3683188971160891E-2</v>
      </c>
      <c r="AK60" s="513"/>
      <c r="AL60" s="527"/>
      <c r="AM60" s="527"/>
      <c r="AN60" s="529">
        <f>AN58+AN59</f>
        <v>12283.400128000001</v>
      </c>
      <c r="AO60" s="530"/>
      <c r="AP60" s="531">
        <f t="shared" si="81"/>
        <v>368.76984999999695</v>
      </c>
      <c r="AQ60" s="532">
        <f t="shared" si="82"/>
        <v>3.0951010765388084E-2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73"/>
        <v>0</v>
      </c>
      <c r="O61" s="539" t="str">
        <f t="shared" si="74"/>
        <v/>
      </c>
      <c r="P61" s="513"/>
      <c r="Q61" s="527"/>
      <c r="R61" s="527"/>
      <c r="S61" s="537">
        <f>Q61*S58</f>
        <v>0</v>
      </c>
      <c r="T61" s="530"/>
      <c r="U61" s="538">
        <f t="shared" si="75"/>
        <v>0</v>
      </c>
      <c r="V61" s="539" t="str">
        <f t="shared" si="76"/>
        <v/>
      </c>
      <c r="W61" s="513"/>
      <c r="X61" s="527"/>
      <c r="Y61" s="527"/>
      <c r="Z61" s="537">
        <f>X61*Z58</f>
        <v>0</v>
      </c>
      <c r="AA61" s="530"/>
      <c r="AB61" s="538">
        <f t="shared" si="77"/>
        <v>0</v>
      </c>
      <c r="AC61" s="539" t="str">
        <f t="shared" si="78"/>
        <v/>
      </c>
      <c r="AD61" s="513"/>
      <c r="AE61" s="527"/>
      <c r="AF61" s="527"/>
      <c r="AG61" s="537">
        <f>AE61*AG58</f>
        <v>0</v>
      </c>
      <c r="AH61" s="530"/>
      <c r="AI61" s="538">
        <f t="shared" si="79"/>
        <v>0</v>
      </c>
      <c r="AJ61" s="539" t="str">
        <f t="shared" si="80"/>
        <v/>
      </c>
      <c r="AK61" s="513"/>
      <c r="AL61" s="527"/>
      <c r="AM61" s="527"/>
      <c r="AN61" s="537">
        <f>AL61*AN58</f>
        <v>0</v>
      </c>
      <c r="AO61" s="530"/>
      <c r="AP61" s="538">
        <f t="shared" si="81"/>
        <v>0</v>
      </c>
      <c r="AQ61" s="539" t="str">
        <f t="shared" si="82"/>
        <v/>
      </c>
      <c r="AR61" s="540"/>
    </row>
    <row r="62" spans="1:44" ht="13.5" customHeight="1">
      <c r="A62" s="513"/>
      <c r="B62" s="635" t="s">
        <v>321</v>
      </c>
      <c r="C62" s="613"/>
      <c r="D62" s="613"/>
      <c r="E62" s="541"/>
      <c r="F62" s="542"/>
      <c r="G62" s="543"/>
      <c r="H62" s="544">
        <f>H60-H61</f>
        <v>11135.167352</v>
      </c>
      <c r="I62" s="545"/>
      <c r="J62" s="545"/>
      <c r="K62" s="545"/>
      <c r="L62" s="546">
        <f>L60-L61</f>
        <v>11864.972427999999</v>
      </c>
      <c r="M62" s="547"/>
      <c r="N62" s="548">
        <f t="shared" si="73"/>
        <v>729.80507599999873</v>
      </c>
      <c r="O62" s="549">
        <f t="shared" si="74"/>
        <v>6.5540557490491383E-2</v>
      </c>
      <c r="P62" s="513"/>
      <c r="Q62" s="545"/>
      <c r="R62" s="545"/>
      <c r="S62" s="546">
        <f>S60-S61</f>
        <v>11045.756328000005</v>
      </c>
      <c r="T62" s="547"/>
      <c r="U62" s="548">
        <f t="shared" si="75"/>
        <v>-819.21609999999419</v>
      </c>
      <c r="V62" s="549">
        <f t="shared" si="76"/>
        <v>-6.9044922352009555E-2</v>
      </c>
      <c r="W62" s="513"/>
      <c r="X62" s="545"/>
      <c r="Y62" s="545"/>
      <c r="Z62" s="546">
        <f>Z60-Z61</f>
        <v>11526.384877999999</v>
      </c>
      <c r="AA62" s="547"/>
      <c r="AB62" s="548">
        <f t="shared" si="77"/>
        <v>480.62854999999399</v>
      </c>
      <c r="AC62" s="549">
        <f t="shared" si="78"/>
        <v>4.3512507041427631E-2</v>
      </c>
      <c r="AD62" s="513"/>
      <c r="AE62" s="545"/>
      <c r="AF62" s="545"/>
      <c r="AG62" s="546">
        <f>AG60-AG61</f>
        <v>11914.630278000004</v>
      </c>
      <c r="AH62" s="547"/>
      <c r="AI62" s="548">
        <f t="shared" si="79"/>
        <v>388.24540000000525</v>
      </c>
      <c r="AJ62" s="549">
        <f t="shared" si="80"/>
        <v>3.3683188971160891E-2</v>
      </c>
      <c r="AK62" s="513"/>
      <c r="AL62" s="545"/>
      <c r="AM62" s="545"/>
      <c r="AN62" s="546">
        <f>AN60-AN61</f>
        <v>12283.400128000001</v>
      </c>
      <c r="AO62" s="547"/>
      <c r="AP62" s="548">
        <f t="shared" si="81"/>
        <v>368.76984999999695</v>
      </c>
      <c r="AQ62" s="549">
        <f t="shared" si="82"/>
        <v>3.0951010765388084E-2</v>
      </c>
      <c r="AR62" s="550"/>
    </row>
    <row r="63" spans="1:44" ht="8.25" customHeight="1">
      <c r="A63" s="52"/>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2"/>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392</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C00-000000000000}">
      <formula1>"TOU,non-TOU"</formula1>
    </dataValidation>
    <dataValidation type="list" allowBlank="1" showErrorMessage="1" sqref="E15:E28 E30:E38 E40:E41 E43:E51 E57 E63" xr:uid="{00000000-0002-0000-1C00-000001000000}">
      <formula1>#REF!</formula1>
    </dataValidation>
    <dataValidation type="list" allowBlank="1" showInputMessage="1" showErrorMessage="1" prompt="Select Charge Unit - monthly, per kWh, per kW" sqref="D15:D28 D30:D38 D40:D41 D43:D51 D57 D63" xr:uid="{00000000-0002-0000-1C00-000002000000}">
      <formula1>"Monthly,per kWh,per kW"</formula1>
    </dataValidation>
  </dataValidations>
  <pageMargins left="0.74803149606299213" right="0.74803149606299213" top="0.98425196850393704" bottom="0.98425196850393704"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customHeight="1" outlineLevelRow="1" outlineLevelCol="1"/>
  <cols>
    <col min="1" max="1" width="1.85546875" customWidth="1"/>
    <col min="2" max="2" width="16.140625" customWidth="1"/>
    <col min="3" max="3" width="28.7109375" customWidth="1"/>
    <col min="4" max="6" width="8" hidden="1" customWidth="1" outlineLevel="1"/>
    <col min="7" max="7" width="12.42578125" customWidth="1" collapsed="1"/>
    <col min="8" max="8" width="13.85546875" customWidth="1"/>
    <col min="9" max="9" width="9.28515625" hidden="1" customWidth="1" outlineLevel="1"/>
    <col min="10" max="10" width="1.42578125" hidden="1" customWidth="1" outlineLevel="1"/>
    <col min="11" max="11" width="5" hidden="1" customWidth="1" outlineLevel="1"/>
    <col min="12" max="13" width="9.140625" hidden="1" customWidth="1" outlineLevel="1"/>
    <col min="14" max="14" width="10" hidden="1" customWidth="1" outlineLevel="1"/>
    <col min="15" max="17" width="9.140625" hidden="1" customWidth="1" outlineLevel="1"/>
    <col min="18" max="18" width="11" hidden="1" customWidth="1" outlineLevel="1"/>
    <col min="19" max="19" width="10.140625" hidden="1" customWidth="1" outlineLevel="1"/>
    <col min="20" max="20" width="14.140625" customWidth="1"/>
    <col min="21" max="21" width="11.42578125" customWidth="1"/>
    <col min="22" max="25" width="13.85546875" hidden="1" customWidth="1" outlineLevel="1"/>
    <col min="26" max="26" width="11.42578125" customWidth="1"/>
    <col min="27" max="27" width="10" customWidth="1"/>
    <col min="28" max="29" width="11.140625" customWidth="1"/>
    <col min="30" max="30" width="7.140625" customWidth="1"/>
    <col min="31" max="33" width="9.140625" customWidth="1"/>
    <col min="34" max="37" width="9.140625" hidden="1" customWidth="1" outlineLevel="1"/>
    <col min="38" max="38" width="9.140625" customWidth="1"/>
  </cols>
  <sheetData>
    <row r="1" spans="1:38" ht="30" customHeight="1">
      <c r="B1" s="111"/>
      <c r="C1" s="111"/>
      <c r="D1" s="111"/>
      <c r="E1" s="111"/>
      <c r="F1" s="111"/>
      <c r="G1" s="111"/>
      <c r="H1" s="111"/>
      <c r="I1" s="112" t="s">
        <v>151</v>
      </c>
      <c r="J1" s="113"/>
      <c r="K1" s="113"/>
      <c r="L1" s="114"/>
      <c r="M1" s="115"/>
      <c r="N1" s="116" t="s">
        <v>152</v>
      </c>
      <c r="O1" s="116"/>
      <c r="P1" s="113"/>
      <c r="T1" s="117"/>
      <c r="W1" s="118" t="s">
        <v>153</v>
      </c>
      <c r="X1" s="118" t="s">
        <v>154</v>
      </c>
      <c r="Y1" s="119"/>
      <c r="Z1" s="120"/>
      <c r="AA1" s="120"/>
      <c r="AB1" s="612" t="s">
        <v>155</v>
      </c>
      <c r="AC1" s="613"/>
      <c r="AD1" s="613"/>
      <c r="AE1" s="613"/>
      <c r="AF1" s="613"/>
      <c r="AG1" s="613"/>
      <c r="AH1" s="121"/>
      <c r="AI1" s="113"/>
      <c r="AJ1" s="113"/>
      <c r="AK1" s="113"/>
      <c r="AL1" s="113"/>
    </row>
    <row r="2" spans="1:38" ht="5.25" customHeight="1">
      <c r="B2" s="111"/>
      <c r="C2" s="111"/>
      <c r="D2" s="111"/>
      <c r="E2" s="111"/>
      <c r="F2" s="111"/>
      <c r="G2" s="111"/>
      <c r="H2" s="111"/>
      <c r="I2" s="112"/>
      <c r="T2" s="122"/>
      <c r="W2" s="123"/>
      <c r="X2" s="123"/>
      <c r="Y2" s="119"/>
      <c r="Z2" s="123"/>
      <c r="AA2" s="123"/>
      <c r="AB2" s="123"/>
      <c r="AC2" s="123"/>
      <c r="AD2" s="123"/>
      <c r="AE2" s="113"/>
      <c r="AF2" s="113"/>
      <c r="AG2" s="113"/>
      <c r="AH2" s="113"/>
      <c r="AI2" s="113"/>
      <c r="AJ2" s="113"/>
      <c r="AK2" s="113"/>
      <c r="AL2" s="113"/>
    </row>
    <row r="3" spans="1:38" ht="23.25" customHeight="1">
      <c r="A3" s="124"/>
      <c r="B3" s="124"/>
      <c r="C3" s="124"/>
      <c r="D3" s="125"/>
      <c r="E3" s="125"/>
      <c r="F3" s="125"/>
      <c r="G3" s="124"/>
      <c r="H3" s="124"/>
      <c r="I3" s="126"/>
      <c r="J3" s="127" t="s">
        <v>156</v>
      </c>
      <c r="K3" s="128"/>
      <c r="L3" s="129" t="s">
        <v>157</v>
      </c>
      <c r="M3" s="129">
        <v>2</v>
      </c>
      <c r="N3" s="129">
        <v>2</v>
      </c>
      <c r="O3" s="129">
        <v>1</v>
      </c>
      <c r="P3" s="129">
        <v>2</v>
      </c>
      <c r="Q3" s="129">
        <v>2</v>
      </c>
      <c r="R3" s="129" t="s">
        <v>157</v>
      </c>
      <c r="S3" s="124"/>
      <c r="T3" s="130"/>
      <c r="U3" s="128"/>
      <c r="V3" s="128"/>
      <c r="W3" s="614" t="s">
        <v>158</v>
      </c>
      <c r="X3" s="615"/>
      <c r="Y3" s="119"/>
      <c r="Z3" s="131"/>
      <c r="AA3" s="131"/>
      <c r="AB3" s="614" t="s">
        <v>158</v>
      </c>
      <c r="AC3" s="615"/>
      <c r="AD3" s="119"/>
      <c r="AE3" s="124"/>
      <c r="AF3" s="124"/>
      <c r="AG3" s="124"/>
      <c r="AH3" s="124"/>
      <c r="AI3" s="124"/>
      <c r="AJ3" s="124"/>
      <c r="AK3" s="124"/>
      <c r="AL3" s="124"/>
    </row>
    <row r="4" spans="1:38" ht="17.25">
      <c r="A4" s="113"/>
      <c r="B4" s="132" t="s">
        <v>159</v>
      </c>
      <c r="C4" s="133"/>
      <c r="D4" s="133"/>
      <c r="E4" s="133"/>
      <c r="F4" s="133"/>
      <c r="G4" s="134"/>
      <c r="H4" s="135" t="s">
        <v>160</v>
      </c>
      <c r="I4" s="136"/>
      <c r="J4" s="113"/>
      <c r="K4" s="113"/>
      <c r="L4" s="137" t="s">
        <v>161</v>
      </c>
      <c r="M4" s="137" t="s">
        <v>161</v>
      </c>
      <c r="N4" s="137" t="s">
        <v>161</v>
      </c>
      <c r="O4" s="137" t="s">
        <v>161</v>
      </c>
      <c r="P4" s="137" t="s">
        <v>161</v>
      </c>
      <c r="Q4" s="137" t="s">
        <v>161</v>
      </c>
      <c r="T4" s="138">
        <v>2</v>
      </c>
      <c r="V4" s="137" t="s">
        <v>162</v>
      </c>
      <c r="Y4" s="119"/>
      <c r="Z4" s="123">
        <v>1</v>
      </c>
      <c r="AA4" s="123">
        <v>2</v>
      </c>
      <c r="AB4" s="123">
        <v>1</v>
      </c>
      <c r="AC4" s="123">
        <v>2</v>
      </c>
      <c r="AD4" s="123"/>
      <c r="AE4" s="113"/>
      <c r="AF4" s="113"/>
      <c r="AG4" s="113"/>
      <c r="AH4" s="113"/>
      <c r="AI4" s="113"/>
      <c r="AJ4" s="113"/>
      <c r="AK4" s="113"/>
      <c r="AL4" s="113"/>
    </row>
    <row r="5" spans="1:38" ht="49.5" customHeight="1">
      <c r="A5" s="113"/>
      <c r="B5" s="139" t="s">
        <v>163</v>
      </c>
      <c r="C5" s="140"/>
      <c r="D5" s="141" t="s">
        <v>164</v>
      </c>
      <c r="E5" s="141" t="s">
        <v>165</v>
      </c>
      <c r="F5" s="141" t="s">
        <v>166</v>
      </c>
      <c r="G5" s="140" t="s">
        <v>167</v>
      </c>
      <c r="H5" s="142" t="s">
        <v>168</v>
      </c>
      <c r="I5" s="143" t="s">
        <v>169</v>
      </c>
      <c r="J5" s="113"/>
      <c r="K5" s="113"/>
      <c r="L5" s="144" t="s">
        <v>170</v>
      </c>
      <c r="M5" s="144" t="s">
        <v>171</v>
      </c>
      <c r="N5" s="145" t="s">
        <v>172</v>
      </c>
      <c r="O5" s="145" t="s">
        <v>173</v>
      </c>
      <c r="P5" s="144" t="s">
        <v>174</v>
      </c>
      <c r="Q5" s="144" t="s">
        <v>175</v>
      </c>
      <c r="R5" s="144" t="s">
        <v>176</v>
      </c>
      <c r="S5" s="144" t="s">
        <v>177</v>
      </c>
      <c r="T5" s="146" t="s">
        <v>178</v>
      </c>
      <c r="U5" s="147" t="s">
        <v>179</v>
      </c>
      <c r="V5" s="148" t="s">
        <v>180</v>
      </c>
      <c r="W5" s="148" t="s">
        <v>181</v>
      </c>
      <c r="X5" s="148" t="s">
        <v>182</v>
      </c>
      <c r="Y5" s="119"/>
      <c r="Z5" s="148" t="s">
        <v>183</v>
      </c>
      <c r="AA5" s="148" t="s">
        <v>184</v>
      </c>
      <c r="AB5" s="148" t="s">
        <v>185</v>
      </c>
      <c r="AC5" s="148" t="s">
        <v>186</v>
      </c>
      <c r="AE5" s="113"/>
      <c r="AF5" s="113"/>
      <c r="AG5" s="113"/>
      <c r="AH5" s="113"/>
      <c r="AI5" s="123" t="s">
        <v>187</v>
      </c>
      <c r="AJ5" s="113"/>
      <c r="AK5" s="113"/>
      <c r="AL5" s="113"/>
    </row>
    <row r="6" spans="1:38" ht="15" customHeight="1">
      <c r="A6" s="113"/>
      <c r="B6" s="609" t="s">
        <v>188</v>
      </c>
      <c r="C6" s="149" t="s">
        <v>189</v>
      </c>
      <c r="D6" s="150">
        <f>+'Res (750)'!H29</f>
        <v>34.51</v>
      </c>
      <c r="E6" s="151">
        <f>+'Res (750)'!L29</f>
        <v>40.49</v>
      </c>
      <c r="F6" s="151">
        <f>+'Res (750)'!S29</f>
        <v>44.13</v>
      </c>
      <c r="G6" s="152">
        <f>+'Res (750)'!Z29</f>
        <v>48.07</v>
      </c>
      <c r="H6" s="152">
        <f>+'Res (750)'!AG29</f>
        <v>51.15</v>
      </c>
      <c r="I6" s="153">
        <f>+'Res (750)'!AN29</f>
        <v>54.07</v>
      </c>
      <c r="J6" s="154"/>
      <c r="K6" s="154"/>
      <c r="L6" s="154"/>
      <c r="M6" s="154"/>
      <c r="N6" s="154"/>
      <c r="O6" s="155"/>
      <c r="P6" s="156"/>
      <c r="Q6" s="156"/>
      <c r="R6" s="155"/>
      <c r="S6" s="155"/>
      <c r="T6" s="157">
        <f t="shared" ref="T6:T8" si="0">H6</f>
        <v>51.15</v>
      </c>
      <c r="U6" s="158">
        <f t="shared" ref="U6:U55" si="1">H6-T6</f>
        <v>0</v>
      </c>
      <c r="V6" s="155"/>
      <c r="W6" s="152">
        <f>H6*'Res (750)'!$AC$15+H6</f>
        <v>55.71675730795377</v>
      </c>
      <c r="X6" s="152">
        <f t="shared" ref="X6:X8" si="2">W6</f>
        <v>55.71675730795377</v>
      </c>
      <c r="Y6" s="159"/>
      <c r="Z6" s="160"/>
      <c r="AA6" s="156"/>
      <c r="AB6" s="156"/>
      <c r="AC6" s="161"/>
      <c r="AE6" s="113"/>
      <c r="AF6" s="113"/>
      <c r="AG6" s="113"/>
      <c r="AH6" s="113"/>
      <c r="AI6" s="162"/>
      <c r="AJ6" s="113"/>
      <c r="AK6" s="113"/>
      <c r="AL6" s="113"/>
    </row>
    <row r="7" spans="1:38" ht="28.5">
      <c r="A7" s="113"/>
      <c r="B7" s="610"/>
      <c r="C7" s="163" t="s">
        <v>190</v>
      </c>
      <c r="D7" s="164"/>
      <c r="E7" s="165">
        <f>+'Res (750)'!N29</f>
        <v>5.980000000000004</v>
      </c>
      <c r="F7" s="165">
        <f>+'Res (750)'!U29</f>
        <v>3.6400000000000006</v>
      </c>
      <c r="G7" s="166">
        <f>+'Res (750)'!AB29</f>
        <v>3.9399999999999977</v>
      </c>
      <c r="H7" s="167">
        <f>+'Res (750)'!AI29</f>
        <v>3.0799999999999983</v>
      </c>
      <c r="I7" s="168">
        <f>+'Res (750)'!AP29</f>
        <v>2.9200000000000017</v>
      </c>
      <c r="J7" s="113"/>
      <c r="K7" s="113"/>
      <c r="L7" s="169">
        <f>'Proposed Rates'!I37</f>
        <v>0</v>
      </c>
      <c r="M7" s="169"/>
      <c r="N7" s="169">
        <f>'Res (750)'!AE31</f>
        <v>0</v>
      </c>
      <c r="O7" s="169">
        <f>'Res (750)'!AE32</f>
        <v>0</v>
      </c>
      <c r="P7" s="169"/>
      <c r="Q7" s="169"/>
      <c r="R7" s="169">
        <f>'Proposed Rates'!I90</f>
        <v>0</v>
      </c>
      <c r="S7" s="169">
        <f t="shared" ref="S7:S10" si="3">SUM(L7:R7)</f>
        <v>0</v>
      </c>
      <c r="T7" s="170">
        <f t="shared" si="0"/>
        <v>3.0799999999999983</v>
      </c>
      <c r="U7" s="171">
        <f t="shared" si="1"/>
        <v>0</v>
      </c>
      <c r="V7" s="172">
        <f>'Proposed Rates'!J90</f>
        <v>0</v>
      </c>
      <c r="W7" s="167">
        <f>W6-H6</f>
        <v>4.5667573079537718</v>
      </c>
      <c r="X7" s="167">
        <f t="shared" si="2"/>
        <v>4.5667573079537718</v>
      </c>
      <c r="Y7" s="119"/>
      <c r="Z7" s="173"/>
      <c r="AA7" s="174"/>
      <c r="AB7" s="174">
        <f>-V8</f>
        <v>0</v>
      </c>
      <c r="AC7" s="175">
        <f>-V8</f>
        <v>0</v>
      </c>
      <c r="AD7" s="52" t="s">
        <v>191</v>
      </c>
      <c r="AE7" s="113"/>
      <c r="AF7" s="113"/>
      <c r="AG7" s="113"/>
      <c r="AH7" s="113"/>
      <c r="AI7" s="162">
        <f>L7*750</f>
        <v>0</v>
      </c>
      <c r="AJ7" s="113"/>
      <c r="AK7" s="113"/>
      <c r="AL7" s="113"/>
    </row>
    <row r="8" spans="1:38">
      <c r="A8" s="113"/>
      <c r="B8" s="610"/>
      <c r="C8" s="176" t="s">
        <v>192</v>
      </c>
      <c r="D8" s="177"/>
      <c r="E8" s="178">
        <f t="shared" ref="E8:I8" si="4">E7/D6</f>
        <v>0.17328310634598679</v>
      </c>
      <c r="F8" s="179">
        <f t="shared" si="4"/>
        <v>8.9898740429735752E-2</v>
      </c>
      <c r="G8" s="180">
        <f t="shared" si="4"/>
        <v>8.9281667799682704E-2</v>
      </c>
      <c r="H8" s="181">
        <f t="shared" si="4"/>
        <v>6.4073226544622386E-2</v>
      </c>
      <c r="I8" s="182">
        <f t="shared" si="4"/>
        <v>5.7086999022482932E-2</v>
      </c>
      <c r="J8" s="113"/>
      <c r="K8" s="113"/>
      <c r="L8" s="183">
        <f>'Res (750)'!AG30</f>
        <v>0</v>
      </c>
      <c r="M8" s="183"/>
      <c r="N8" s="183">
        <f>'Res (750)'!AG31</f>
        <v>0</v>
      </c>
      <c r="O8" s="183">
        <f>'Res (750)'!AG32</f>
        <v>0</v>
      </c>
      <c r="P8" s="183"/>
      <c r="Q8" s="183"/>
      <c r="R8" s="183">
        <f>'Res (750)'!AG21</f>
        <v>0</v>
      </c>
      <c r="S8" s="183">
        <f t="shared" si="3"/>
        <v>0</v>
      </c>
      <c r="T8" s="184">
        <f t="shared" si="0"/>
        <v>6.4073226544622386E-2</v>
      </c>
      <c r="U8" s="185">
        <f t="shared" si="1"/>
        <v>0</v>
      </c>
      <c r="V8" s="186">
        <f>R8</f>
        <v>0</v>
      </c>
      <c r="W8" s="181">
        <f>W7/W6</f>
        <v>8.1963802787601403E-2</v>
      </c>
      <c r="X8" s="181">
        <f t="shared" si="2"/>
        <v>8.1963802787601403E-2</v>
      </c>
      <c r="Y8" s="119"/>
      <c r="Z8" s="187"/>
      <c r="AA8" s="162"/>
      <c r="AB8" s="162"/>
      <c r="AC8" s="188"/>
      <c r="AE8" s="113"/>
      <c r="AF8" s="113"/>
      <c r="AG8" s="113"/>
      <c r="AH8" s="113"/>
      <c r="AI8" s="162"/>
      <c r="AJ8" s="113"/>
      <c r="AK8" s="113"/>
      <c r="AL8" s="113"/>
    </row>
    <row r="9" spans="1:38">
      <c r="A9" s="113"/>
      <c r="B9" s="610"/>
      <c r="C9" s="176" t="s">
        <v>193</v>
      </c>
      <c r="D9" s="177"/>
      <c r="E9" s="189">
        <f>+'Res (750)'!N53</f>
        <v>1.9813558524999877</v>
      </c>
      <c r="F9" s="189">
        <f>+'Res (750)'!U53</f>
        <v>0.89770000000000039</v>
      </c>
      <c r="G9" s="190">
        <f>+'Res (750)'!AB53</f>
        <v>0.93712101500000244</v>
      </c>
      <c r="H9" s="191">
        <f>+'Res (750)'!AI53</f>
        <v>0.73320000000000363</v>
      </c>
      <c r="I9" s="192">
        <f>+'Res (750)'!AP53</f>
        <v>0.69559999999999178</v>
      </c>
      <c r="J9" s="113"/>
      <c r="K9" s="113"/>
      <c r="N9" s="193">
        <f>N7/N$3</f>
        <v>0</v>
      </c>
      <c r="S9" s="194">
        <f t="shared" si="3"/>
        <v>0</v>
      </c>
      <c r="T9" s="195">
        <f>H9-S10-S10*0.13+S10*0.117</f>
        <v>0.73320000000000363</v>
      </c>
      <c r="U9" s="196">
        <f t="shared" si="1"/>
        <v>0</v>
      </c>
      <c r="W9" s="174">
        <f>-S8+V8</f>
        <v>0</v>
      </c>
      <c r="X9" s="174">
        <f>-L8</f>
        <v>0</v>
      </c>
      <c r="Y9" s="119"/>
      <c r="Z9" s="173">
        <f t="shared" ref="Z9:AA9" si="5">W9</f>
        <v>0</v>
      </c>
      <c r="AA9" s="174">
        <f t="shared" si="5"/>
        <v>0</v>
      </c>
      <c r="AB9" s="174">
        <f>-V8</f>
        <v>0</v>
      </c>
      <c r="AC9" s="175">
        <f>-S10-V8</f>
        <v>0</v>
      </c>
      <c r="AD9" s="52" t="s">
        <v>194</v>
      </c>
      <c r="AE9" s="113"/>
      <c r="AF9" s="113"/>
      <c r="AG9" s="113"/>
      <c r="AH9" s="113"/>
      <c r="AI9" s="162"/>
      <c r="AJ9" s="113"/>
      <c r="AK9" s="113"/>
      <c r="AL9" s="113"/>
    </row>
    <row r="10" spans="1:38">
      <c r="A10" s="113"/>
      <c r="B10" s="611"/>
      <c r="C10" s="197" t="s">
        <v>195</v>
      </c>
      <c r="D10" s="198"/>
      <c r="E10" s="199">
        <f>+'Res (750)'!O53</f>
        <v>5.4714805801556542E-2</v>
      </c>
      <c r="F10" s="199">
        <f>+'Res (750)'!V53</f>
        <v>2.3503825964480897E-2</v>
      </c>
      <c r="G10" s="200">
        <f>+'Res (750)'!AC53</f>
        <v>2.3972511969592065E-2</v>
      </c>
      <c r="H10" s="201">
        <f>+'Res (750)'!AJ53</f>
        <v>1.8316902132791999E-2</v>
      </c>
      <c r="I10" s="202">
        <f>+'Res (750)'!AQ53</f>
        <v>1.7064995957440623E-2</v>
      </c>
      <c r="J10" s="203"/>
      <c r="K10" s="203"/>
      <c r="L10" s="204">
        <f>IFERROR(ROUND(L8/L$3,2),)</f>
        <v>0</v>
      </c>
      <c r="M10" s="204"/>
      <c r="N10" s="204">
        <f>IFERROR(ROUND(N8/N$3,2),)</f>
        <v>0</v>
      </c>
      <c r="O10" s="204"/>
      <c r="P10" s="204"/>
      <c r="Q10" s="204"/>
      <c r="R10" s="204">
        <f>IFERROR(ROUND(R8/R$3,2),)</f>
        <v>0</v>
      </c>
      <c r="S10" s="204">
        <f t="shared" si="3"/>
        <v>0</v>
      </c>
      <c r="T10" s="205">
        <f>T9/'Res (750)'!Z53</f>
        <v>1.8316902132791999E-2</v>
      </c>
      <c r="U10" s="206">
        <f t="shared" si="1"/>
        <v>0</v>
      </c>
      <c r="V10" s="207"/>
      <c r="W10" s="208" t="s">
        <v>196</v>
      </c>
      <c r="X10" s="208" t="s">
        <v>196</v>
      </c>
      <c r="Y10" s="209"/>
      <c r="Z10" s="210"/>
      <c r="AA10" s="209"/>
      <c r="AB10" s="209"/>
      <c r="AC10" s="211"/>
      <c r="AE10" s="113"/>
      <c r="AF10" s="113"/>
      <c r="AG10" s="113"/>
      <c r="AH10" s="113"/>
      <c r="AI10" s="162"/>
      <c r="AJ10" s="113"/>
      <c r="AK10" s="113"/>
      <c r="AL10" s="113"/>
    </row>
    <row r="11" spans="1:38" hidden="1" outlineLevel="1">
      <c r="A11" s="113"/>
      <c r="B11" s="616" t="s">
        <v>197</v>
      </c>
      <c r="C11" s="163" t="s">
        <v>189</v>
      </c>
      <c r="D11" s="164">
        <f>+'Res (232)'!G30</f>
        <v>232</v>
      </c>
      <c r="E11" s="165">
        <f>+'Res (232)'!K30</f>
        <v>232</v>
      </c>
      <c r="F11" s="165">
        <f>+'Res (232)'!R30</f>
        <v>232</v>
      </c>
      <c r="G11" s="167">
        <f>+'Res (232)'!Y30</f>
        <v>232</v>
      </c>
      <c r="H11" s="167">
        <f>+'Res (232)'!AF30</f>
        <v>232</v>
      </c>
      <c r="I11" s="168">
        <f>+'Res (232)'!AM30</f>
        <v>232</v>
      </c>
      <c r="J11" s="113"/>
      <c r="K11" s="113"/>
      <c r="L11" s="113"/>
      <c r="M11" s="212"/>
      <c r="N11" s="212"/>
      <c r="O11" s="212"/>
      <c r="P11" s="162"/>
      <c r="Q11" s="162"/>
      <c r="T11" s="170">
        <f t="shared" ref="T11:T13" si="6">H11</f>
        <v>232</v>
      </c>
      <c r="U11" s="171">
        <f t="shared" si="1"/>
        <v>0</v>
      </c>
      <c r="W11" s="167">
        <f>H11*'Res (750)'!$AC$15+H11</f>
        <v>252.71334692952638</v>
      </c>
      <c r="X11" s="167">
        <f t="shared" ref="X11:X13" si="7">W11</f>
        <v>252.71334692952638</v>
      </c>
      <c r="Y11" s="162"/>
      <c r="Z11" s="187"/>
      <c r="AA11" s="162"/>
      <c r="AB11" s="162"/>
      <c r="AC11" s="213"/>
      <c r="AE11" s="113"/>
      <c r="AF11" s="113"/>
      <c r="AG11" s="113"/>
      <c r="AH11" s="113"/>
      <c r="AI11" s="162"/>
      <c r="AJ11" s="113"/>
      <c r="AK11" s="113"/>
      <c r="AL11" s="113"/>
    </row>
    <row r="12" spans="1:38" ht="28.5" hidden="1" outlineLevel="1">
      <c r="A12" s="113"/>
      <c r="B12" s="617"/>
      <c r="C12" s="163" t="s">
        <v>190</v>
      </c>
      <c r="D12" s="164"/>
      <c r="E12" s="165">
        <f>+'Res (232)'!M30</f>
        <v>0</v>
      </c>
      <c r="F12" s="165">
        <f>+'Res (232)'!T30</f>
        <v>0</v>
      </c>
      <c r="G12" s="166">
        <f>+'Res (232)'!AA30</f>
        <v>0</v>
      </c>
      <c r="H12" s="167">
        <f>+'Res (232)'!AH30</f>
        <v>0</v>
      </c>
      <c r="I12" s="168">
        <f>+'Res (232)'!AO30</f>
        <v>0</v>
      </c>
      <c r="J12" s="113"/>
      <c r="K12" s="113"/>
      <c r="L12" s="169">
        <f>L7</f>
        <v>0</v>
      </c>
      <c r="M12" s="169"/>
      <c r="N12" s="169">
        <f>'Res (232)'!AD32</f>
        <v>0</v>
      </c>
      <c r="O12" s="169">
        <f>'Res (232)'!AD33</f>
        <v>0</v>
      </c>
      <c r="P12" s="169"/>
      <c r="Q12" s="169"/>
      <c r="R12" s="169">
        <f t="shared" ref="R12:R13" si="8">R7</f>
        <v>0</v>
      </c>
      <c r="S12" s="169">
        <f t="shared" ref="S12:S15" si="9">SUM(L12:R12)</f>
        <v>0</v>
      </c>
      <c r="T12" s="170">
        <f t="shared" si="6"/>
        <v>0</v>
      </c>
      <c r="U12" s="171">
        <f t="shared" si="1"/>
        <v>0</v>
      </c>
      <c r="V12" s="172">
        <f>V7</f>
        <v>0</v>
      </c>
      <c r="W12" s="167">
        <f>W11-H11</f>
        <v>20.713346929526381</v>
      </c>
      <c r="X12" s="167">
        <f t="shared" si="7"/>
        <v>20.713346929526381</v>
      </c>
      <c r="Y12" s="162"/>
      <c r="Z12" s="173"/>
      <c r="AA12" s="174"/>
      <c r="AB12" s="174">
        <f>-V13</f>
        <v>0</v>
      </c>
      <c r="AC12" s="214">
        <f>-V13</f>
        <v>0</v>
      </c>
      <c r="AE12" s="113"/>
      <c r="AF12" s="113"/>
      <c r="AG12" s="113"/>
      <c r="AH12" s="113"/>
      <c r="AI12" s="162">
        <f>ROUND(L12*232,2)</f>
        <v>0</v>
      </c>
      <c r="AJ12" s="113"/>
      <c r="AK12" s="113"/>
      <c r="AL12" s="113"/>
    </row>
    <row r="13" spans="1:38" hidden="1" outlineLevel="1">
      <c r="A13" s="113"/>
      <c r="B13" s="617"/>
      <c r="C13" s="176" t="s">
        <v>192</v>
      </c>
      <c r="D13" s="177"/>
      <c r="E13" s="178">
        <f t="shared" ref="E13:I13" si="10">E12/D11</f>
        <v>0</v>
      </c>
      <c r="F13" s="179">
        <f t="shared" si="10"/>
        <v>0</v>
      </c>
      <c r="G13" s="180">
        <f t="shared" si="10"/>
        <v>0</v>
      </c>
      <c r="H13" s="181">
        <f t="shared" si="10"/>
        <v>0</v>
      </c>
      <c r="I13" s="182">
        <f t="shared" si="10"/>
        <v>0</v>
      </c>
      <c r="J13" s="113"/>
      <c r="K13" s="113"/>
      <c r="L13" s="183">
        <f>'Res (232)'!AF31</f>
        <v>232</v>
      </c>
      <c r="M13" s="183"/>
      <c r="N13" s="183">
        <f>'Res (232)'!AF32</f>
        <v>232</v>
      </c>
      <c r="O13" s="183">
        <f>'Res (232)'!AF33</f>
        <v>232</v>
      </c>
      <c r="P13" s="183"/>
      <c r="Q13" s="183"/>
      <c r="R13" s="183">
        <f t="shared" si="8"/>
        <v>0</v>
      </c>
      <c r="S13" s="183">
        <f t="shared" si="9"/>
        <v>696</v>
      </c>
      <c r="T13" s="184">
        <f t="shared" si="6"/>
        <v>0</v>
      </c>
      <c r="U13" s="185">
        <f t="shared" si="1"/>
        <v>0</v>
      </c>
      <c r="V13" s="172">
        <f>V12</f>
        <v>0</v>
      </c>
      <c r="W13" s="181">
        <f>W12/W11</f>
        <v>8.1963802787601348E-2</v>
      </c>
      <c r="X13" s="181">
        <f t="shared" si="7"/>
        <v>8.1963802787601348E-2</v>
      </c>
      <c r="Y13" s="162"/>
      <c r="Z13" s="187"/>
      <c r="AA13" s="162"/>
      <c r="AB13" s="162"/>
      <c r="AC13" s="213"/>
      <c r="AE13" s="113"/>
      <c r="AF13" s="113"/>
      <c r="AG13" s="113"/>
      <c r="AH13" s="113"/>
      <c r="AI13" s="162"/>
      <c r="AJ13" s="113"/>
      <c r="AK13" s="113"/>
      <c r="AL13" s="113"/>
    </row>
    <row r="14" spans="1:38" hidden="1" outlineLevel="1">
      <c r="A14" s="113"/>
      <c r="B14" s="617"/>
      <c r="C14" s="176" t="s">
        <v>193</v>
      </c>
      <c r="D14" s="177"/>
      <c r="E14" s="189">
        <f>+'Res (232)'!M55</f>
        <v>0</v>
      </c>
      <c r="F14" s="189">
        <f>+'Res (232)'!T55</f>
        <v>0</v>
      </c>
      <c r="G14" s="190">
        <f>+'Res (232)'!AA55</f>
        <v>0</v>
      </c>
      <c r="H14" s="191">
        <f>+'Res (232)'!AH55</f>
        <v>0</v>
      </c>
      <c r="I14" s="192">
        <f>+'Res (232)'!AO55</f>
        <v>0</v>
      </c>
      <c r="J14" s="113"/>
      <c r="K14" s="113"/>
      <c r="N14" s="193">
        <f>N12/N$3</f>
        <v>0</v>
      </c>
      <c r="S14" s="194">
        <f t="shared" si="9"/>
        <v>0</v>
      </c>
      <c r="T14" s="195">
        <f>H14-S15-S15*0.13+S15*0.117</f>
        <v>-117.50800000000001</v>
      </c>
      <c r="U14" s="196">
        <f t="shared" si="1"/>
        <v>117.50800000000001</v>
      </c>
      <c r="W14" s="174">
        <f>-S13+V13</f>
        <v>-696</v>
      </c>
      <c r="X14" s="174">
        <f>-L13</f>
        <v>-232</v>
      </c>
      <c r="Y14" s="162"/>
      <c r="Z14" s="173">
        <f t="shared" ref="Z14:AA14" si="11">W14</f>
        <v>-696</v>
      </c>
      <c r="AA14" s="174">
        <f t="shared" si="11"/>
        <v>-232</v>
      </c>
      <c r="AB14" s="174">
        <f>-V13</f>
        <v>0</v>
      </c>
      <c r="AC14" s="214">
        <f>-S15-V13</f>
        <v>-116</v>
      </c>
      <c r="AE14" s="113"/>
      <c r="AF14" s="113"/>
      <c r="AG14" s="113"/>
      <c r="AH14" s="113"/>
      <c r="AI14" s="162"/>
      <c r="AJ14" s="113"/>
      <c r="AK14" s="113"/>
      <c r="AL14" s="113"/>
    </row>
    <row r="15" spans="1:38" hidden="1" outlineLevel="1">
      <c r="A15" s="113"/>
      <c r="B15" s="618"/>
      <c r="C15" s="215" t="s">
        <v>195</v>
      </c>
      <c r="D15" s="216"/>
      <c r="E15" s="217">
        <f>+'Res (232)'!N55</f>
        <v>0</v>
      </c>
      <c r="F15" s="217">
        <f>+'Res (232)'!U55</f>
        <v>0</v>
      </c>
      <c r="G15" s="218">
        <f>+'Res (232)'!AB55</f>
        <v>0</v>
      </c>
      <c r="H15" s="219">
        <f>+'Res (232)'!AI55</f>
        <v>0</v>
      </c>
      <c r="I15" s="220">
        <f>+'Res (232)'!AP55</f>
        <v>0</v>
      </c>
      <c r="J15" s="113"/>
      <c r="K15" s="113"/>
      <c r="L15" s="221">
        <f>IFERROR(ROUND(L13/L$3,2),)</f>
        <v>0</v>
      </c>
      <c r="M15" s="221"/>
      <c r="N15" s="221">
        <f>IFERROR(ROUND(N13/N$3,2),)</f>
        <v>116</v>
      </c>
      <c r="O15" s="221"/>
      <c r="P15" s="221"/>
      <c r="Q15" s="221"/>
      <c r="R15" s="221">
        <f>IFERROR(ROUND(R13/R$3,2),)</f>
        <v>0</v>
      </c>
      <c r="S15" s="221">
        <f t="shared" si="9"/>
        <v>116</v>
      </c>
      <c r="T15" s="222" t="e">
        <f>T14/'Res (232)'!Y55</f>
        <v>#DIV/0!</v>
      </c>
      <c r="U15" s="223" t="e">
        <f t="shared" si="1"/>
        <v>#DIV/0!</v>
      </c>
      <c r="W15" s="224" t="s">
        <v>196</v>
      </c>
      <c r="X15" s="224" t="s">
        <v>196</v>
      </c>
      <c r="Y15" s="162"/>
      <c r="Z15" s="187"/>
      <c r="AA15" s="162"/>
      <c r="AB15" s="162"/>
      <c r="AC15" s="213"/>
      <c r="AE15" s="113"/>
      <c r="AF15" s="113"/>
      <c r="AG15" s="113"/>
      <c r="AH15" s="113"/>
      <c r="AI15" s="162"/>
      <c r="AJ15" s="113"/>
      <c r="AK15" s="113"/>
      <c r="AL15" s="113"/>
    </row>
    <row r="16" spans="1:38" ht="15" customHeight="1" collapsed="1">
      <c r="A16" s="113"/>
      <c r="B16" s="609" t="s">
        <v>198</v>
      </c>
      <c r="C16" s="149" t="s">
        <v>189</v>
      </c>
      <c r="D16" s="150">
        <f>+'SC (2000)'!H29</f>
        <v>85.93</v>
      </c>
      <c r="E16" s="151">
        <f>+'SC (2000)'!L29</f>
        <v>100.47999999999999</v>
      </c>
      <c r="F16" s="151">
        <f>+'SC (2000)'!S29</f>
        <v>108.4</v>
      </c>
      <c r="G16" s="152">
        <f>+'SC (2000)'!Z29</f>
        <v>118.1</v>
      </c>
      <c r="H16" s="152">
        <f>+'SC (2000)'!AG29</f>
        <v>125.6</v>
      </c>
      <c r="I16" s="153">
        <f>+'SC (2000)'!AN29</f>
        <v>132.80000000000001</v>
      </c>
      <c r="J16" s="154"/>
      <c r="K16" s="154"/>
      <c r="L16" s="154"/>
      <c r="M16" s="225"/>
      <c r="N16" s="225"/>
      <c r="O16" s="225"/>
      <c r="P16" s="156"/>
      <c r="Q16" s="156"/>
      <c r="R16" s="155"/>
      <c r="S16" s="155"/>
      <c r="T16" s="157">
        <f t="shared" ref="T16:T18" si="12">H16</f>
        <v>125.6</v>
      </c>
      <c r="U16" s="158">
        <f t="shared" si="1"/>
        <v>0</v>
      </c>
      <c r="V16" s="155"/>
      <c r="W16" s="152">
        <f>H16*'SC (2000)'!AC15+H16</f>
        <v>136.82913907284768</v>
      </c>
      <c r="X16" s="152">
        <f t="shared" ref="X16:X18" si="13">W16</f>
        <v>136.82913907284768</v>
      </c>
      <c r="Y16" s="156"/>
      <c r="Z16" s="160"/>
      <c r="AA16" s="156"/>
      <c r="AB16" s="156"/>
      <c r="AC16" s="161"/>
      <c r="AE16" s="113"/>
      <c r="AF16" s="113"/>
      <c r="AG16" s="113"/>
      <c r="AH16" s="113"/>
      <c r="AI16" s="162"/>
      <c r="AJ16" s="113"/>
      <c r="AK16" s="113"/>
      <c r="AL16" s="113"/>
    </row>
    <row r="17" spans="1:38" ht="28.5">
      <c r="A17" s="113"/>
      <c r="B17" s="610"/>
      <c r="C17" s="163" t="s">
        <v>190</v>
      </c>
      <c r="D17" s="164"/>
      <c r="E17" s="165">
        <f>+'SC (2000)'!N29</f>
        <v>14.549999999999983</v>
      </c>
      <c r="F17" s="165">
        <f>+'SC (2000)'!U29</f>
        <v>7.9200000000000159</v>
      </c>
      <c r="G17" s="166">
        <f>+'SC (2000)'!AB29</f>
        <v>9.6999999999999886</v>
      </c>
      <c r="H17" s="167">
        <f>+'SC (2000)'!AI29</f>
        <v>7.5</v>
      </c>
      <c r="I17" s="168">
        <f>+'SC (2000)'!AP29</f>
        <v>7.2000000000000171</v>
      </c>
      <c r="J17" s="113"/>
      <c r="K17" s="113"/>
      <c r="L17" s="169">
        <f>L12</f>
        <v>0</v>
      </c>
      <c r="M17" s="169"/>
      <c r="N17" s="169">
        <f>'SC (2000)'!AE31</f>
        <v>0</v>
      </c>
      <c r="O17" s="169">
        <f>+'SC (2000)'!AE32</f>
        <v>0</v>
      </c>
      <c r="P17" s="169"/>
      <c r="Q17" s="169"/>
      <c r="R17" s="169">
        <f>'Proposed Rates'!I91</f>
        <v>0</v>
      </c>
      <c r="S17" s="169">
        <f t="shared" ref="S17:S20" si="14">SUM(L17:R17)</f>
        <v>0</v>
      </c>
      <c r="T17" s="170">
        <f t="shared" si="12"/>
        <v>7.5</v>
      </c>
      <c r="U17" s="171">
        <f t="shared" si="1"/>
        <v>0</v>
      </c>
      <c r="V17" s="172">
        <f t="shared" ref="V17:V18" si="15">R17</f>
        <v>0</v>
      </c>
      <c r="W17" s="167">
        <f>W16-H16</f>
        <v>11.229139072847687</v>
      </c>
      <c r="X17" s="167">
        <f t="shared" si="13"/>
        <v>11.229139072847687</v>
      </c>
      <c r="Y17" s="162"/>
      <c r="Z17" s="173"/>
      <c r="AA17" s="174"/>
      <c r="AB17" s="174">
        <f>-V18</f>
        <v>0</v>
      </c>
      <c r="AC17" s="175">
        <f>-V18</f>
        <v>0</v>
      </c>
      <c r="AE17" s="113"/>
      <c r="AF17" s="113"/>
      <c r="AG17" s="113"/>
      <c r="AH17" s="113"/>
      <c r="AI17" s="162">
        <f>ROUND(L17*2000,2)</f>
        <v>0</v>
      </c>
      <c r="AJ17" s="113"/>
      <c r="AK17" s="113"/>
      <c r="AL17" s="113"/>
    </row>
    <row r="18" spans="1:38">
      <c r="A18" s="113"/>
      <c r="B18" s="610"/>
      <c r="C18" s="176" t="s">
        <v>192</v>
      </c>
      <c r="D18" s="177"/>
      <c r="E18" s="178">
        <f t="shared" ref="E18:I18" si="16">E17/D16</f>
        <v>0.16932386826486653</v>
      </c>
      <c r="F18" s="179">
        <f t="shared" si="16"/>
        <v>7.8821656050955577E-2</v>
      </c>
      <c r="G18" s="180">
        <f t="shared" si="16"/>
        <v>8.9483394833948224E-2</v>
      </c>
      <c r="H18" s="181">
        <f t="shared" si="16"/>
        <v>6.3505503810330238E-2</v>
      </c>
      <c r="I18" s="182">
        <f t="shared" si="16"/>
        <v>5.732484076433135E-2</v>
      </c>
      <c r="J18" s="113"/>
      <c r="K18" s="113"/>
      <c r="L18" s="183">
        <f>'SC (2000)'!AG30</f>
        <v>0</v>
      </c>
      <c r="M18" s="183"/>
      <c r="N18" s="183">
        <f>'SC (2000)'!AG31</f>
        <v>0</v>
      </c>
      <c r="O18" s="183">
        <f>'SC (2000)'!AG32</f>
        <v>0</v>
      </c>
      <c r="P18" s="183"/>
      <c r="Q18" s="183"/>
      <c r="R18" s="183">
        <f>'SC (2000)'!AG21</f>
        <v>0</v>
      </c>
      <c r="S18" s="183">
        <f t="shared" si="14"/>
        <v>0</v>
      </c>
      <c r="T18" s="184">
        <f t="shared" si="12"/>
        <v>6.3505503810330238E-2</v>
      </c>
      <c r="U18" s="185">
        <f t="shared" si="1"/>
        <v>0</v>
      </c>
      <c r="V18" s="186">
        <f t="shared" si="15"/>
        <v>0</v>
      </c>
      <c r="W18" s="181">
        <f>W17/W16</f>
        <v>8.2066869300911893E-2</v>
      </c>
      <c r="X18" s="181">
        <f t="shared" si="13"/>
        <v>8.2066869300911893E-2</v>
      </c>
      <c r="Y18" s="162"/>
      <c r="Z18" s="187"/>
      <c r="AA18" s="162"/>
      <c r="AB18" s="162"/>
      <c r="AC18" s="188"/>
      <c r="AE18" s="113"/>
      <c r="AF18" s="113"/>
      <c r="AG18" s="113"/>
      <c r="AH18" s="113"/>
      <c r="AI18" s="162"/>
      <c r="AJ18" s="113"/>
      <c r="AK18" s="113"/>
      <c r="AL18" s="113"/>
    </row>
    <row r="19" spans="1:38">
      <c r="A19" s="113"/>
      <c r="B19" s="610"/>
      <c r="C19" s="176" t="s">
        <v>193</v>
      </c>
      <c r="D19" s="177"/>
      <c r="E19" s="189">
        <f>+'SC (2000)'!N54</f>
        <v>9.7689428999999564</v>
      </c>
      <c r="F19" s="189">
        <f>+'SC (2000)'!U54</f>
        <v>7.2942500000000905</v>
      </c>
      <c r="G19" s="190">
        <f>+'SC (2000)'!AB54</f>
        <v>8.7172999999999092</v>
      </c>
      <c r="H19" s="191">
        <f>+'SC (2000)'!AI54</f>
        <v>6.7483000000000857</v>
      </c>
      <c r="I19" s="192">
        <f>+'SC (2000)'!AP54</f>
        <v>6.4798000000000116</v>
      </c>
      <c r="J19" s="113"/>
      <c r="K19" s="113"/>
      <c r="N19" s="193">
        <f>N17/N$3</f>
        <v>0</v>
      </c>
      <c r="S19" s="194">
        <f t="shared" si="14"/>
        <v>0</v>
      </c>
      <c r="T19" s="195">
        <f>H19-S20-S20*0.13+S20*0.117</f>
        <v>6.7483000000000857</v>
      </c>
      <c r="U19" s="196">
        <f t="shared" si="1"/>
        <v>0</v>
      </c>
      <c r="W19" s="174">
        <f>-S18+V18</f>
        <v>0</v>
      </c>
      <c r="X19" s="174">
        <f>-L18</f>
        <v>0</v>
      </c>
      <c r="Y19" s="162"/>
      <c r="Z19" s="173">
        <f t="shared" ref="Z19:AA19" si="17">W19</f>
        <v>0</v>
      </c>
      <c r="AA19" s="174">
        <f t="shared" si="17"/>
        <v>0</v>
      </c>
      <c r="AB19" s="174">
        <f>-V18</f>
        <v>0</v>
      </c>
      <c r="AC19" s="175">
        <f>-S20-V18</f>
        <v>0</v>
      </c>
      <c r="AE19" s="113"/>
      <c r="AF19" s="113"/>
      <c r="AG19" s="113"/>
      <c r="AH19" s="113"/>
      <c r="AI19" s="162"/>
      <c r="AJ19" s="113"/>
      <c r="AK19" s="113"/>
      <c r="AL19" s="113"/>
    </row>
    <row r="20" spans="1:38">
      <c r="A20" s="113"/>
      <c r="B20" s="611"/>
      <c r="C20" s="197" t="s">
        <v>195</v>
      </c>
      <c r="D20" s="198"/>
      <c r="E20" s="199">
        <f>+'SC (2000)'!O54</f>
        <v>2.714907532682316E-2</v>
      </c>
      <c r="F20" s="199">
        <f>+'SC (2000)'!V54</f>
        <v>1.9735795477220406E-2</v>
      </c>
      <c r="G20" s="200">
        <f>+'SC (2000)'!AC54</f>
        <v>2.3129610510277152E-2</v>
      </c>
      <c r="H20" s="201">
        <f>+'SC (2000)'!AJ54</f>
        <v>1.7500483793215327E-2</v>
      </c>
      <c r="I20" s="202">
        <f>+'SC (2000)'!AQ54</f>
        <v>1.6515154871822903E-2</v>
      </c>
      <c r="J20" s="203"/>
      <c r="K20" s="203"/>
      <c r="L20" s="204">
        <f>IFERROR(ROUND(L18/L$3,2),)</f>
        <v>0</v>
      </c>
      <c r="M20" s="204"/>
      <c r="N20" s="204">
        <f>IFERROR(ROUND(N18/N$3,2),)</f>
        <v>0</v>
      </c>
      <c r="O20" s="204"/>
      <c r="P20" s="204"/>
      <c r="Q20" s="204"/>
      <c r="R20" s="204">
        <f>IFERROR(ROUND(R18/R$3,2),)</f>
        <v>0</v>
      </c>
      <c r="S20" s="204">
        <f t="shared" si="14"/>
        <v>0</v>
      </c>
      <c r="T20" s="205">
        <f>T19/'SC (2000)'!Z54</f>
        <v>1.7500483793215327E-2</v>
      </c>
      <c r="U20" s="206">
        <f t="shared" si="1"/>
        <v>0</v>
      </c>
      <c r="V20" s="207"/>
      <c r="W20" s="208">
        <f>W19/'SC (2000)'!$AG$54</f>
        <v>0</v>
      </c>
      <c r="X20" s="208">
        <f>X19/'SC (2000)'!$AG$54</f>
        <v>0</v>
      </c>
      <c r="Y20" s="209"/>
      <c r="Z20" s="210"/>
      <c r="AA20" s="209"/>
      <c r="AB20" s="209"/>
      <c r="AC20" s="211"/>
      <c r="AE20" s="113"/>
      <c r="AF20" s="113"/>
      <c r="AG20" s="113"/>
      <c r="AH20" s="113"/>
      <c r="AI20" s="162"/>
      <c r="AJ20" s="113"/>
      <c r="AK20" s="113"/>
      <c r="AL20" s="113"/>
    </row>
    <row r="21" spans="1:38" ht="15" customHeight="1">
      <c r="A21" s="113"/>
      <c r="B21" s="609" t="s">
        <v>199</v>
      </c>
      <c r="C21" s="149" t="s">
        <v>189</v>
      </c>
      <c r="D21" s="150">
        <f>+'&gt;50 (250)'!H29</f>
        <v>1776.9</v>
      </c>
      <c r="E21" s="151">
        <f>+'&gt;50 (250)'!L29</f>
        <v>2185.8499999999995</v>
      </c>
      <c r="F21" s="151">
        <f>+'&gt;50 (250)'!S29</f>
        <v>2396.1750000000002</v>
      </c>
      <c r="G21" s="152">
        <f>+'&gt;50 (250)'!Z29</f>
        <v>2608.75</v>
      </c>
      <c r="H21" s="152">
        <f>+'&gt;50 (250)'!AG29</f>
        <v>2780.4250000000002</v>
      </c>
      <c r="I21" s="153">
        <f>+'&gt;50 (250)'!AN29</f>
        <v>2943.4749999999999</v>
      </c>
      <c r="J21" s="154"/>
      <c r="K21" s="154"/>
      <c r="L21" s="154"/>
      <c r="M21" s="225"/>
      <c r="N21" s="225"/>
      <c r="O21" s="225"/>
      <c r="P21" s="156"/>
      <c r="Q21" s="156"/>
      <c r="R21" s="155"/>
      <c r="S21" s="155"/>
      <c r="T21" s="157">
        <f t="shared" ref="T21:T23" si="18">H21</f>
        <v>2780.4250000000002</v>
      </c>
      <c r="U21" s="158">
        <f t="shared" si="1"/>
        <v>0</v>
      </c>
      <c r="V21" s="155"/>
      <c r="W21" s="152">
        <f>('&gt;50 (250)'!AE19*'&gt;50 (250)'!AC19+'&gt;50 (250)'!AE19)*250+'&gt;50 (250)'!AE15+'&gt;50 (250)'!AE21</f>
        <v>3039.7289467973319</v>
      </c>
      <c r="X21" s="152">
        <f t="shared" ref="X21:X23" si="19">W21</f>
        <v>3039.7289467973319</v>
      </c>
      <c r="Y21" s="156"/>
      <c r="Z21" s="160"/>
      <c r="AA21" s="156"/>
      <c r="AB21" s="156"/>
      <c r="AC21" s="161"/>
      <c r="AE21" s="113"/>
      <c r="AF21" s="113"/>
      <c r="AG21" s="113"/>
      <c r="AH21" s="113"/>
      <c r="AI21" s="162"/>
      <c r="AJ21" s="113"/>
      <c r="AK21" s="113"/>
      <c r="AL21" s="113"/>
    </row>
    <row r="22" spans="1:38" ht="15.75" customHeight="1">
      <c r="A22" s="113"/>
      <c r="B22" s="610"/>
      <c r="C22" s="163" t="s">
        <v>190</v>
      </c>
      <c r="D22" s="164"/>
      <c r="E22" s="165">
        <f>+'&gt;50 (250)'!N29</f>
        <v>408.94999999999936</v>
      </c>
      <c r="F22" s="165">
        <f>+'&gt;50 (250)'!U29</f>
        <v>210.32500000000073</v>
      </c>
      <c r="G22" s="166">
        <f>+'&gt;50 (250)'!AB29</f>
        <v>212.57499999999982</v>
      </c>
      <c r="H22" s="167">
        <f>+'&gt;50 (250)'!AI29</f>
        <v>171.67500000000018</v>
      </c>
      <c r="I22" s="168">
        <f>+'&gt;50 (250)'!AP29</f>
        <v>163.04999999999973</v>
      </c>
      <c r="J22" s="113"/>
      <c r="K22" s="113" t="s">
        <v>200</v>
      </c>
      <c r="L22" s="169">
        <f>'Proposed Rates'!I39</f>
        <v>0</v>
      </c>
      <c r="M22" s="169">
        <f>'Proposed Rates'!I158</f>
        <v>0</v>
      </c>
      <c r="N22" s="169">
        <f>'&gt;50 (250)'!AE31</f>
        <v>0</v>
      </c>
      <c r="O22" s="169">
        <f>'&gt;50 (250)'!AE32</f>
        <v>0</v>
      </c>
      <c r="P22" s="169">
        <f>'&gt;50 (250)'!AE35</f>
        <v>0</v>
      </c>
      <c r="Q22" s="169">
        <f>'&gt;50 (250)'!AE33</f>
        <v>0</v>
      </c>
      <c r="R22" s="169">
        <f>'Proposed Rates'!I92</f>
        <v>0</v>
      </c>
      <c r="S22" s="169">
        <f t="shared" ref="S22:S25" si="20">SUM(L22:R22)</f>
        <v>0</v>
      </c>
      <c r="T22" s="170">
        <f t="shared" si="18"/>
        <v>171.67500000000018</v>
      </c>
      <c r="U22" s="171">
        <f t="shared" si="1"/>
        <v>0</v>
      </c>
      <c r="V22" s="172">
        <f t="shared" ref="V22:V23" si="21">R22</f>
        <v>0</v>
      </c>
      <c r="W22" s="167">
        <f>W21-H21</f>
        <v>259.30394679733172</v>
      </c>
      <c r="X22" s="167">
        <f t="shared" si="19"/>
        <v>259.30394679733172</v>
      </c>
      <c r="Y22" s="162"/>
      <c r="Z22" s="173"/>
      <c r="AA22" s="174"/>
      <c r="AB22" s="226">
        <f>-V23</f>
        <v>0</v>
      </c>
      <c r="AC22" s="175">
        <f>-V23</f>
        <v>0</v>
      </c>
      <c r="AE22" s="113"/>
      <c r="AF22" s="113"/>
      <c r="AG22" s="113"/>
      <c r="AH22" s="113"/>
      <c r="AI22" s="162">
        <f>M22*250</f>
        <v>0</v>
      </c>
      <c r="AJ22" s="113"/>
      <c r="AK22" s="113"/>
      <c r="AL22" s="113"/>
    </row>
    <row r="23" spans="1:38" ht="15.75" customHeight="1">
      <c r="A23" s="113"/>
      <c r="B23" s="610"/>
      <c r="C23" s="176" t="s">
        <v>192</v>
      </c>
      <c r="D23" s="177"/>
      <c r="E23" s="178">
        <f t="shared" ref="E23:I23" si="22">E22/D21</f>
        <v>0.23014801058022361</v>
      </c>
      <c r="F23" s="178">
        <f t="shared" si="22"/>
        <v>9.6221149667177888E-2</v>
      </c>
      <c r="G23" s="180">
        <f t="shared" si="22"/>
        <v>8.8714305090404413E-2</v>
      </c>
      <c r="H23" s="181">
        <f t="shared" si="22"/>
        <v>6.5807379012937303E-2</v>
      </c>
      <c r="I23" s="182">
        <f t="shared" si="22"/>
        <v>5.8642114065295674E-2</v>
      </c>
      <c r="J23" s="113"/>
      <c r="K23" s="113" t="s">
        <v>201</v>
      </c>
      <c r="L23" s="183">
        <f>'&gt;50 (250)'!AG30</f>
        <v>0</v>
      </c>
      <c r="M23" s="183">
        <f>'&gt;50 (250)'!AG34</f>
        <v>0</v>
      </c>
      <c r="N23" s="183">
        <f>'&gt;50 (250)'!AG31</f>
        <v>0</v>
      </c>
      <c r="O23" s="183">
        <f>'&gt;50 (250)'!AG32</f>
        <v>0</v>
      </c>
      <c r="P23" s="183">
        <f>+'&gt;50 (250)'!AG35</f>
        <v>0</v>
      </c>
      <c r="Q23" s="183">
        <f>+'&gt;50 (250)'!AG33</f>
        <v>0</v>
      </c>
      <c r="R23" s="183">
        <f>'&gt;50 (250)'!AG21</f>
        <v>0</v>
      </c>
      <c r="S23" s="183">
        <f t="shared" si="20"/>
        <v>0</v>
      </c>
      <c r="T23" s="184">
        <f t="shared" si="18"/>
        <v>6.5807379012937303E-2</v>
      </c>
      <c r="U23" s="185">
        <f t="shared" si="1"/>
        <v>0</v>
      </c>
      <c r="V23" s="186">
        <f t="shared" si="21"/>
        <v>0</v>
      </c>
      <c r="W23" s="181">
        <f>W22/W21</f>
        <v>8.5304956901020787E-2</v>
      </c>
      <c r="X23" s="181">
        <f t="shared" si="19"/>
        <v>8.5304956901020787E-2</v>
      </c>
      <c r="Y23" s="162"/>
      <c r="Z23" s="187"/>
      <c r="AA23" s="162"/>
      <c r="AB23" s="162"/>
      <c r="AC23" s="188"/>
      <c r="AE23" s="113"/>
      <c r="AF23" s="113"/>
      <c r="AG23" s="113"/>
      <c r="AH23" s="113"/>
      <c r="AI23" s="162">
        <f>ROUND(L22*250,2)</f>
        <v>0</v>
      </c>
      <c r="AJ23" s="113"/>
      <c r="AK23" s="113"/>
      <c r="AL23" s="113"/>
    </row>
    <row r="24" spans="1:38" ht="15.75" customHeight="1">
      <c r="A24" s="113"/>
      <c r="B24" s="610"/>
      <c r="C24" s="176" t="s">
        <v>193</v>
      </c>
      <c r="D24" s="177"/>
      <c r="E24" s="189">
        <f>+'&gt;50 (250)'!N56</f>
        <v>356.56322274999911</v>
      </c>
      <c r="F24" s="189">
        <f>+'&gt;50 (250)'!U56</f>
        <v>-409.59110000000146</v>
      </c>
      <c r="G24" s="190">
        <f>+'&gt;50 (250)'!AB56</f>
        <v>240.33122499999808</v>
      </c>
      <c r="H24" s="191">
        <f>+'&gt;50 (250)'!AI56</f>
        <v>194.13965000000098</v>
      </c>
      <c r="I24" s="192">
        <f>+'&gt;50 (250)'!AP56</f>
        <v>184.40187499999956</v>
      </c>
      <c r="J24" s="113"/>
      <c r="K24" s="227" t="s">
        <v>200</v>
      </c>
      <c r="L24" s="116"/>
      <c r="M24" s="116"/>
      <c r="N24" s="116">
        <f>N22/N$3</f>
        <v>0</v>
      </c>
      <c r="O24" s="116"/>
      <c r="P24" s="116">
        <f>P22/P$3</f>
        <v>0</v>
      </c>
      <c r="Q24" s="116"/>
      <c r="R24" s="116"/>
      <c r="S24" s="116">
        <f t="shared" si="20"/>
        <v>0</v>
      </c>
      <c r="T24" s="195">
        <f>H24-S25-S25*0.13</f>
        <v>194.13965000000098</v>
      </c>
      <c r="U24" s="196">
        <f t="shared" si="1"/>
        <v>0</v>
      </c>
      <c r="W24" s="174">
        <f>-S23+V23</f>
        <v>0</v>
      </c>
      <c r="X24" s="174">
        <f>-L23</f>
        <v>0</v>
      </c>
      <c r="Y24" s="162"/>
      <c r="Z24" s="173">
        <f t="shared" ref="Z24:AA24" si="23">W24</f>
        <v>0</v>
      </c>
      <c r="AA24" s="174">
        <f t="shared" si="23"/>
        <v>0</v>
      </c>
      <c r="AB24" s="226">
        <f>-V23</f>
        <v>0</v>
      </c>
      <c r="AC24" s="175">
        <f>-S25-V23</f>
        <v>0</v>
      </c>
      <c r="AE24" s="113"/>
      <c r="AF24" s="113"/>
      <c r="AG24" s="113"/>
      <c r="AH24" s="113"/>
      <c r="AI24" s="162"/>
      <c r="AJ24" s="113"/>
      <c r="AK24" s="113"/>
      <c r="AL24" s="113"/>
    </row>
    <row r="25" spans="1:38" ht="15.75" customHeight="1">
      <c r="A25" s="113"/>
      <c r="B25" s="611"/>
      <c r="C25" s="197" t="s">
        <v>195</v>
      </c>
      <c r="D25" s="198"/>
      <c r="E25" s="199">
        <f>+'&gt;50 (250)'!O56</f>
        <v>1.6758965294246479E-2</v>
      </c>
      <c r="F25" s="199">
        <f>+'&gt;50 (250)'!V56</f>
        <v>-1.8934034145245578E-2</v>
      </c>
      <c r="G25" s="200">
        <f>+'&gt;50 (250)'!AC56</f>
        <v>1.1324124486562418E-2</v>
      </c>
      <c r="H25" s="201">
        <f>+'&gt;50 (250)'!AJ56</f>
        <v>9.0452028305723006E-3</v>
      </c>
      <c r="I25" s="202">
        <f>+'&gt;50 (250)'!AQ56</f>
        <v>8.514492715341767E-3</v>
      </c>
      <c r="J25" s="203"/>
      <c r="K25" s="228" t="s">
        <v>201</v>
      </c>
      <c r="L25" s="229">
        <f>IFERROR(ROUND(L23/L$3,2),)</f>
        <v>0</v>
      </c>
      <c r="M25" s="229"/>
      <c r="N25" s="229">
        <f>IFERROR(ROUND(N23/N$3,2),)</f>
        <v>0</v>
      </c>
      <c r="O25" s="229"/>
      <c r="P25" s="229">
        <f>IFERROR(ROUND(P23/P$3,2),)</f>
        <v>0</v>
      </c>
      <c r="Q25" s="229"/>
      <c r="R25" s="229">
        <f>IFERROR(ROUND(R23/R$3,2),)</f>
        <v>0</v>
      </c>
      <c r="S25" s="229">
        <f t="shared" si="20"/>
        <v>0</v>
      </c>
      <c r="T25" s="205">
        <f>T24/'&gt;50 (250)'!Z56</f>
        <v>9.0452028305723006E-3</v>
      </c>
      <c r="U25" s="206">
        <f t="shared" si="1"/>
        <v>0</v>
      </c>
      <c r="V25" s="207"/>
      <c r="W25" s="208" t="s">
        <v>196</v>
      </c>
      <c r="X25" s="208" t="s">
        <v>196</v>
      </c>
      <c r="Y25" s="209"/>
      <c r="Z25" s="210"/>
      <c r="AA25" s="209"/>
      <c r="AB25" s="209"/>
      <c r="AC25" s="211"/>
      <c r="AE25" s="113"/>
      <c r="AF25" s="113"/>
      <c r="AG25" s="113"/>
      <c r="AH25" s="113"/>
      <c r="AI25" s="162"/>
      <c r="AJ25" s="113"/>
      <c r="AK25" s="113"/>
      <c r="AL25" s="113"/>
    </row>
    <row r="26" spans="1:38" ht="15" customHeight="1">
      <c r="A26" s="113"/>
      <c r="B26" s="609" t="s">
        <v>202</v>
      </c>
      <c r="C26" s="149" t="s">
        <v>189</v>
      </c>
      <c r="D26" s="150">
        <f>+'&gt;1500(2500)'!H30</f>
        <v>134</v>
      </c>
      <c r="E26" s="151">
        <f>+'&gt;1500(2500)'!L30</f>
        <v>-561.5</v>
      </c>
      <c r="F26" s="151">
        <f>+'&gt;1500(2500)'!S30</f>
        <v>0</v>
      </c>
      <c r="G26" s="152">
        <f>+'&gt;1500(2500)'!Z30</f>
        <v>0</v>
      </c>
      <c r="H26" s="152">
        <f>+'&gt;1500(2500)'!AG30</f>
        <v>0</v>
      </c>
      <c r="I26" s="153">
        <f>+'&gt;1500(2500)'!AN30</f>
        <v>0</v>
      </c>
      <c r="J26" s="154"/>
      <c r="K26" s="154"/>
      <c r="L26" s="155"/>
      <c r="M26" s="155"/>
      <c r="N26" s="155"/>
      <c r="O26" s="155"/>
      <c r="P26" s="155"/>
      <c r="Q26" s="155"/>
      <c r="R26" s="155"/>
      <c r="S26" s="155"/>
      <c r="T26" s="157">
        <f t="shared" ref="T26:T28" si="24">H26</f>
        <v>0</v>
      </c>
      <c r="U26" s="158">
        <f t="shared" si="1"/>
        <v>0</v>
      </c>
      <c r="V26" s="155"/>
      <c r="W26" s="152" t="e">
        <f>(+'&gt;1500(2500)'!AE20*'&gt;1500(2500)'!AC20+'&gt;1500(2500)'!AE20)*'&gt;1500(2500)'!AF20+'&gt;1500(2500)'!AE15+'&gt;1500(2500)'!AG22</f>
        <v>#VALUE!</v>
      </c>
      <c r="X26" s="152" t="e">
        <f t="shared" ref="X26:X28" si="25">W26</f>
        <v>#VALUE!</v>
      </c>
      <c r="Y26" s="156"/>
      <c r="Z26" s="160"/>
      <c r="AA26" s="156"/>
      <c r="AB26" s="156"/>
      <c r="AC26" s="161"/>
      <c r="AE26" s="113"/>
      <c r="AF26" s="113"/>
      <c r="AG26" s="113"/>
      <c r="AH26" s="113"/>
      <c r="AI26" s="162"/>
      <c r="AJ26" s="113"/>
      <c r="AK26" s="113"/>
      <c r="AL26" s="113"/>
    </row>
    <row r="27" spans="1:38" ht="15.75" customHeight="1">
      <c r="A27" s="113"/>
      <c r="B27" s="610"/>
      <c r="C27" s="163" t="s">
        <v>190</v>
      </c>
      <c r="D27" s="164"/>
      <c r="E27" s="165">
        <f>+'&gt;1500(2500)'!N30</f>
        <v>-695.5</v>
      </c>
      <c r="F27" s="165">
        <f>+'&gt;1500(2500)'!U30</f>
        <v>561.5</v>
      </c>
      <c r="G27" s="166">
        <f>+'&gt;1500(2500)'!AB30</f>
        <v>0</v>
      </c>
      <c r="H27" s="167">
        <f>+'&gt;1500(2500)'!AI30</f>
        <v>0</v>
      </c>
      <c r="I27" s="168">
        <f>+'&gt;1500(2500)'!AP30</f>
        <v>0</v>
      </c>
      <c r="J27" s="113"/>
      <c r="K27" s="113" t="s">
        <v>200</v>
      </c>
      <c r="L27" s="169">
        <f>'Proposed Rates'!I40</f>
        <v>0</v>
      </c>
      <c r="M27" s="169"/>
      <c r="N27" s="169">
        <f>'Proposed Rates'!I54</f>
        <v>0</v>
      </c>
      <c r="O27" s="169">
        <f>'Proposed Rates'!I106</f>
        <v>0</v>
      </c>
      <c r="P27" s="169"/>
      <c r="Q27" s="169">
        <f>'Proposed Rates'!I145</f>
        <v>0</v>
      </c>
      <c r="R27" s="169">
        <f>'Proposed Rates'!I93</f>
        <v>0</v>
      </c>
      <c r="S27" s="169">
        <f t="shared" ref="S27:S30" si="26">SUM(L27:R27)</f>
        <v>0</v>
      </c>
      <c r="T27" s="170">
        <f t="shared" si="24"/>
        <v>0</v>
      </c>
      <c r="U27" s="171">
        <f t="shared" si="1"/>
        <v>0</v>
      </c>
      <c r="V27" s="172">
        <f t="shared" ref="V27:V28" si="27">R27</f>
        <v>0</v>
      </c>
      <c r="W27" s="167" t="e">
        <f>W26-H26</f>
        <v>#VALUE!</v>
      </c>
      <c r="X27" s="167" t="e">
        <f t="shared" si="25"/>
        <v>#VALUE!</v>
      </c>
      <c r="Y27" s="162"/>
      <c r="Z27" s="173"/>
      <c r="AA27" s="174"/>
      <c r="AB27" s="174">
        <f>-V28</f>
        <v>0</v>
      </c>
      <c r="AC27" s="175">
        <f>-V28</f>
        <v>0</v>
      </c>
      <c r="AE27" s="113"/>
      <c r="AF27" s="113"/>
      <c r="AG27" s="113"/>
      <c r="AH27" s="113"/>
      <c r="AI27" s="162">
        <f>ROUND(L27*2500,2)</f>
        <v>0</v>
      </c>
      <c r="AJ27" s="113"/>
      <c r="AK27" s="113"/>
      <c r="AL27" s="113"/>
    </row>
    <row r="28" spans="1:38" ht="15.75" customHeight="1">
      <c r="A28" s="113"/>
      <c r="B28" s="610"/>
      <c r="C28" s="176" t="s">
        <v>192</v>
      </c>
      <c r="D28" s="177"/>
      <c r="E28" s="178">
        <f t="shared" ref="E28:I28" si="28">E27/D26</f>
        <v>-5.1902985074626864</v>
      </c>
      <c r="F28" s="178">
        <f t="shared" si="28"/>
        <v>-1</v>
      </c>
      <c r="G28" s="180" t="e">
        <f t="shared" si="28"/>
        <v>#DIV/0!</v>
      </c>
      <c r="H28" s="181" t="e">
        <f t="shared" si="28"/>
        <v>#DIV/0!</v>
      </c>
      <c r="I28" s="182" t="e">
        <f t="shared" si="28"/>
        <v>#DIV/0!</v>
      </c>
      <c r="J28" s="113"/>
      <c r="K28" s="113" t="s">
        <v>201</v>
      </c>
      <c r="L28" s="183">
        <f>'&gt;1500(2500)'!AG31</f>
        <v>0</v>
      </c>
      <c r="M28" s="183"/>
      <c r="N28" s="183">
        <f>'&gt;1500(2500)'!AG32</f>
        <v>0</v>
      </c>
      <c r="O28" s="183">
        <f>'&gt;1500(2500)'!AG33</f>
        <v>0</v>
      </c>
      <c r="P28" s="183"/>
      <c r="Q28" s="183">
        <f>'&gt;1500(2500)'!AG34</f>
        <v>0</v>
      </c>
      <c r="R28" s="186">
        <f>'&gt;1500(2500)'!AG22</f>
        <v>0</v>
      </c>
      <c r="S28" s="183">
        <f t="shared" si="26"/>
        <v>0</v>
      </c>
      <c r="T28" s="184" t="e">
        <f t="shared" si="24"/>
        <v>#DIV/0!</v>
      </c>
      <c r="U28" s="185" t="e">
        <f t="shared" si="1"/>
        <v>#DIV/0!</v>
      </c>
      <c r="V28" s="186">
        <f t="shared" si="27"/>
        <v>0</v>
      </c>
      <c r="W28" s="181" t="e">
        <f>W27/W26</f>
        <v>#VALUE!</v>
      </c>
      <c r="X28" s="181" t="e">
        <f t="shared" si="25"/>
        <v>#VALUE!</v>
      </c>
      <c r="Y28" s="162"/>
      <c r="Z28" s="187"/>
      <c r="AA28" s="162"/>
      <c r="AB28" s="162"/>
      <c r="AC28" s="188"/>
      <c r="AE28" s="113"/>
      <c r="AF28" s="113"/>
      <c r="AG28" s="113"/>
      <c r="AH28" s="113"/>
      <c r="AI28" s="162"/>
      <c r="AJ28" s="113"/>
      <c r="AK28" s="113"/>
      <c r="AL28" s="113"/>
    </row>
    <row r="29" spans="1:38" ht="15.75" customHeight="1">
      <c r="A29" s="113"/>
      <c r="B29" s="610"/>
      <c r="C29" s="176" t="s">
        <v>193</v>
      </c>
      <c r="D29" s="177"/>
      <c r="E29" s="189">
        <f>+'&gt;1500(2500)'!N56</f>
        <v>226.66302749997703</v>
      </c>
      <c r="F29" s="189">
        <f>+'&gt;1500(2500)'!U56</f>
        <v>-2898.133600000001</v>
      </c>
      <c r="G29" s="190">
        <f>+'&gt;1500(2500)'!AB56</f>
        <v>2678.4446499999904</v>
      </c>
      <c r="H29" s="191">
        <f>+'&gt;1500(2500)'!AI56</f>
        <v>2094.7713999999978</v>
      </c>
      <c r="I29" s="192">
        <f>+'&gt;1500(2500)'!AP56</f>
        <v>1992.8454000000202</v>
      </c>
      <c r="J29" s="113"/>
      <c r="K29" s="227" t="s">
        <v>200</v>
      </c>
      <c r="L29" s="116"/>
      <c r="M29" s="116"/>
      <c r="N29" s="116">
        <f>N27/N$3</f>
        <v>0</v>
      </c>
      <c r="O29" s="116"/>
      <c r="P29" s="116"/>
      <c r="Q29" s="116"/>
      <c r="R29" s="116"/>
      <c r="S29" s="116">
        <f t="shared" si="26"/>
        <v>0</v>
      </c>
      <c r="T29" s="195">
        <f>H29-S30-S30*0.13</f>
        <v>2094.7713999999978</v>
      </c>
      <c r="U29" s="196">
        <f t="shared" si="1"/>
        <v>0</v>
      </c>
      <c r="W29" s="174">
        <f>-S28+V28</f>
        <v>0</v>
      </c>
      <c r="X29" s="174">
        <f>-L28</f>
        <v>0</v>
      </c>
      <c r="Y29" s="162"/>
      <c r="Z29" s="173">
        <f t="shared" ref="Z29:AA29" si="29">W29</f>
        <v>0</v>
      </c>
      <c r="AA29" s="174">
        <f t="shared" si="29"/>
        <v>0</v>
      </c>
      <c r="AB29" s="174">
        <f>-V28</f>
        <v>0</v>
      </c>
      <c r="AC29" s="175">
        <f>-S30-V28</f>
        <v>0</v>
      </c>
      <c r="AE29" s="113"/>
      <c r="AF29" s="113"/>
      <c r="AG29" s="113"/>
      <c r="AH29" s="113"/>
      <c r="AI29" s="162"/>
      <c r="AJ29" s="113"/>
      <c r="AK29" s="113"/>
      <c r="AL29" s="113"/>
    </row>
    <row r="30" spans="1:38" ht="15.75" customHeight="1">
      <c r="A30" s="113"/>
      <c r="B30" s="611"/>
      <c r="C30" s="197" t="s">
        <v>195</v>
      </c>
      <c r="D30" s="198"/>
      <c r="E30" s="199">
        <f>+'&gt;1500(2500)'!O56</f>
        <v>1.0484965078191659E-3</v>
      </c>
      <c r="F30" s="199">
        <f>+'&gt;1500(2500)'!V56</f>
        <v>-1.3392127868691903E-2</v>
      </c>
      <c r="G30" s="200">
        <f>+'&gt;1500(2500)'!AC56</f>
        <v>1.2544960121593987E-2</v>
      </c>
      <c r="H30" s="201">
        <f>+'&gt;1500(2500)'!AJ56</f>
        <v>9.6896687037100141E-3</v>
      </c>
      <c r="I30" s="202">
        <f>+'&gt;1500(2500)'!AQ56</f>
        <v>9.1297311484995185E-3</v>
      </c>
      <c r="J30" s="203"/>
      <c r="K30" s="228" t="s">
        <v>201</v>
      </c>
      <c r="L30" s="229">
        <f>IFERROR(ROUND(L28/L$3,2),)</f>
        <v>0</v>
      </c>
      <c r="M30" s="229"/>
      <c r="N30" s="229">
        <f>IFERROR(ROUND(N28/N$3,2),)</f>
        <v>0</v>
      </c>
      <c r="O30" s="229"/>
      <c r="P30" s="229"/>
      <c r="Q30" s="229"/>
      <c r="R30" s="229">
        <f>IFERROR(ROUND(R28/R$3,2),)</f>
        <v>0</v>
      </c>
      <c r="S30" s="229">
        <f t="shared" si="26"/>
        <v>0</v>
      </c>
      <c r="T30" s="205">
        <f>T29/'&gt;1500(2500)'!Z56</f>
        <v>9.6896687037100141E-3</v>
      </c>
      <c r="U30" s="206">
        <f t="shared" si="1"/>
        <v>0</v>
      </c>
      <c r="V30" s="207"/>
      <c r="W30" s="208" t="s">
        <v>196</v>
      </c>
      <c r="X30" s="208" t="s">
        <v>196</v>
      </c>
      <c r="Y30" s="209"/>
      <c r="Z30" s="210"/>
      <c r="AA30" s="209"/>
      <c r="AB30" s="209"/>
      <c r="AC30" s="211"/>
      <c r="AE30" s="113"/>
      <c r="AF30" s="113"/>
      <c r="AG30" s="113"/>
      <c r="AH30" s="113"/>
      <c r="AI30" s="162"/>
      <c r="AJ30" s="113"/>
      <c r="AK30" s="113"/>
      <c r="AL30" s="113"/>
    </row>
    <row r="31" spans="1:38" ht="15" customHeight="1">
      <c r="A31" s="113"/>
      <c r="B31" s="609" t="s">
        <v>203</v>
      </c>
      <c r="C31" s="149" t="s">
        <v>189</v>
      </c>
      <c r="D31" s="150">
        <f>+'LU(7500)'!H30</f>
        <v>475.5</v>
      </c>
      <c r="E31" s="151">
        <f>+'LU(7500)'!L30</f>
        <v>-2075.25</v>
      </c>
      <c r="F31" s="151">
        <f>+'LU(7500)'!S30</f>
        <v>0</v>
      </c>
      <c r="G31" s="152">
        <f>+'LU(7500)'!Z30</f>
        <v>0</v>
      </c>
      <c r="H31" s="152">
        <f>+'LU(7500)'!AG30</f>
        <v>0</v>
      </c>
      <c r="I31" s="153">
        <f>+'LU(7500)'!AN30</f>
        <v>0</v>
      </c>
      <c r="J31" s="154"/>
      <c r="K31" s="154"/>
      <c r="L31" s="155"/>
      <c r="M31" s="155"/>
      <c r="N31" s="155"/>
      <c r="O31" s="155"/>
      <c r="P31" s="155"/>
      <c r="Q31" s="155"/>
      <c r="R31" s="155"/>
      <c r="S31" s="155"/>
      <c r="T31" s="157">
        <f t="shared" ref="T31:T33" si="30">H31</f>
        <v>0</v>
      </c>
      <c r="U31" s="158">
        <f t="shared" si="1"/>
        <v>0</v>
      </c>
      <c r="V31" s="155"/>
      <c r="W31" s="152" t="e">
        <f>('LU(7500)'!AE20*'LU(7500)'!AC20+'LU(7500)'!AE20)*'LU(7500)'!AF20+'LU(7500)'!AE15+'LU(7500)'!AG22</f>
        <v>#VALUE!</v>
      </c>
      <c r="X31" s="152" t="e">
        <f t="shared" ref="X31:X33" si="31">W31</f>
        <v>#VALUE!</v>
      </c>
      <c r="Y31" s="156"/>
      <c r="Z31" s="160"/>
      <c r="AA31" s="156"/>
      <c r="AB31" s="156"/>
      <c r="AC31" s="161"/>
      <c r="AE31" s="113"/>
      <c r="AF31" s="113"/>
      <c r="AG31" s="113"/>
      <c r="AH31" s="113"/>
      <c r="AI31" s="162"/>
      <c r="AJ31" s="113"/>
      <c r="AK31" s="113"/>
      <c r="AL31" s="113"/>
    </row>
    <row r="32" spans="1:38" ht="15.75" customHeight="1">
      <c r="A32" s="113"/>
      <c r="B32" s="610"/>
      <c r="C32" s="163" t="s">
        <v>190</v>
      </c>
      <c r="D32" s="164"/>
      <c r="E32" s="165">
        <f>+'LU(7500)'!N30</f>
        <v>-2550.75</v>
      </c>
      <c r="F32" s="165">
        <f>+'LU(7500)'!U30</f>
        <v>2075.25</v>
      </c>
      <c r="G32" s="166">
        <f>+'LU(7500)'!AB30</f>
        <v>0</v>
      </c>
      <c r="H32" s="167">
        <f>+'LU(7500)'!AI30</f>
        <v>0</v>
      </c>
      <c r="I32" s="168">
        <f>+'LU(7500)'!AP30</f>
        <v>0</v>
      </c>
      <c r="J32" s="113"/>
      <c r="K32" s="113" t="s">
        <v>200</v>
      </c>
      <c r="L32" s="169">
        <f>'Proposed Rates'!I41</f>
        <v>0</v>
      </c>
      <c r="M32" s="113"/>
      <c r="N32" s="169">
        <f>'Proposed Rates'!I55</f>
        <v>0</v>
      </c>
      <c r="P32" s="162"/>
      <c r="Q32" s="162"/>
      <c r="R32" s="169">
        <f>'Proposed Rates'!I94</f>
        <v>0</v>
      </c>
      <c r="S32" s="169">
        <f t="shared" ref="S32:S35" si="32">SUM(L32:R32)</f>
        <v>0</v>
      </c>
      <c r="T32" s="170">
        <f t="shared" si="30"/>
        <v>0</v>
      </c>
      <c r="U32" s="171">
        <f t="shared" si="1"/>
        <v>0</v>
      </c>
      <c r="V32" s="172">
        <f t="shared" ref="V32:V33" si="33">R32</f>
        <v>0</v>
      </c>
      <c r="W32" s="167" t="e">
        <f>W31-H31</f>
        <v>#VALUE!</v>
      </c>
      <c r="X32" s="167" t="e">
        <f t="shared" si="31"/>
        <v>#VALUE!</v>
      </c>
      <c r="Y32" s="162"/>
      <c r="Z32" s="173"/>
      <c r="AA32" s="174"/>
      <c r="AB32" s="174">
        <f>-V33</f>
        <v>0</v>
      </c>
      <c r="AC32" s="175">
        <f>-V33</f>
        <v>0</v>
      </c>
      <c r="AE32" s="113"/>
      <c r="AF32" s="113"/>
      <c r="AG32" s="113"/>
      <c r="AH32" s="113"/>
      <c r="AI32" s="162">
        <f>ROUND(L32*7500,2)</f>
        <v>0</v>
      </c>
      <c r="AJ32" s="113"/>
      <c r="AK32" s="113"/>
      <c r="AL32" s="113"/>
    </row>
    <row r="33" spans="1:38" ht="15.75" customHeight="1">
      <c r="A33" s="113"/>
      <c r="B33" s="610"/>
      <c r="C33" s="176" t="s">
        <v>192</v>
      </c>
      <c r="D33" s="177"/>
      <c r="E33" s="178">
        <f t="shared" ref="E33:I33" si="34">E32/D31</f>
        <v>-5.3643533123028391</v>
      </c>
      <c r="F33" s="178">
        <f t="shared" si="34"/>
        <v>-1</v>
      </c>
      <c r="G33" s="180" t="e">
        <f t="shared" si="34"/>
        <v>#DIV/0!</v>
      </c>
      <c r="H33" s="181" t="e">
        <f t="shared" si="34"/>
        <v>#DIV/0!</v>
      </c>
      <c r="I33" s="182" t="e">
        <f t="shared" si="34"/>
        <v>#DIV/0!</v>
      </c>
      <c r="J33" s="113"/>
      <c r="K33" s="113" t="s">
        <v>201</v>
      </c>
      <c r="L33" s="183">
        <f>'LU(7500)'!AG31</f>
        <v>0</v>
      </c>
      <c r="M33" s="113"/>
      <c r="N33" s="183">
        <f>'LU(7500)'!AG32</f>
        <v>0</v>
      </c>
      <c r="P33" s="162"/>
      <c r="Q33" s="162"/>
      <c r="R33" s="186">
        <f>'LU(7500)'!AG22</f>
        <v>0</v>
      </c>
      <c r="S33" s="183">
        <f t="shared" si="32"/>
        <v>0</v>
      </c>
      <c r="T33" s="184" t="e">
        <f t="shared" si="30"/>
        <v>#DIV/0!</v>
      </c>
      <c r="U33" s="185" t="e">
        <f t="shared" si="1"/>
        <v>#DIV/0!</v>
      </c>
      <c r="V33" s="186">
        <f t="shared" si="33"/>
        <v>0</v>
      </c>
      <c r="W33" s="181" t="e">
        <f>W32/W31</f>
        <v>#VALUE!</v>
      </c>
      <c r="X33" s="181" t="e">
        <f t="shared" si="31"/>
        <v>#VALUE!</v>
      </c>
      <c r="Y33" s="162"/>
      <c r="Z33" s="187"/>
      <c r="AA33" s="162"/>
      <c r="AB33" s="162"/>
      <c r="AC33" s="188"/>
      <c r="AE33" s="113"/>
      <c r="AF33" s="113"/>
      <c r="AG33" s="113"/>
      <c r="AH33" s="113"/>
      <c r="AI33" s="162"/>
      <c r="AJ33" s="113"/>
      <c r="AK33" s="113"/>
      <c r="AL33" s="113"/>
    </row>
    <row r="34" spans="1:38" ht="15.75" customHeight="1">
      <c r="A34" s="113"/>
      <c r="B34" s="610"/>
      <c r="C34" s="176" t="s">
        <v>193</v>
      </c>
      <c r="D34" s="177"/>
      <c r="E34" s="189">
        <f>+'LU(7500)'!N56</f>
        <v>3829.1292999997968</v>
      </c>
      <c r="F34" s="189">
        <f>+'LU(7500)'!U56</f>
        <v>-6314.8863500000443</v>
      </c>
      <c r="G34" s="190">
        <f>+'LU(7500)'!AB56</f>
        <v>8728.9449000000022</v>
      </c>
      <c r="H34" s="191">
        <f>+'LU(7500)'!AI56</f>
        <v>6917.9221500001149</v>
      </c>
      <c r="I34" s="192">
        <f>+'LU(7500)'!AP56</f>
        <v>6118.983899999992</v>
      </c>
      <c r="J34" s="113"/>
      <c r="K34" s="227" t="s">
        <v>200</v>
      </c>
      <c r="L34" s="116"/>
      <c r="M34" s="116"/>
      <c r="N34" s="116">
        <f>N32/N$3</f>
        <v>0</v>
      </c>
      <c r="O34" s="116"/>
      <c r="P34" s="116"/>
      <c r="Q34" s="116"/>
      <c r="R34" s="116"/>
      <c r="S34" s="116">
        <f t="shared" si="32"/>
        <v>0</v>
      </c>
      <c r="T34" s="195">
        <f>H34-S35-S35*0.13</f>
        <v>6917.9221500001149</v>
      </c>
      <c r="U34" s="196">
        <f t="shared" si="1"/>
        <v>0</v>
      </c>
      <c r="W34" s="174">
        <f>-S33+V33</f>
        <v>0</v>
      </c>
      <c r="X34" s="174">
        <f>-L33</f>
        <v>0</v>
      </c>
      <c r="Y34" s="162"/>
      <c r="Z34" s="173">
        <f t="shared" ref="Z34:AA34" si="35">W34</f>
        <v>0</v>
      </c>
      <c r="AA34" s="174">
        <f t="shared" si="35"/>
        <v>0</v>
      </c>
      <c r="AB34" s="174">
        <f>-V33</f>
        <v>0</v>
      </c>
      <c r="AC34" s="175">
        <f>-S35-V33</f>
        <v>0</v>
      </c>
      <c r="AE34" s="113"/>
      <c r="AF34" s="113"/>
      <c r="AG34" s="113"/>
      <c r="AH34" s="113"/>
      <c r="AI34" s="162"/>
      <c r="AJ34" s="113"/>
      <c r="AK34" s="113"/>
      <c r="AL34" s="113"/>
    </row>
    <row r="35" spans="1:38" ht="15.75" customHeight="1">
      <c r="A35" s="113"/>
      <c r="B35" s="611"/>
      <c r="C35" s="197" t="s">
        <v>195</v>
      </c>
      <c r="D35" s="198"/>
      <c r="E35" s="199">
        <f>+'LU(7500)'!O56</f>
        <v>5.7404608529877154E-3</v>
      </c>
      <c r="F35" s="199">
        <f>+'LU(7500)'!V56</f>
        <v>-9.4129628526363508E-3</v>
      </c>
      <c r="G35" s="200">
        <f>+'LU(7500)'!AC56</f>
        <v>1.3134995172061662E-2</v>
      </c>
      <c r="H35" s="201">
        <f>+'LU(7500)'!AJ56</f>
        <v>1.0274874335530633E-2</v>
      </c>
      <c r="I35" s="202">
        <f>+'LU(7500)'!AQ56</f>
        <v>8.9958168935621065E-3</v>
      </c>
      <c r="J35" s="203"/>
      <c r="K35" s="228" t="s">
        <v>201</v>
      </c>
      <c r="L35" s="204">
        <f>IFERROR(ROUND(L33/L$3,2),)</f>
        <v>0</v>
      </c>
      <c r="M35" s="204"/>
      <c r="N35" s="204">
        <f>IFERROR(ROUND(N33/N$3,2),)</f>
        <v>0</v>
      </c>
      <c r="O35" s="204"/>
      <c r="P35" s="204"/>
      <c r="Q35" s="204"/>
      <c r="R35" s="204">
        <f>IFERROR(ROUND(R33/R$3,2),)</f>
        <v>0</v>
      </c>
      <c r="S35" s="204">
        <f t="shared" si="32"/>
        <v>0</v>
      </c>
      <c r="T35" s="205">
        <f>T34/'LU(7500)'!Z56</f>
        <v>1.0274874335530633E-2</v>
      </c>
      <c r="U35" s="206">
        <f t="shared" si="1"/>
        <v>0</v>
      </c>
      <c r="V35" s="207"/>
      <c r="W35" s="208" t="s">
        <v>196</v>
      </c>
      <c r="X35" s="208" t="s">
        <v>196</v>
      </c>
      <c r="Y35" s="209"/>
      <c r="Z35" s="210"/>
      <c r="AA35" s="209"/>
      <c r="AB35" s="209"/>
      <c r="AC35" s="211"/>
      <c r="AE35" s="113"/>
      <c r="AF35" s="113"/>
      <c r="AG35" s="113"/>
      <c r="AH35" s="113"/>
      <c r="AI35" s="162"/>
      <c r="AJ35" s="113"/>
      <c r="AK35" s="113"/>
      <c r="AL35" s="113"/>
    </row>
    <row r="36" spans="1:38" ht="15" customHeight="1">
      <c r="A36" s="113"/>
      <c r="B36" s="609" t="s">
        <v>204</v>
      </c>
      <c r="C36" s="149" t="s">
        <v>189</v>
      </c>
      <c r="D36" s="150" t="e">
        <v>#REF!</v>
      </c>
      <c r="E36" s="151" t="e">
        <v>#REF!</v>
      </c>
      <c r="F36" s="151" t="e">
        <v>#REF!</v>
      </c>
      <c r="G36" s="152" t="e">
        <v>#REF!</v>
      </c>
      <c r="H36" s="152" t="e">
        <v>#REF!</v>
      </c>
      <c r="I36" s="153" t="e">
        <v>#REF!</v>
      </c>
      <c r="J36" s="154"/>
      <c r="K36" s="154"/>
      <c r="L36" s="155"/>
      <c r="M36" s="155"/>
      <c r="N36" s="155"/>
      <c r="O36" s="155"/>
      <c r="P36" s="155"/>
      <c r="Q36" s="155"/>
      <c r="R36" s="155"/>
      <c r="S36" s="155"/>
      <c r="T36" s="157" t="e">
        <f t="shared" ref="T36:T38" si="36">H36</f>
        <v>#REF!</v>
      </c>
      <c r="U36" s="158" t="e">
        <f t="shared" si="1"/>
        <v>#REF!</v>
      </c>
      <c r="V36" s="155"/>
      <c r="W36" s="152" t="e">
        <v>#REF!</v>
      </c>
      <c r="X36" s="152" t="e">
        <f t="shared" ref="X36:X38" si="37">W36</f>
        <v>#REF!</v>
      </c>
      <c r="Y36" s="156"/>
      <c r="Z36" s="160"/>
      <c r="AA36" s="156"/>
      <c r="AB36" s="156"/>
      <c r="AC36" s="161"/>
      <c r="AE36" s="113"/>
      <c r="AF36" s="113"/>
      <c r="AG36" s="113"/>
      <c r="AH36" s="113"/>
      <c r="AI36" s="162"/>
      <c r="AJ36" s="113"/>
      <c r="AK36" s="113"/>
      <c r="AL36" s="113"/>
    </row>
    <row r="37" spans="1:38" ht="15.75" customHeight="1">
      <c r="A37" s="113"/>
      <c r="B37" s="610"/>
      <c r="C37" s="163" t="s">
        <v>190</v>
      </c>
      <c r="D37" s="164"/>
      <c r="E37" s="165" t="e">
        <v>#REF!</v>
      </c>
      <c r="F37" s="165" t="e">
        <v>#REF!</v>
      </c>
      <c r="G37" s="166" t="e">
        <v>#REF!</v>
      </c>
      <c r="H37" s="167" t="e">
        <v>#REF!</v>
      </c>
      <c r="I37" s="168" t="e">
        <v>#REF!</v>
      </c>
      <c r="J37" s="113"/>
      <c r="K37" s="113" t="s">
        <v>200</v>
      </c>
      <c r="L37" s="169">
        <f>'Proposed Rates'!I43</f>
        <v>0</v>
      </c>
      <c r="M37" s="169"/>
      <c r="N37" s="169">
        <f>'Proposed Rates'!I57</f>
        <v>0</v>
      </c>
      <c r="O37" s="169">
        <f>'Proposed Rates'!I109</f>
        <v>0</v>
      </c>
      <c r="P37" s="169"/>
      <c r="Q37" s="162"/>
      <c r="S37" s="169">
        <f t="shared" ref="S37:S40" si="38">SUM(L37:R37)</f>
        <v>0</v>
      </c>
      <c r="T37" s="170" t="e">
        <f t="shared" si="36"/>
        <v>#REF!</v>
      </c>
      <c r="U37" s="171" t="e">
        <f t="shared" si="1"/>
        <v>#REF!</v>
      </c>
      <c r="V37" s="52">
        <f t="shared" ref="V37:V38" si="39">R37</f>
        <v>0</v>
      </c>
      <c r="W37" s="167" t="e">
        <f>W36-H36</f>
        <v>#REF!</v>
      </c>
      <c r="X37" s="167" t="e">
        <f t="shared" si="37"/>
        <v>#REF!</v>
      </c>
      <c r="Y37" s="162"/>
      <c r="Z37" s="173">
        <f>V38</f>
        <v>0</v>
      </c>
      <c r="AA37" s="174"/>
      <c r="AB37" s="174">
        <f>-V38</f>
        <v>0</v>
      </c>
      <c r="AC37" s="175">
        <f>-V38</f>
        <v>0</v>
      </c>
      <c r="AE37" s="113"/>
      <c r="AF37" s="113"/>
      <c r="AG37" s="113"/>
      <c r="AH37" s="113"/>
      <c r="AI37" s="162">
        <f>ROUND(L37*0.4,2)</f>
        <v>0</v>
      </c>
      <c r="AJ37" s="113"/>
      <c r="AK37" s="113"/>
      <c r="AL37" s="113"/>
    </row>
    <row r="38" spans="1:38" ht="15.75" customHeight="1">
      <c r="A38" s="113"/>
      <c r="B38" s="610"/>
      <c r="C38" s="176" t="s">
        <v>192</v>
      </c>
      <c r="D38" s="177"/>
      <c r="E38" s="178" t="e">
        <f t="shared" ref="E38:I38" si="40">E37/D36</f>
        <v>#REF!</v>
      </c>
      <c r="F38" s="178" t="e">
        <f t="shared" si="40"/>
        <v>#REF!</v>
      </c>
      <c r="G38" s="180" t="e">
        <f t="shared" si="40"/>
        <v>#REF!</v>
      </c>
      <c r="H38" s="181" t="e">
        <f t="shared" si="40"/>
        <v>#REF!</v>
      </c>
      <c r="I38" s="182" t="e">
        <f t="shared" si="40"/>
        <v>#REF!</v>
      </c>
      <c r="J38" s="113"/>
      <c r="K38" s="113" t="s">
        <v>201</v>
      </c>
      <c r="L38" s="183" t="e">
        <v>#REF!</v>
      </c>
      <c r="M38" s="183"/>
      <c r="N38" s="183" t="e">
        <v>#REF!</v>
      </c>
      <c r="O38" s="183" t="e">
        <v>#REF!</v>
      </c>
      <c r="P38" s="183"/>
      <c r="Q38" s="162"/>
      <c r="S38" s="183" t="e">
        <f t="shared" si="38"/>
        <v>#REF!</v>
      </c>
      <c r="T38" s="184" t="e">
        <f t="shared" si="36"/>
        <v>#REF!</v>
      </c>
      <c r="U38" s="185" t="e">
        <f t="shared" si="1"/>
        <v>#REF!</v>
      </c>
      <c r="V38" s="52">
        <f t="shared" si="39"/>
        <v>0</v>
      </c>
      <c r="W38" s="181" t="e">
        <f>W37/W36</f>
        <v>#REF!</v>
      </c>
      <c r="X38" s="181" t="e">
        <f t="shared" si="37"/>
        <v>#REF!</v>
      </c>
      <c r="Y38" s="162"/>
      <c r="Z38" s="187"/>
      <c r="AA38" s="162"/>
      <c r="AB38" s="162"/>
      <c r="AC38" s="188"/>
      <c r="AE38" s="113"/>
      <c r="AF38" s="113"/>
      <c r="AG38" s="113"/>
      <c r="AH38" s="113"/>
      <c r="AI38" s="162"/>
      <c r="AJ38" s="113"/>
      <c r="AK38" s="113"/>
      <c r="AL38" s="113"/>
    </row>
    <row r="39" spans="1:38" ht="15.75" customHeight="1">
      <c r="A39" s="113"/>
      <c r="B39" s="610"/>
      <c r="C39" s="176" t="s">
        <v>193</v>
      </c>
      <c r="D39" s="177"/>
      <c r="E39" s="189" t="e">
        <v>#REF!</v>
      </c>
      <c r="F39" s="189" t="e">
        <v>#REF!</v>
      </c>
      <c r="G39" s="190" t="e">
        <v>#REF!</v>
      </c>
      <c r="H39" s="191" t="e">
        <v>#REF!</v>
      </c>
      <c r="I39" s="192" t="e">
        <v>#REF!</v>
      </c>
      <c r="J39" s="113"/>
      <c r="K39" s="227" t="s">
        <v>200</v>
      </c>
      <c r="L39" s="116"/>
      <c r="M39" s="116"/>
      <c r="N39" s="116">
        <f>N37/N$3</f>
        <v>0</v>
      </c>
      <c r="O39" s="116"/>
      <c r="P39" s="116"/>
      <c r="Q39" s="116"/>
      <c r="R39" s="116"/>
      <c r="S39" s="116">
        <f t="shared" si="38"/>
        <v>0</v>
      </c>
      <c r="T39" s="195" t="e">
        <f>H39-S40-S40*0.13</f>
        <v>#REF!</v>
      </c>
      <c r="U39" s="196" t="e">
        <f t="shared" si="1"/>
        <v>#REF!</v>
      </c>
      <c r="W39" s="174" t="e">
        <f>-S38+V38</f>
        <v>#REF!</v>
      </c>
      <c r="X39" s="174" t="e">
        <f>-L38</f>
        <v>#REF!</v>
      </c>
      <c r="Y39" s="162"/>
      <c r="Z39" s="173" t="e">
        <f t="shared" ref="Z39:AA39" si="41">W39</f>
        <v>#REF!</v>
      </c>
      <c r="AA39" s="174" t="e">
        <f t="shared" si="41"/>
        <v>#REF!</v>
      </c>
      <c r="AB39" s="174">
        <f>-V38</f>
        <v>0</v>
      </c>
      <c r="AC39" s="175">
        <f>-S40-V38</f>
        <v>0</v>
      </c>
      <c r="AE39" s="113"/>
      <c r="AF39" s="113"/>
      <c r="AG39" s="113"/>
      <c r="AH39" s="113"/>
      <c r="AI39" s="162"/>
      <c r="AJ39" s="113"/>
      <c r="AK39" s="113"/>
      <c r="AL39" s="113"/>
    </row>
    <row r="40" spans="1:38" ht="15.75" customHeight="1">
      <c r="A40" s="113"/>
      <c r="B40" s="611"/>
      <c r="C40" s="197" t="s">
        <v>195</v>
      </c>
      <c r="D40" s="198"/>
      <c r="E40" s="199" t="e">
        <v>#REF!</v>
      </c>
      <c r="F40" s="199" t="e">
        <v>#REF!</v>
      </c>
      <c r="G40" s="200" t="e">
        <v>#REF!</v>
      </c>
      <c r="H40" s="230" t="e">
        <v>#REF!</v>
      </c>
      <c r="I40" s="202" t="e">
        <v>#REF!</v>
      </c>
      <c r="J40" s="203"/>
      <c r="K40" s="228" t="s">
        <v>201</v>
      </c>
      <c r="L40" s="204">
        <f>IFERROR(ROUND(L38/L$3,2),)</f>
        <v>0</v>
      </c>
      <c r="M40" s="204"/>
      <c r="N40" s="204">
        <f>IFERROR(ROUND(N38/N$3,2),)</f>
        <v>0</v>
      </c>
      <c r="O40" s="204"/>
      <c r="P40" s="204"/>
      <c r="Q40" s="204"/>
      <c r="R40" s="204">
        <f>IFERROR(ROUND(R38/R$3,2),)</f>
        <v>0</v>
      </c>
      <c r="S40" s="204">
        <f t="shared" si="38"/>
        <v>0</v>
      </c>
      <c r="T40" s="231" t="e">
        <v>#REF!</v>
      </c>
      <c r="U40" s="232" t="e">
        <f t="shared" si="1"/>
        <v>#REF!</v>
      </c>
      <c r="V40" s="207"/>
      <c r="W40" s="208" t="s">
        <v>196</v>
      </c>
      <c r="X40" s="208" t="s">
        <v>196</v>
      </c>
      <c r="Y40" s="209"/>
      <c r="Z40" s="210"/>
      <c r="AA40" s="209"/>
      <c r="AB40" s="209"/>
      <c r="AC40" s="211"/>
      <c r="AE40" s="113"/>
      <c r="AF40" s="113"/>
      <c r="AG40" s="113"/>
      <c r="AH40" s="113"/>
      <c r="AI40" s="162"/>
      <c r="AJ40" s="113"/>
      <c r="AK40" s="113"/>
      <c r="AL40" s="113"/>
    </row>
    <row r="41" spans="1:38" ht="18.75" customHeight="1">
      <c r="A41" s="113"/>
      <c r="B41" s="609" t="s">
        <v>205</v>
      </c>
      <c r="C41" s="149" t="s">
        <v>189</v>
      </c>
      <c r="D41" s="233" t="e">
        <v>#REF!</v>
      </c>
      <c r="E41" s="234" t="e">
        <v>#REF!</v>
      </c>
      <c r="F41" s="234" t="e">
        <v>#REF!</v>
      </c>
      <c r="G41" s="235" t="e">
        <v>#REF!</v>
      </c>
      <c r="H41" s="235" t="e">
        <v>#REF!</v>
      </c>
      <c r="I41" s="236" t="e">
        <v>#REF!</v>
      </c>
      <c r="J41" s="154"/>
      <c r="K41" s="154"/>
      <c r="L41" s="155"/>
      <c r="M41" s="155"/>
      <c r="N41" s="155"/>
      <c r="O41" s="155"/>
      <c r="P41" s="155"/>
      <c r="Q41" s="155"/>
      <c r="R41" s="155"/>
      <c r="S41" s="155"/>
      <c r="T41" s="237" t="e">
        <f t="shared" ref="T41:T43" si="42">H41</f>
        <v>#REF!</v>
      </c>
      <c r="U41" s="238" t="e">
        <f t="shared" si="1"/>
        <v>#REF!</v>
      </c>
      <c r="V41" s="155"/>
      <c r="W41" s="152" t="e">
        <v>#REF!</v>
      </c>
      <c r="X41" s="152" t="e">
        <f t="shared" ref="X41:X43" si="43">W41</f>
        <v>#REF!</v>
      </c>
      <c r="Y41" s="156"/>
      <c r="Z41" s="160"/>
      <c r="AA41" s="156"/>
      <c r="AB41" s="156"/>
      <c r="AC41" s="161"/>
      <c r="AE41" s="113"/>
      <c r="AF41" s="113"/>
      <c r="AG41" s="113"/>
      <c r="AH41" s="113"/>
      <c r="AI41" s="162"/>
      <c r="AJ41" s="113"/>
      <c r="AK41" s="113"/>
      <c r="AL41" s="113"/>
    </row>
    <row r="42" spans="1:38" ht="15.75" customHeight="1">
      <c r="A42" s="113"/>
      <c r="B42" s="610"/>
      <c r="C42" s="163" t="s">
        <v>190</v>
      </c>
      <c r="D42" s="239"/>
      <c r="E42" s="240" t="e">
        <v>#REF!</v>
      </c>
      <c r="F42" s="240" t="e">
        <v>#REF!</v>
      </c>
      <c r="G42" s="166" t="e">
        <v>#REF!</v>
      </c>
      <c r="H42" s="241" t="e">
        <v>#REF!</v>
      </c>
      <c r="I42" s="242" t="e">
        <v>#REF!</v>
      </c>
      <c r="J42" s="113"/>
      <c r="K42" s="113" t="s">
        <v>200</v>
      </c>
      <c r="L42" s="169">
        <f>'Proposed Rates'!I42</f>
        <v>0</v>
      </c>
      <c r="M42" s="113"/>
      <c r="N42" s="169">
        <f>'Proposed Rates'!I56</f>
        <v>0</v>
      </c>
      <c r="O42" s="172">
        <f>'Proposed Rates'!I108</f>
        <v>0</v>
      </c>
      <c r="P42" s="162"/>
      <c r="Q42" s="162"/>
      <c r="R42" s="169">
        <f>'Proposed Rates'!I95</f>
        <v>0</v>
      </c>
      <c r="S42" s="169">
        <f t="shared" ref="S42:S45" si="44">SUM(L42:R42)</f>
        <v>0</v>
      </c>
      <c r="T42" s="243" t="e">
        <f t="shared" si="42"/>
        <v>#REF!</v>
      </c>
      <c r="U42" s="244" t="e">
        <f t="shared" si="1"/>
        <v>#REF!</v>
      </c>
      <c r="V42" s="172">
        <f t="shared" ref="V42:V43" si="45">R42</f>
        <v>0</v>
      </c>
      <c r="W42" s="167" t="e">
        <f>W41-H41</f>
        <v>#REF!</v>
      </c>
      <c r="X42" s="167" t="e">
        <f t="shared" si="43"/>
        <v>#REF!</v>
      </c>
      <c r="Y42" s="162"/>
      <c r="Z42" s="173"/>
      <c r="AA42" s="174"/>
      <c r="AB42" s="174" t="e">
        <f>IF(#REF!="Yr2/3/4",0,-V43)</f>
        <v>#REF!</v>
      </c>
      <c r="AC42" s="175" t="e">
        <f>IF(#REF!="Yr2/3/4",0,-V43)</f>
        <v>#REF!</v>
      </c>
      <c r="AE42" s="113"/>
      <c r="AF42" s="113"/>
      <c r="AG42" s="113"/>
      <c r="AH42" s="113"/>
      <c r="AI42" s="162">
        <f>ROUND(L42*1,2)</f>
        <v>0</v>
      </c>
      <c r="AJ42" s="113"/>
      <c r="AK42" s="113"/>
      <c r="AL42" s="113"/>
    </row>
    <row r="43" spans="1:38" ht="15.75" customHeight="1">
      <c r="A43" s="113"/>
      <c r="B43" s="610"/>
      <c r="C43" s="176" t="s">
        <v>192</v>
      </c>
      <c r="D43" s="245"/>
      <c r="E43" s="246" t="e">
        <f t="shared" ref="E43:I43" si="46">E42/D41</f>
        <v>#REF!</v>
      </c>
      <c r="F43" s="246" t="e">
        <f t="shared" si="46"/>
        <v>#REF!</v>
      </c>
      <c r="G43" s="180" t="e">
        <f t="shared" si="46"/>
        <v>#REF!</v>
      </c>
      <c r="H43" s="247" t="e">
        <f t="shared" si="46"/>
        <v>#REF!</v>
      </c>
      <c r="I43" s="248" t="e">
        <f t="shared" si="46"/>
        <v>#REF!</v>
      </c>
      <c r="J43" s="113"/>
      <c r="K43" s="113" t="s">
        <v>201</v>
      </c>
      <c r="L43" s="113" t="e">
        <v>#REF!</v>
      </c>
      <c r="M43" s="113"/>
      <c r="N43" s="113" t="e">
        <v>#REF!</v>
      </c>
      <c r="O43" s="52" t="e">
        <v>#REF!</v>
      </c>
      <c r="P43" s="162"/>
      <c r="Q43" s="162"/>
      <c r="R43" s="52" t="e">
        <v>#REF!</v>
      </c>
      <c r="S43" s="183" t="e">
        <f t="shared" si="44"/>
        <v>#REF!</v>
      </c>
      <c r="T43" s="249" t="e">
        <f t="shared" si="42"/>
        <v>#REF!</v>
      </c>
      <c r="U43" s="250" t="e">
        <f t="shared" si="1"/>
        <v>#REF!</v>
      </c>
      <c r="V43" s="52" t="e">
        <f t="shared" si="45"/>
        <v>#REF!</v>
      </c>
      <c r="W43" s="181" t="e">
        <f>W42/W41</f>
        <v>#REF!</v>
      </c>
      <c r="X43" s="181" t="e">
        <f t="shared" si="43"/>
        <v>#REF!</v>
      </c>
      <c r="Y43" s="162"/>
      <c r="Z43" s="187"/>
      <c r="AA43" s="162"/>
      <c r="AB43" s="162"/>
      <c r="AC43" s="188"/>
      <c r="AE43" s="113"/>
      <c r="AF43" s="113"/>
      <c r="AG43" s="113"/>
      <c r="AH43" s="113"/>
      <c r="AI43" s="162"/>
      <c r="AJ43" s="113"/>
      <c r="AK43" s="113"/>
      <c r="AL43" s="113"/>
    </row>
    <row r="44" spans="1:38" ht="15.75" customHeight="1">
      <c r="A44" s="113"/>
      <c r="B44" s="610"/>
      <c r="C44" s="176" t="s">
        <v>193</v>
      </c>
      <c r="D44" s="245"/>
      <c r="E44" s="240" t="e">
        <v>#REF!</v>
      </c>
      <c r="F44" s="240" t="e">
        <v>#REF!</v>
      </c>
      <c r="G44" s="190" t="e">
        <v>#REF!</v>
      </c>
      <c r="H44" s="241" t="e">
        <v>#REF!</v>
      </c>
      <c r="I44" s="242" t="e">
        <v>#REF!</v>
      </c>
      <c r="J44" s="113"/>
      <c r="K44" s="227" t="s">
        <v>200</v>
      </c>
      <c r="L44" s="116"/>
      <c r="M44" s="116"/>
      <c r="N44" s="116">
        <f>N42/N$3</f>
        <v>0</v>
      </c>
      <c r="O44" s="116"/>
      <c r="P44" s="116"/>
      <c r="Q44" s="116"/>
      <c r="R44" s="116"/>
      <c r="S44" s="116">
        <f t="shared" si="44"/>
        <v>0</v>
      </c>
      <c r="T44" s="243" t="e">
        <f>H44-S45-S45*0.13</f>
        <v>#REF!</v>
      </c>
      <c r="U44" s="244" t="e">
        <f t="shared" si="1"/>
        <v>#REF!</v>
      </c>
      <c r="W44" s="174" t="e">
        <f>-S43+V43</f>
        <v>#REF!</v>
      </c>
      <c r="X44" s="174" t="e">
        <f>-L43</f>
        <v>#REF!</v>
      </c>
      <c r="Y44" s="162"/>
      <c r="Z44" s="173" t="e">
        <f t="shared" ref="Z44:AA44" si="47">W44</f>
        <v>#REF!</v>
      </c>
      <c r="AA44" s="174" t="e">
        <f t="shared" si="47"/>
        <v>#REF!</v>
      </c>
      <c r="AB44" s="174" t="e">
        <f>IF(#REF!="Yr2/3/4",0,-V43)</f>
        <v>#REF!</v>
      </c>
      <c r="AC44" s="175" t="e">
        <f>IF(#REF!="Yr2/3/4",-S45,-S45-V43)</f>
        <v>#REF!</v>
      </c>
      <c r="AE44" s="113"/>
      <c r="AF44" s="113"/>
      <c r="AG44" s="113"/>
      <c r="AH44" s="113"/>
      <c r="AI44" s="162"/>
      <c r="AJ44" s="113"/>
      <c r="AK44" s="113"/>
      <c r="AL44" s="113"/>
    </row>
    <row r="45" spans="1:38" ht="15.75" customHeight="1">
      <c r="A45" s="113"/>
      <c r="B45" s="611"/>
      <c r="C45" s="197" t="s">
        <v>195</v>
      </c>
      <c r="D45" s="251"/>
      <c r="E45" s="252" t="e">
        <v>#REF!</v>
      </c>
      <c r="F45" s="252" t="e">
        <v>#REF!</v>
      </c>
      <c r="G45" s="200" t="e">
        <v>#REF!</v>
      </c>
      <c r="H45" s="230" t="e">
        <v>#REF!</v>
      </c>
      <c r="I45" s="253" t="e">
        <v>#REF!</v>
      </c>
      <c r="J45" s="203"/>
      <c r="K45" s="228" t="s">
        <v>201</v>
      </c>
      <c r="L45" s="204">
        <f>IFERROR(ROUND(L43/L$3,2),)</f>
        <v>0</v>
      </c>
      <c r="M45" s="204"/>
      <c r="N45" s="204">
        <f>IFERROR(ROUND(N43/N$3,2),)</f>
        <v>0</v>
      </c>
      <c r="O45" s="204"/>
      <c r="P45" s="204"/>
      <c r="Q45" s="204"/>
      <c r="R45" s="204">
        <f>IFERROR(ROUND(R43/R$3,2),)</f>
        <v>0</v>
      </c>
      <c r="S45" s="204">
        <f t="shared" si="44"/>
        <v>0</v>
      </c>
      <c r="T45" s="231" t="e">
        <v>#REF!</v>
      </c>
      <c r="U45" s="232" t="e">
        <f t="shared" si="1"/>
        <v>#REF!</v>
      </c>
      <c r="V45" s="207"/>
      <c r="W45" s="208" t="s">
        <v>196</v>
      </c>
      <c r="X45" s="208" t="s">
        <v>196</v>
      </c>
      <c r="Y45" s="209"/>
      <c r="Z45" s="210"/>
      <c r="AA45" s="209"/>
      <c r="AB45" s="209"/>
      <c r="AC45" s="211"/>
      <c r="AE45" s="113"/>
      <c r="AF45" s="113"/>
      <c r="AG45" s="113"/>
      <c r="AH45" s="113"/>
      <c r="AI45" s="162"/>
      <c r="AJ45" s="113"/>
      <c r="AK45" s="113"/>
      <c r="AL45" s="113"/>
    </row>
    <row r="46" spans="1:38" ht="15.75" customHeight="1">
      <c r="A46" s="113"/>
      <c r="B46" s="609" t="s">
        <v>206</v>
      </c>
      <c r="C46" s="254" t="s">
        <v>189</v>
      </c>
      <c r="D46" s="255"/>
      <c r="E46" s="255"/>
      <c r="F46" s="255"/>
      <c r="G46" s="235" t="e">
        <v>#REF!</v>
      </c>
      <c r="H46" s="235" t="e">
        <v>#REF!</v>
      </c>
      <c r="I46" s="256"/>
      <c r="J46" s="154"/>
      <c r="K46" s="154"/>
      <c r="L46" s="155"/>
      <c r="M46" s="155"/>
      <c r="N46" s="155"/>
      <c r="O46" s="155"/>
      <c r="P46" s="155"/>
      <c r="Q46" s="155"/>
      <c r="R46" s="155"/>
      <c r="S46" s="155"/>
      <c r="T46" s="237" t="e">
        <f t="shared" ref="T46:T48" si="48">H46</f>
        <v>#REF!</v>
      </c>
      <c r="U46" s="238" t="e">
        <f t="shared" si="1"/>
        <v>#REF!</v>
      </c>
      <c r="V46" s="155"/>
      <c r="W46" s="235" t="e">
        <v>#REF!</v>
      </c>
      <c r="X46" s="235" t="e">
        <f t="shared" ref="X46:X48" si="49">W46</f>
        <v>#REF!</v>
      </c>
      <c r="Y46" s="156"/>
      <c r="Z46" s="160"/>
      <c r="AA46" s="156"/>
      <c r="AB46" s="156"/>
      <c r="AC46" s="161"/>
      <c r="AE46" s="113"/>
      <c r="AF46" s="113"/>
      <c r="AG46" s="113"/>
      <c r="AH46" s="113"/>
      <c r="AI46" s="162"/>
      <c r="AJ46" s="113"/>
      <c r="AK46" s="113"/>
      <c r="AL46" s="113"/>
    </row>
    <row r="47" spans="1:38" ht="15.75" customHeight="1">
      <c r="A47" s="113"/>
      <c r="B47" s="610"/>
      <c r="C47" s="257" t="s">
        <v>190</v>
      </c>
      <c r="D47" s="258"/>
      <c r="E47" s="258"/>
      <c r="F47" s="258"/>
      <c r="G47" s="166" t="e">
        <v>#REF!</v>
      </c>
      <c r="H47" s="241" t="e">
        <v>#REF!</v>
      </c>
      <c r="I47" s="259"/>
      <c r="J47" s="113"/>
      <c r="K47" s="113" t="s">
        <v>200</v>
      </c>
      <c r="L47" s="169">
        <f>L42</f>
        <v>0</v>
      </c>
      <c r="M47" s="113"/>
      <c r="N47" s="169">
        <f t="shared" ref="N47:O47" si="50">N42</f>
        <v>0</v>
      </c>
      <c r="O47" s="172">
        <f t="shared" si="50"/>
        <v>0</v>
      </c>
      <c r="Q47" s="172">
        <f>'Proposed Rates'!I147</f>
        <v>0</v>
      </c>
      <c r="R47" s="172">
        <f>R42</f>
        <v>0</v>
      </c>
      <c r="S47" s="169">
        <f t="shared" ref="S47:S50" si="51">SUM(L47:R47)</f>
        <v>0</v>
      </c>
      <c r="T47" s="243" t="e">
        <f t="shared" si="48"/>
        <v>#REF!</v>
      </c>
      <c r="U47" s="244" t="e">
        <f t="shared" si="1"/>
        <v>#REF!</v>
      </c>
      <c r="V47" s="172">
        <f t="shared" ref="V47:V48" si="52">R47</f>
        <v>0</v>
      </c>
      <c r="W47" s="167" t="e">
        <f>W46-H46</f>
        <v>#REF!</v>
      </c>
      <c r="X47" s="167" t="e">
        <f t="shared" si="49"/>
        <v>#REF!</v>
      </c>
      <c r="Y47" s="162"/>
      <c r="Z47" s="173"/>
      <c r="AA47" s="174"/>
      <c r="AB47" s="174" t="e">
        <f>IF(#REF!="Yr2/3/4",0,-V48)</f>
        <v>#REF!</v>
      </c>
      <c r="AC47" s="175" t="e">
        <f>IF(#REF!="Yr2/3/4",0,-V48)</f>
        <v>#REF!</v>
      </c>
      <c r="AE47" s="113"/>
      <c r="AF47" s="113"/>
      <c r="AG47" s="113"/>
      <c r="AH47" s="113"/>
      <c r="AI47" s="162">
        <f>ROUND(L47*50,2)</f>
        <v>0</v>
      </c>
      <c r="AJ47" s="113"/>
      <c r="AK47" s="113"/>
      <c r="AL47" s="113"/>
    </row>
    <row r="48" spans="1:38" ht="15.75" customHeight="1">
      <c r="A48" s="113"/>
      <c r="B48" s="610"/>
      <c r="C48" s="257" t="s">
        <v>192</v>
      </c>
      <c r="D48" s="260"/>
      <c r="E48" s="261"/>
      <c r="F48" s="261"/>
      <c r="G48" s="180" t="e">
        <v>#REF!</v>
      </c>
      <c r="H48" s="247" t="e">
        <v>#REF!</v>
      </c>
      <c r="I48" s="262"/>
      <c r="J48" s="113"/>
      <c r="K48" s="113" t="s">
        <v>201</v>
      </c>
      <c r="L48" s="113" t="e">
        <v>#REF!</v>
      </c>
      <c r="M48" s="113"/>
      <c r="N48" s="113" t="e">
        <v>#REF!</v>
      </c>
      <c r="O48" s="52" t="e">
        <v>#REF!</v>
      </c>
      <c r="Q48" s="186" t="e">
        <v>#REF!</v>
      </c>
      <c r="R48" s="52" t="e">
        <v>#REF!</v>
      </c>
      <c r="S48" s="183" t="e">
        <f t="shared" si="51"/>
        <v>#REF!</v>
      </c>
      <c r="T48" s="249" t="e">
        <f t="shared" si="48"/>
        <v>#REF!</v>
      </c>
      <c r="U48" s="250" t="e">
        <f t="shared" si="1"/>
        <v>#REF!</v>
      </c>
      <c r="V48" s="52" t="e">
        <f t="shared" si="52"/>
        <v>#REF!</v>
      </c>
      <c r="W48" s="181" t="e">
        <f>W47/W46</f>
        <v>#REF!</v>
      </c>
      <c r="X48" s="181" t="e">
        <f t="shared" si="49"/>
        <v>#REF!</v>
      </c>
      <c r="Y48" s="162"/>
      <c r="Z48" s="187"/>
      <c r="AA48" s="162"/>
      <c r="AB48" s="162"/>
      <c r="AC48" s="188"/>
      <c r="AE48" s="113"/>
      <c r="AF48" s="113"/>
      <c r="AG48" s="113"/>
      <c r="AH48" s="113"/>
      <c r="AI48" s="162"/>
      <c r="AJ48" s="113"/>
      <c r="AK48" s="113"/>
      <c r="AL48" s="113"/>
    </row>
    <row r="49" spans="1:38" ht="15.75" customHeight="1">
      <c r="A49" s="113"/>
      <c r="B49" s="610"/>
      <c r="C49" s="257" t="s">
        <v>193</v>
      </c>
      <c r="D49" s="260"/>
      <c r="E49" s="258"/>
      <c r="F49" s="258"/>
      <c r="G49" s="190" t="e">
        <v>#REF!</v>
      </c>
      <c r="H49" s="241" t="e">
        <v>#REF!</v>
      </c>
      <c r="I49" s="259"/>
      <c r="J49" s="113"/>
      <c r="K49" s="227" t="s">
        <v>200</v>
      </c>
      <c r="L49" s="116"/>
      <c r="M49" s="116"/>
      <c r="N49" s="116">
        <f>N47/N$3</f>
        <v>0</v>
      </c>
      <c r="O49" s="116"/>
      <c r="P49" s="116"/>
      <c r="Q49" s="116"/>
      <c r="R49" s="116"/>
      <c r="S49" s="116">
        <f t="shared" si="51"/>
        <v>0</v>
      </c>
      <c r="T49" s="243" t="e">
        <f>H49-S50-S50*0.13</f>
        <v>#REF!</v>
      </c>
      <c r="U49" s="244" t="e">
        <f t="shared" si="1"/>
        <v>#REF!</v>
      </c>
      <c r="W49" s="174" t="e">
        <f>-S48+V48</f>
        <v>#REF!</v>
      </c>
      <c r="X49" s="174" t="e">
        <f>-L48</f>
        <v>#REF!</v>
      </c>
      <c r="Y49" s="162"/>
      <c r="Z49" s="173" t="e">
        <f t="shared" ref="Z49:AA49" si="53">W49</f>
        <v>#REF!</v>
      </c>
      <c r="AA49" s="174" t="e">
        <f t="shared" si="53"/>
        <v>#REF!</v>
      </c>
      <c r="AB49" s="174" t="e">
        <f>IF(#REF!="Yr2/3/4",0,-V48)</f>
        <v>#REF!</v>
      </c>
      <c r="AC49" s="175" t="e">
        <f>IF(#REF!="Yr2/3/4",-S50,-S50-V48)</f>
        <v>#REF!</v>
      </c>
      <c r="AE49" s="113"/>
      <c r="AF49" s="113"/>
      <c r="AG49" s="113"/>
      <c r="AH49" s="113"/>
      <c r="AI49" s="162"/>
      <c r="AJ49" s="113"/>
      <c r="AK49" s="113"/>
      <c r="AL49" s="113"/>
    </row>
    <row r="50" spans="1:38" ht="19.5" customHeight="1">
      <c r="A50" s="113"/>
      <c r="B50" s="611"/>
      <c r="C50" s="263" t="s">
        <v>195</v>
      </c>
      <c r="D50" s="264"/>
      <c r="E50" s="265"/>
      <c r="F50" s="265"/>
      <c r="G50" s="200" t="e">
        <v>#REF!</v>
      </c>
      <c r="H50" s="230" t="e">
        <v>#REF!</v>
      </c>
      <c r="I50" s="266"/>
      <c r="J50" s="203"/>
      <c r="K50" s="228" t="s">
        <v>201</v>
      </c>
      <c r="L50" s="204">
        <f>IFERROR(ROUND(L48/L$3,2),)</f>
        <v>0</v>
      </c>
      <c r="M50" s="204"/>
      <c r="N50" s="204">
        <f>IFERROR(ROUND(N48/N$3,2),)</f>
        <v>0</v>
      </c>
      <c r="O50" s="204"/>
      <c r="P50" s="204"/>
      <c r="Q50" s="204"/>
      <c r="R50" s="204">
        <f>IFERROR(ROUND(R48/R$3,2),)</f>
        <v>0</v>
      </c>
      <c r="S50" s="204">
        <f t="shared" si="51"/>
        <v>0</v>
      </c>
      <c r="T50" s="231" t="e">
        <v>#REF!</v>
      </c>
      <c r="U50" s="232" t="e">
        <f t="shared" si="1"/>
        <v>#REF!</v>
      </c>
      <c r="V50" s="207"/>
      <c r="W50" s="208" t="s">
        <v>196</v>
      </c>
      <c r="X50" s="208" t="s">
        <v>196</v>
      </c>
      <c r="Y50" s="209"/>
      <c r="Z50" s="210"/>
      <c r="AA50" s="209"/>
      <c r="AB50" s="209"/>
      <c r="AC50" s="211"/>
      <c r="AE50" s="113"/>
      <c r="AF50" s="113"/>
      <c r="AG50" s="113"/>
      <c r="AH50" s="113"/>
      <c r="AI50" s="162"/>
      <c r="AJ50" s="113"/>
      <c r="AK50" s="113"/>
      <c r="AL50" s="113"/>
    </row>
    <row r="51" spans="1:38" ht="13.5" customHeight="1">
      <c r="A51" s="113"/>
      <c r="B51" s="609" t="s">
        <v>207</v>
      </c>
      <c r="C51" s="149" t="s">
        <v>189</v>
      </c>
      <c r="D51" s="150" t="e">
        <v>#REF!</v>
      </c>
      <c r="E51" s="151" t="e">
        <v>#REF!</v>
      </c>
      <c r="F51" s="151" t="e">
        <v>#REF!</v>
      </c>
      <c r="G51" s="152" t="e">
        <v>#REF!</v>
      </c>
      <c r="H51" s="152" t="e">
        <v>#REF!</v>
      </c>
      <c r="I51" s="153" t="e">
        <v>#REF!</v>
      </c>
      <c r="J51" s="154"/>
      <c r="K51" s="154"/>
      <c r="L51" s="155"/>
      <c r="M51" s="155"/>
      <c r="N51" s="155"/>
      <c r="O51" s="155"/>
      <c r="P51" s="155"/>
      <c r="Q51" s="155"/>
      <c r="R51" s="155"/>
      <c r="S51" s="155"/>
      <c r="T51" s="157" t="e">
        <f t="shared" ref="T51:T53" si="54">H51</f>
        <v>#REF!</v>
      </c>
      <c r="U51" s="158" t="e">
        <f t="shared" si="1"/>
        <v>#REF!</v>
      </c>
      <c r="V51" s="155">
        <f t="shared" ref="V51:V52" si="55">R52</f>
        <v>0</v>
      </c>
      <c r="W51" s="235" t="e">
        <v>#REF!</v>
      </c>
      <c r="X51" s="235" t="e">
        <f t="shared" ref="X51:X53" si="56">W51</f>
        <v>#REF!</v>
      </c>
      <c r="Y51" s="156"/>
      <c r="Z51" s="160"/>
      <c r="AA51" s="156"/>
      <c r="AB51" s="156"/>
      <c r="AC51" s="161"/>
      <c r="AE51" s="113"/>
      <c r="AF51" s="113"/>
      <c r="AG51" s="113"/>
      <c r="AH51" s="113"/>
      <c r="AI51" s="162"/>
      <c r="AJ51" s="113"/>
      <c r="AK51" s="113"/>
      <c r="AL51" s="113"/>
    </row>
    <row r="52" spans="1:38" ht="15.75" customHeight="1">
      <c r="A52" s="113"/>
      <c r="B52" s="610"/>
      <c r="C52" s="163" t="s">
        <v>190</v>
      </c>
      <c r="D52" s="164"/>
      <c r="E52" s="165" t="e">
        <v>#REF!</v>
      </c>
      <c r="F52" s="165" t="e">
        <v>#REF!</v>
      </c>
      <c r="G52" s="166" t="e">
        <v>#REF!</v>
      </c>
      <c r="H52" s="167" t="e">
        <v>#REF!</v>
      </c>
      <c r="I52" s="168" t="e">
        <v>#REF!</v>
      </c>
      <c r="J52" s="113"/>
      <c r="K52" s="113" t="s">
        <v>200</v>
      </c>
      <c r="L52" s="169">
        <f>'Proposed Rates'!I44</f>
        <v>0</v>
      </c>
      <c r="M52" s="113"/>
      <c r="N52" s="169">
        <f>'Proposed Rates'!I58</f>
        <v>0</v>
      </c>
      <c r="O52" s="172">
        <f>'Proposed Rates'!I110</f>
        <v>0</v>
      </c>
      <c r="P52" s="162"/>
      <c r="Q52" s="162"/>
      <c r="S52" s="169">
        <f t="shared" ref="S52:S55" si="57">SUM(L52:R52)</f>
        <v>0</v>
      </c>
      <c r="T52" s="170" t="e">
        <f t="shared" si="54"/>
        <v>#REF!</v>
      </c>
      <c r="U52" s="171" t="e">
        <f t="shared" si="1"/>
        <v>#REF!</v>
      </c>
      <c r="V52" s="52">
        <f t="shared" si="55"/>
        <v>0</v>
      </c>
      <c r="W52" s="167" t="e">
        <f>W51-H51</f>
        <v>#REF!</v>
      </c>
      <c r="X52" s="167" t="e">
        <f t="shared" si="56"/>
        <v>#REF!</v>
      </c>
      <c r="Y52" s="162"/>
      <c r="Z52" s="173"/>
      <c r="AA52" s="174"/>
      <c r="AB52" s="174">
        <f>-V53</f>
        <v>0</v>
      </c>
      <c r="AC52" s="175">
        <f>-V53</f>
        <v>0</v>
      </c>
      <c r="AE52" s="113"/>
      <c r="AF52" s="113"/>
      <c r="AG52" s="113"/>
      <c r="AH52" s="113"/>
      <c r="AI52" s="162">
        <f>ROUND(L52*470,2)</f>
        <v>0</v>
      </c>
      <c r="AJ52" s="113"/>
      <c r="AK52" s="113"/>
      <c r="AL52" s="113"/>
    </row>
    <row r="53" spans="1:38" ht="15.75" customHeight="1">
      <c r="A53" s="113"/>
      <c r="B53" s="610"/>
      <c r="C53" s="176" t="s">
        <v>192</v>
      </c>
      <c r="D53" s="177"/>
      <c r="E53" s="178" t="e">
        <f t="shared" ref="E53:I53" si="58">E52/D51</f>
        <v>#REF!</v>
      </c>
      <c r="F53" s="178" t="e">
        <f t="shared" si="58"/>
        <v>#REF!</v>
      </c>
      <c r="G53" s="180" t="e">
        <f t="shared" si="58"/>
        <v>#REF!</v>
      </c>
      <c r="H53" s="181" t="e">
        <f t="shared" si="58"/>
        <v>#REF!</v>
      </c>
      <c r="I53" s="182" t="e">
        <f t="shared" si="58"/>
        <v>#REF!</v>
      </c>
      <c r="J53" s="267"/>
      <c r="K53" s="113" t="s">
        <v>201</v>
      </c>
      <c r="L53" s="113" t="e">
        <v>#REF!</v>
      </c>
      <c r="M53" s="113"/>
      <c r="N53" s="113" t="e">
        <v>#REF!</v>
      </c>
      <c r="O53" s="52" t="e">
        <v>#REF!</v>
      </c>
      <c r="P53" s="162"/>
      <c r="Q53" s="162"/>
      <c r="S53" s="183" t="e">
        <f t="shared" si="57"/>
        <v>#REF!</v>
      </c>
      <c r="T53" s="184" t="e">
        <f t="shared" si="54"/>
        <v>#REF!</v>
      </c>
      <c r="U53" s="185" t="e">
        <f t="shared" si="1"/>
        <v>#REF!</v>
      </c>
      <c r="V53" s="52">
        <v>0</v>
      </c>
      <c r="W53" s="181" t="e">
        <f>W52/W51</f>
        <v>#REF!</v>
      </c>
      <c r="X53" s="181" t="e">
        <f t="shared" si="56"/>
        <v>#REF!</v>
      </c>
      <c r="Y53" s="123"/>
      <c r="Z53" s="187"/>
      <c r="AA53" s="162"/>
      <c r="AB53" s="162"/>
      <c r="AC53" s="188"/>
      <c r="AE53" s="113"/>
      <c r="AF53" s="113"/>
      <c r="AG53" s="113"/>
      <c r="AH53" s="113"/>
      <c r="AI53" s="123"/>
      <c r="AJ53" s="113"/>
      <c r="AK53" s="113"/>
      <c r="AL53" s="113"/>
    </row>
    <row r="54" spans="1:38" ht="15.75" customHeight="1">
      <c r="A54" s="113"/>
      <c r="B54" s="610"/>
      <c r="C54" s="176" t="s">
        <v>193</v>
      </c>
      <c r="D54" s="177"/>
      <c r="E54" s="189" t="e">
        <v>#REF!</v>
      </c>
      <c r="F54" s="189" t="e">
        <v>#REF!</v>
      </c>
      <c r="G54" s="190" t="e">
        <v>#REF!</v>
      </c>
      <c r="H54" s="191" t="e">
        <v>#REF!</v>
      </c>
      <c r="I54" s="192" t="e">
        <v>#REF!</v>
      </c>
      <c r="J54" s="113"/>
      <c r="K54" s="227" t="s">
        <v>200</v>
      </c>
      <c r="L54" s="116"/>
      <c r="M54" s="116"/>
      <c r="N54" s="116">
        <f>N52/N$3</f>
        <v>0</v>
      </c>
      <c r="O54" s="116"/>
      <c r="P54" s="116"/>
      <c r="Q54" s="116"/>
      <c r="R54" s="116"/>
      <c r="S54" s="116">
        <f t="shared" si="57"/>
        <v>0</v>
      </c>
      <c r="T54" s="195" t="e">
        <f>H54-S55-S55*0.13+S55*0.117</f>
        <v>#REF!</v>
      </c>
      <c r="U54" s="196" t="e">
        <f t="shared" si="1"/>
        <v>#REF!</v>
      </c>
      <c r="W54" s="174" t="e">
        <f>-S53+V53</f>
        <v>#REF!</v>
      </c>
      <c r="X54" s="174" t="e">
        <f>-L53</f>
        <v>#REF!</v>
      </c>
      <c r="Y54" s="123"/>
      <c r="Z54" s="173" t="e">
        <f t="shared" ref="Z54:AA54" si="59">W54</f>
        <v>#REF!</v>
      </c>
      <c r="AA54" s="174" t="e">
        <f t="shared" si="59"/>
        <v>#REF!</v>
      </c>
      <c r="AB54" s="174">
        <f>-V53</f>
        <v>0</v>
      </c>
      <c r="AC54" s="175">
        <f>-S55-V53</f>
        <v>0</v>
      </c>
      <c r="AE54" s="113"/>
      <c r="AF54" s="113"/>
      <c r="AG54" s="113"/>
      <c r="AH54" s="113"/>
      <c r="AI54" s="123"/>
      <c r="AJ54" s="113"/>
      <c r="AK54" s="113"/>
      <c r="AL54" s="113"/>
    </row>
    <row r="55" spans="1:38" ht="15.75" customHeight="1">
      <c r="A55" s="113"/>
      <c r="B55" s="611"/>
      <c r="C55" s="197" t="s">
        <v>195</v>
      </c>
      <c r="D55" s="198"/>
      <c r="E55" s="199" t="e">
        <v>#REF!</v>
      </c>
      <c r="F55" s="199" t="e">
        <v>#REF!</v>
      </c>
      <c r="G55" s="200" t="e">
        <v>#REF!</v>
      </c>
      <c r="H55" s="201" t="e">
        <v>#REF!</v>
      </c>
      <c r="I55" s="202" t="e">
        <v>#REF!</v>
      </c>
      <c r="J55" s="268"/>
      <c r="K55" s="228" t="s">
        <v>201</v>
      </c>
      <c r="L55" s="204">
        <f>IFERROR(ROUND(L53/L$3,2),)</f>
        <v>0</v>
      </c>
      <c r="M55" s="204"/>
      <c r="N55" s="204">
        <f>IFERROR(ROUND(N53/N$3,2),)</f>
        <v>0</v>
      </c>
      <c r="O55" s="204"/>
      <c r="P55" s="204"/>
      <c r="Q55" s="204"/>
      <c r="R55" s="204"/>
      <c r="S55" s="204">
        <f t="shared" si="57"/>
        <v>0</v>
      </c>
      <c r="T55" s="205" t="e">
        <v>#REF!</v>
      </c>
      <c r="U55" s="206" t="e">
        <f t="shared" si="1"/>
        <v>#REF!</v>
      </c>
      <c r="V55" s="207"/>
      <c r="W55" s="208" t="s">
        <v>196</v>
      </c>
      <c r="X55" s="208" t="s">
        <v>196</v>
      </c>
      <c r="Y55" s="269"/>
      <c r="Z55" s="270"/>
      <c r="AA55" s="269"/>
      <c r="AB55" s="269"/>
      <c r="AC55" s="271"/>
      <c r="AD55" s="123"/>
      <c r="AE55" s="113"/>
      <c r="AF55" s="113"/>
      <c r="AG55" s="113"/>
      <c r="AH55" s="113"/>
      <c r="AI55" s="113"/>
      <c r="AJ55" s="113"/>
      <c r="AK55" s="113"/>
      <c r="AL55" s="113"/>
    </row>
    <row r="56" spans="1:38" ht="15.75" customHeight="1">
      <c r="A56" s="113"/>
      <c r="B56" s="113"/>
      <c r="C56" s="113"/>
      <c r="D56" s="272"/>
      <c r="E56" s="273"/>
      <c r="F56" s="273"/>
      <c r="G56" s="267"/>
      <c r="H56" s="267"/>
      <c r="I56" s="274"/>
      <c r="J56" s="267"/>
      <c r="K56" s="113"/>
      <c r="L56" s="113"/>
      <c r="M56" s="113"/>
      <c r="N56" s="113"/>
      <c r="O56" s="113"/>
      <c r="P56" s="113"/>
      <c r="Q56" s="113"/>
      <c r="R56" s="113"/>
      <c r="S56" s="113"/>
      <c r="T56" s="122"/>
      <c r="W56" s="123"/>
      <c r="X56" s="123"/>
      <c r="Y56" s="123"/>
      <c r="Z56" s="123"/>
      <c r="AA56" s="123"/>
      <c r="AB56" s="123"/>
      <c r="AC56" s="123"/>
      <c r="AD56" s="123"/>
      <c r="AE56" s="113"/>
      <c r="AF56" s="113"/>
      <c r="AG56" s="113"/>
      <c r="AH56" s="113"/>
      <c r="AI56" s="113"/>
      <c r="AJ56" s="113"/>
      <c r="AK56" s="113"/>
      <c r="AL56" s="113"/>
    </row>
    <row r="57" spans="1:38" ht="15.75" customHeight="1">
      <c r="A57" s="113"/>
      <c r="B57" s="113"/>
      <c r="C57" s="113"/>
      <c r="D57" s="272"/>
      <c r="E57" s="273"/>
      <c r="F57" s="273"/>
      <c r="G57" s="267"/>
      <c r="H57" s="267"/>
      <c r="I57" s="274"/>
      <c r="J57" s="267"/>
      <c r="K57" s="113"/>
      <c r="L57" s="113"/>
      <c r="M57" s="113"/>
      <c r="N57" s="113"/>
      <c r="O57" s="113"/>
      <c r="P57" s="113"/>
      <c r="Q57" s="113"/>
      <c r="R57" s="113"/>
      <c r="S57" s="113"/>
      <c r="T57" s="122"/>
      <c r="W57" s="123"/>
      <c r="X57" s="123"/>
      <c r="Y57" s="123"/>
      <c r="Z57" s="123"/>
      <c r="AA57" s="123"/>
      <c r="AB57" s="123"/>
      <c r="AC57" s="123"/>
      <c r="AD57" s="123"/>
      <c r="AE57" s="113"/>
      <c r="AF57" s="113"/>
      <c r="AG57" s="113"/>
      <c r="AH57" s="113"/>
      <c r="AI57" s="113"/>
      <c r="AJ57" s="113"/>
      <c r="AK57" s="113"/>
      <c r="AL57" s="113"/>
    </row>
    <row r="58" spans="1:38" ht="15.75" customHeight="1">
      <c r="A58" s="113"/>
      <c r="B58" s="113"/>
      <c r="C58" s="113"/>
      <c r="D58" s="272"/>
      <c r="E58" s="272"/>
      <c r="F58" s="272"/>
      <c r="G58" s="113"/>
      <c r="H58" s="113"/>
      <c r="I58" s="275"/>
      <c r="J58" s="267"/>
      <c r="K58" s="113"/>
      <c r="L58" s="113"/>
      <c r="M58" s="113"/>
      <c r="N58" s="113"/>
      <c r="O58" s="113"/>
      <c r="P58" s="113"/>
      <c r="Q58" s="113"/>
      <c r="R58" s="113"/>
      <c r="S58" s="113"/>
      <c r="T58" s="122"/>
      <c r="W58" s="123"/>
      <c r="X58" s="123"/>
      <c r="Y58" s="123"/>
      <c r="Z58" s="123"/>
      <c r="AA58" s="123"/>
      <c r="AB58" s="123"/>
      <c r="AC58" s="123"/>
      <c r="AD58" s="123"/>
      <c r="AE58" s="113"/>
      <c r="AF58" s="113"/>
      <c r="AG58" s="113"/>
      <c r="AH58" s="113"/>
      <c r="AI58" s="113"/>
      <c r="AJ58" s="113"/>
      <c r="AK58" s="113"/>
      <c r="AL58" s="113"/>
    </row>
    <row r="59" spans="1:38" ht="15.75" customHeight="1">
      <c r="A59" s="113"/>
      <c r="B59" s="113"/>
      <c r="C59" s="276"/>
      <c r="D59" s="272"/>
      <c r="E59" s="277"/>
      <c r="F59" s="277"/>
      <c r="G59" s="278"/>
      <c r="H59" s="278"/>
      <c r="I59" s="279"/>
      <c r="J59" s="267"/>
      <c r="K59" s="113"/>
      <c r="L59" s="113"/>
      <c r="M59" s="113"/>
      <c r="N59" s="113"/>
      <c r="O59" s="113"/>
      <c r="P59" s="113"/>
      <c r="Q59" s="113"/>
      <c r="R59" s="113"/>
      <c r="S59" s="113"/>
      <c r="T59" s="122"/>
      <c r="W59" s="123"/>
      <c r="X59" s="123"/>
      <c r="Y59" s="123"/>
      <c r="Z59" s="123"/>
      <c r="AA59" s="123"/>
      <c r="AB59" s="123"/>
      <c r="AC59" s="123"/>
      <c r="AD59" s="123"/>
      <c r="AE59" s="113"/>
      <c r="AF59" s="113"/>
      <c r="AG59" s="113"/>
      <c r="AH59" s="113"/>
      <c r="AI59" s="113"/>
      <c r="AJ59" s="113"/>
      <c r="AK59" s="113"/>
      <c r="AL59" s="113"/>
    </row>
    <row r="60" spans="1:38" ht="15.75" customHeight="1">
      <c r="A60" s="113"/>
      <c r="B60" s="113"/>
      <c r="C60" s="113"/>
      <c r="D60" s="272"/>
      <c r="E60" s="272"/>
      <c r="F60" s="272"/>
      <c r="G60" s="113"/>
      <c r="H60" s="113"/>
      <c r="I60" s="275"/>
      <c r="J60" s="267"/>
      <c r="K60" s="113"/>
      <c r="L60" s="113"/>
      <c r="M60" s="113"/>
      <c r="N60" s="113"/>
      <c r="O60" s="113"/>
      <c r="P60" s="113"/>
      <c r="Q60" s="113"/>
      <c r="R60" s="113"/>
      <c r="S60" s="113"/>
      <c r="T60" s="122"/>
      <c r="W60" s="123"/>
      <c r="X60" s="123"/>
      <c r="Y60" s="123"/>
      <c r="Z60" s="123"/>
      <c r="AA60" s="123"/>
      <c r="AB60" s="123"/>
      <c r="AC60" s="123"/>
      <c r="AD60" s="123"/>
      <c r="AE60" s="113"/>
      <c r="AF60" s="113"/>
      <c r="AG60" s="113"/>
      <c r="AH60" s="113"/>
      <c r="AI60" s="113"/>
      <c r="AJ60" s="113"/>
      <c r="AK60" s="113"/>
      <c r="AL60" s="113"/>
    </row>
    <row r="61" spans="1:38" ht="15.75" customHeight="1">
      <c r="A61" s="113"/>
      <c r="B61" s="113"/>
      <c r="C61" s="113"/>
      <c r="D61" s="272"/>
      <c r="E61" s="273"/>
      <c r="F61" s="273"/>
      <c r="G61" s="267"/>
      <c r="H61" s="267"/>
      <c r="I61" s="274"/>
      <c r="J61" s="267"/>
      <c r="K61" s="113"/>
      <c r="L61" s="113"/>
      <c r="M61" s="113"/>
      <c r="N61" s="113"/>
      <c r="O61" s="113"/>
      <c r="P61" s="113"/>
      <c r="Q61" s="113"/>
      <c r="R61" s="113"/>
      <c r="S61" s="113"/>
      <c r="T61" s="122"/>
      <c r="W61" s="123"/>
      <c r="X61" s="123"/>
      <c r="Y61" s="123"/>
      <c r="Z61" s="123"/>
      <c r="AA61" s="123"/>
      <c r="AB61" s="123"/>
      <c r="AC61" s="123"/>
      <c r="AD61" s="123"/>
      <c r="AE61" s="113"/>
      <c r="AF61" s="113"/>
      <c r="AG61" s="113"/>
      <c r="AH61" s="113"/>
      <c r="AI61" s="113"/>
      <c r="AJ61" s="113"/>
      <c r="AK61" s="113"/>
      <c r="AL61" s="113"/>
    </row>
    <row r="62" spans="1:38" ht="15.75" customHeight="1">
      <c r="A62" s="113"/>
      <c r="B62" s="113"/>
      <c r="C62" s="113"/>
      <c r="D62" s="272"/>
      <c r="E62" s="273"/>
      <c r="F62" s="273"/>
      <c r="G62" s="267"/>
      <c r="H62" s="267"/>
      <c r="I62" s="274"/>
      <c r="J62" s="267"/>
      <c r="K62" s="113"/>
      <c r="L62" s="113"/>
      <c r="M62" s="113"/>
      <c r="N62" s="113"/>
      <c r="O62" s="113"/>
      <c r="P62" s="113"/>
      <c r="Q62" s="113"/>
      <c r="R62" s="113"/>
      <c r="S62" s="113"/>
      <c r="T62" s="122"/>
      <c r="W62" s="123"/>
      <c r="X62" s="123"/>
      <c r="Y62" s="123"/>
      <c r="Z62" s="123"/>
      <c r="AA62" s="123"/>
      <c r="AB62" s="123"/>
      <c r="AC62" s="123"/>
      <c r="AD62" s="123"/>
      <c r="AE62" s="113"/>
      <c r="AF62" s="113"/>
      <c r="AG62" s="113"/>
      <c r="AH62" s="113"/>
      <c r="AI62" s="113"/>
      <c r="AJ62" s="113"/>
      <c r="AK62" s="113"/>
      <c r="AL62" s="113"/>
    </row>
    <row r="63" spans="1:38" ht="15.75" customHeight="1">
      <c r="A63" s="113"/>
      <c r="B63" s="113"/>
      <c r="C63" s="113"/>
      <c r="D63" s="272"/>
      <c r="E63" s="273"/>
      <c r="F63" s="273"/>
      <c r="G63" s="267"/>
      <c r="H63" s="267"/>
      <c r="I63" s="274"/>
      <c r="J63" s="113"/>
      <c r="K63" s="113"/>
      <c r="L63" s="113"/>
      <c r="M63" s="113"/>
      <c r="N63" s="113"/>
      <c r="O63" s="113"/>
      <c r="P63" s="113"/>
      <c r="Q63" s="113"/>
      <c r="R63" s="113"/>
      <c r="S63" s="113"/>
      <c r="T63" s="122"/>
      <c r="W63" s="123"/>
      <c r="X63" s="123"/>
      <c r="Y63" s="123"/>
      <c r="Z63" s="123"/>
      <c r="AA63" s="123"/>
      <c r="AB63" s="123"/>
      <c r="AC63" s="123"/>
      <c r="AD63" s="123"/>
      <c r="AE63" s="113"/>
      <c r="AF63" s="113"/>
      <c r="AG63" s="113"/>
      <c r="AH63" s="113"/>
      <c r="AI63" s="113"/>
      <c r="AJ63" s="113"/>
      <c r="AK63" s="113"/>
      <c r="AL63" s="113"/>
    </row>
    <row r="64" spans="1:38" ht="15.75" customHeight="1">
      <c r="A64" s="113"/>
      <c r="B64" s="113"/>
      <c r="C64" s="113"/>
      <c r="D64" s="272"/>
      <c r="E64" s="273"/>
      <c r="F64" s="273"/>
      <c r="G64" s="267"/>
      <c r="H64" s="267"/>
      <c r="I64" s="274"/>
      <c r="J64" s="267"/>
      <c r="K64" s="113"/>
      <c r="L64" s="113"/>
      <c r="M64" s="113"/>
      <c r="N64" s="113"/>
      <c r="O64" s="113"/>
      <c r="P64" s="113"/>
      <c r="Q64" s="113"/>
      <c r="R64" s="113"/>
      <c r="S64" s="113"/>
      <c r="T64" s="122"/>
      <c r="W64" s="123"/>
      <c r="X64" s="123"/>
      <c r="Y64" s="123"/>
      <c r="Z64" s="123"/>
      <c r="AA64" s="123"/>
      <c r="AB64" s="123"/>
      <c r="AC64" s="123"/>
      <c r="AD64" s="123"/>
      <c r="AE64" s="113"/>
      <c r="AF64" s="113"/>
      <c r="AG64" s="113"/>
      <c r="AH64" s="113"/>
      <c r="AI64" s="113"/>
      <c r="AJ64" s="113"/>
      <c r="AK64" s="113"/>
      <c r="AL64" s="113"/>
    </row>
    <row r="65" spans="1:38" ht="15.75" customHeight="1">
      <c r="A65" s="113"/>
      <c r="B65" s="113"/>
      <c r="C65" s="113"/>
      <c r="D65" s="272"/>
      <c r="E65" s="273"/>
      <c r="F65" s="273"/>
      <c r="G65" s="267"/>
      <c r="H65" s="267"/>
      <c r="I65" s="274"/>
      <c r="J65" s="113"/>
      <c r="K65" s="113"/>
      <c r="L65" s="113"/>
      <c r="M65" s="113"/>
      <c r="N65" s="113"/>
      <c r="O65" s="113"/>
      <c r="P65" s="113"/>
      <c r="Q65" s="113"/>
      <c r="R65" s="113"/>
      <c r="S65" s="113"/>
      <c r="T65" s="122"/>
      <c r="W65" s="123"/>
      <c r="X65" s="123"/>
      <c r="Y65" s="123"/>
      <c r="Z65" s="123"/>
      <c r="AA65" s="123"/>
      <c r="AB65" s="123"/>
      <c r="AC65" s="123"/>
      <c r="AD65" s="123"/>
      <c r="AE65" s="113"/>
      <c r="AF65" s="113"/>
      <c r="AG65" s="113"/>
      <c r="AH65" s="113"/>
      <c r="AI65" s="113"/>
      <c r="AJ65" s="113"/>
      <c r="AK65" s="113"/>
      <c r="AL65" s="113"/>
    </row>
    <row r="66" spans="1:38" ht="15.75" customHeight="1">
      <c r="A66" s="113"/>
      <c r="B66" s="113"/>
      <c r="C66" s="113"/>
      <c r="D66" s="272"/>
      <c r="E66" s="273"/>
      <c r="F66" s="273"/>
      <c r="G66" s="267"/>
      <c r="H66" s="267"/>
      <c r="I66" s="274"/>
      <c r="J66" s="267"/>
      <c r="K66" s="113"/>
      <c r="L66" s="113"/>
      <c r="M66" s="113"/>
      <c r="N66" s="113"/>
      <c r="O66" s="113"/>
      <c r="P66" s="113"/>
      <c r="Q66" s="113"/>
      <c r="R66" s="113"/>
      <c r="S66" s="113"/>
      <c r="T66" s="122"/>
      <c r="W66" s="123"/>
      <c r="X66" s="123"/>
      <c r="Y66" s="123"/>
      <c r="Z66" s="123"/>
      <c r="AA66" s="123"/>
      <c r="AB66" s="123"/>
      <c r="AC66" s="123"/>
      <c r="AD66" s="123"/>
      <c r="AE66" s="113"/>
      <c r="AF66" s="113"/>
      <c r="AG66" s="113"/>
      <c r="AH66" s="113"/>
      <c r="AI66" s="113"/>
      <c r="AJ66" s="113"/>
      <c r="AK66" s="113"/>
      <c r="AL66" s="113"/>
    </row>
    <row r="67" spans="1:38" ht="15.75" customHeight="1">
      <c r="A67" s="113"/>
      <c r="B67" s="113"/>
      <c r="C67" s="113"/>
      <c r="D67" s="272"/>
      <c r="E67" s="273"/>
      <c r="F67" s="273"/>
      <c r="G67" s="267"/>
      <c r="H67" s="267"/>
      <c r="I67" s="274"/>
      <c r="J67" s="267"/>
      <c r="K67" s="113"/>
      <c r="L67" s="113"/>
      <c r="M67" s="113"/>
      <c r="N67" s="113"/>
      <c r="O67" s="113"/>
      <c r="P67" s="113"/>
      <c r="Q67" s="113"/>
      <c r="R67" s="113"/>
      <c r="S67" s="113"/>
      <c r="T67" s="122"/>
      <c r="W67" s="123"/>
      <c r="X67" s="123"/>
      <c r="Y67" s="123"/>
      <c r="Z67" s="123"/>
      <c r="AA67" s="123"/>
      <c r="AB67" s="123"/>
      <c r="AC67" s="123"/>
      <c r="AD67" s="123"/>
      <c r="AE67" s="113"/>
      <c r="AF67" s="113"/>
      <c r="AG67" s="113"/>
      <c r="AH67" s="113"/>
      <c r="AI67" s="113"/>
      <c r="AJ67" s="113"/>
      <c r="AK67" s="113"/>
      <c r="AL67" s="113"/>
    </row>
    <row r="68" spans="1:38" ht="15.75" customHeight="1">
      <c r="A68" s="113"/>
      <c r="B68" s="113"/>
      <c r="C68" s="113"/>
      <c r="D68" s="272"/>
      <c r="E68" s="273"/>
      <c r="F68" s="273"/>
      <c r="G68" s="267"/>
      <c r="H68" s="267"/>
      <c r="I68" s="274"/>
      <c r="J68" s="267"/>
      <c r="K68" s="113"/>
      <c r="L68" s="113"/>
      <c r="M68" s="113"/>
      <c r="N68" s="113"/>
      <c r="O68" s="113"/>
      <c r="P68" s="113"/>
      <c r="Q68" s="113"/>
      <c r="R68" s="113"/>
      <c r="S68" s="113"/>
      <c r="T68" s="122"/>
      <c r="W68" s="123"/>
      <c r="X68" s="123"/>
      <c r="Y68" s="123"/>
      <c r="Z68" s="123"/>
      <c r="AA68" s="123"/>
      <c r="AB68" s="123"/>
      <c r="AC68" s="123"/>
      <c r="AD68" s="123"/>
      <c r="AE68" s="113"/>
      <c r="AF68" s="113"/>
      <c r="AG68" s="113"/>
      <c r="AH68" s="113"/>
      <c r="AI68" s="113"/>
      <c r="AJ68" s="113"/>
      <c r="AK68" s="113"/>
      <c r="AL68" s="113"/>
    </row>
    <row r="69" spans="1:38" ht="15.75" customHeight="1">
      <c r="A69" s="113"/>
      <c r="B69" s="113"/>
      <c r="C69" s="113"/>
      <c r="D69" s="272"/>
      <c r="E69" s="272"/>
      <c r="F69" s="272"/>
      <c r="G69" s="113"/>
      <c r="H69" s="113"/>
      <c r="I69" s="275"/>
      <c r="J69" s="267"/>
      <c r="K69" s="113"/>
      <c r="L69" s="113"/>
      <c r="M69" s="113"/>
      <c r="N69" s="113"/>
      <c r="O69" s="113"/>
      <c r="P69" s="113"/>
      <c r="Q69" s="113"/>
      <c r="R69" s="113"/>
      <c r="S69" s="113"/>
      <c r="T69" s="122"/>
      <c r="W69" s="123"/>
      <c r="X69" s="123"/>
      <c r="Y69" s="123"/>
      <c r="Z69" s="123"/>
      <c r="AA69" s="123"/>
      <c r="AB69" s="123"/>
      <c r="AC69" s="123"/>
      <c r="AD69" s="123"/>
      <c r="AE69" s="113"/>
      <c r="AF69" s="113"/>
      <c r="AG69" s="113"/>
      <c r="AH69" s="113"/>
      <c r="AI69" s="113"/>
      <c r="AJ69" s="113"/>
      <c r="AK69" s="113"/>
      <c r="AL69" s="113"/>
    </row>
    <row r="70" spans="1:38" ht="15.75" customHeight="1">
      <c r="A70" s="113"/>
      <c r="B70" s="113"/>
      <c r="C70" s="113"/>
      <c r="D70" s="272"/>
      <c r="E70" s="272"/>
      <c r="F70" s="272"/>
      <c r="G70" s="113"/>
      <c r="H70" s="113"/>
      <c r="I70" s="275"/>
      <c r="J70" s="267"/>
      <c r="K70" s="113"/>
      <c r="L70" s="113"/>
      <c r="M70" s="113"/>
      <c r="N70" s="113"/>
      <c r="O70" s="113"/>
      <c r="P70" s="113"/>
      <c r="Q70" s="113"/>
      <c r="R70" s="113"/>
      <c r="S70" s="113"/>
      <c r="T70" s="122"/>
      <c r="W70" s="123"/>
      <c r="X70" s="123"/>
      <c r="Y70" s="123"/>
      <c r="Z70" s="123"/>
      <c r="AA70" s="123"/>
      <c r="AB70" s="123"/>
      <c r="AC70" s="123"/>
      <c r="AD70" s="123"/>
      <c r="AE70" s="113"/>
      <c r="AF70" s="113"/>
      <c r="AG70" s="113"/>
      <c r="AH70" s="113"/>
      <c r="AI70" s="113"/>
      <c r="AJ70" s="113"/>
      <c r="AK70" s="113"/>
      <c r="AL70" s="113"/>
    </row>
    <row r="71" spans="1:38" ht="15.75" customHeight="1">
      <c r="A71" s="113"/>
      <c r="B71" s="113"/>
      <c r="C71" s="113"/>
      <c r="D71" s="272"/>
      <c r="E71" s="272"/>
      <c r="F71" s="272"/>
      <c r="G71" s="113"/>
      <c r="H71" s="113"/>
      <c r="I71" s="275"/>
      <c r="J71" s="267"/>
      <c r="K71" s="113"/>
      <c r="L71" s="113"/>
      <c r="M71" s="113"/>
      <c r="N71" s="113"/>
      <c r="O71" s="113"/>
      <c r="P71" s="113"/>
      <c r="Q71" s="113"/>
      <c r="R71" s="113"/>
      <c r="S71" s="113"/>
      <c r="T71" s="122"/>
      <c r="W71" s="123"/>
      <c r="X71" s="123"/>
      <c r="Y71" s="123"/>
      <c r="Z71" s="123"/>
      <c r="AA71" s="123"/>
      <c r="AB71" s="123"/>
      <c r="AC71" s="123"/>
      <c r="AD71" s="123"/>
      <c r="AE71" s="113"/>
      <c r="AF71" s="113"/>
      <c r="AG71" s="113"/>
      <c r="AH71" s="113"/>
      <c r="AI71" s="113"/>
      <c r="AJ71" s="113"/>
      <c r="AK71" s="113"/>
      <c r="AL71" s="113"/>
    </row>
    <row r="72" spans="1:38" ht="15.75" customHeight="1">
      <c r="A72" s="113"/>
      <c r="B72" s="113"/>
      <c r="C72" s="113"/>
      <c r="D72" s="272"/>
      <c r="E72" s="272"/>
      <c r="F72" s="272"/>
      <c r="G72" s="113"/>
      <c r="H72" s="113"/>
      <c r="I72" s="275"/>
      <c r="J72" s="267"/>
      <c r="K72" s="113"/>
      <c r="L72" s="113"/>
      <c r="M72" s="113"/>
      <c r="N72" s="113"/>
      <c r="O72" s="113"/>
      <c r="P72" s="113"/>
      <c r="Q72" s="113"/>
      <c r="R72" s="113"/>
      <c r="S72" s="113"/>
      <c r="T72" s="122"/>
      <c r="W72" s="123"/>
      <c r="X72" s="123"/>
      <c r="Y72" s="123"/>
      <c r="Z72" s="123"/>
      <c r="AA72" s="123"/>
      <c r="AB72" s="123"/>
      <c r="AC72" s="123"/>
      <c r="AD72" s="123"/>
      <c r="AE72" s="113"/>
      <c r="AF72" s="113"/>
      <c r="AG72" s="113"/>
      <c r="AH72" s="113"/>
      <c r="AI72" s="113"/>
      <c r="AJ72" s="113"/>
      <c r="AK72" s="113"/>
      <c r="AL72" s="113"/>
    </row>
    <row r="73" spans="1:38" ht="15.75" customHeight="1">
      <c r="A73" s="113"/>
      <c r="B73" s="113"/>
      <c r="C73" s="113"/>
      <c r="D73" s="272"/>
      <c r="E73" s="272"/>
      <c r="F73" s="272"/>
      <c r="G73" s="113"/>
      <c r="H73" s="113"/>
      <c r="I73" s="275"/>
      <c r="J73" s="267"/>
      <c r="K73" s="113"/>
      <c r="L73" s="113"/>
      <c r="M73" s="113"/>
      <c r="N73" s="113"/>
      <c r="O73" s="113"/>
      <c r="P73" s="113"/>
      <c r="Q73" s="113"/>
      <c r="R73" s="113"/>
      <c r="S73" s="113"/>
      <c r="T73" s="122"/>
      <c r="W73" s="123"/>
      <c r="X73" s="123"/>
      <c r="Y73" s="123"/>
      <c r="Z73" s="123"/>
      <c r="AA73" s="123"/>
      <c r="AB73" s="123"/>
      <c r="AC73" s="123"/>
      <c r="AD73" s="123"/>
      <c r="AE73" s="113"/>
      <c r="AF73" s="113"/>
      <c r="AG73" s="113"/>
      <c r="AH73" s="113"/>
      <c r="AI73" s="113"/>
      <c r="AJ73" s="113"/>
      <c r="AK73" s="113"/>
      <c r="AL73" s="113"/>
    </row>
    <row r="74" spans="1:38" ht="15.75" customHeight="1">
      <c r="A74" s="113"/>
      <c r="B74" s="113"/>
      <c r="C74" s="113"/>
      <c r="D74" s="272"/>
      <c r="E74" s="272"/>
      <c r="F74" s="272"/>
      <c r="G74" s="113"/>
      <c r="H74" s="113"/>
      <c r="I74" s="275"/>
      <c r="J74" s="113"/>
      <c r="K74" s="113"/>
      <c r="L74" s="113"/>
      <c r="M74" s="113"/>
      <c r="N74" s="113"/>
      <c r="O74" s="113"/>
      <c r="P74" s="113"/>
      <c r="Q74" s="113"/>
      <c r="R74" s="113"/>
      <c r="S74" s="113"/>
      <c r="T74" s="122"/>
      <c r="W74" s="123"/>
      <c r="X74" s="123"/>
      <c r="Y74" s="123"/>
      <c r="Z74" s="123"/>
      <c r="AA74" s="123"/>
      <c r="AB74" s="123"/>
      <c r="AC74" s="123"/>
      <c r="AD74" s="123"/>
      <c r="AE74" s="113"/>
      <c r="AF74" s="113"/>
      <c r="AG74" s="113"/>
      <c r="AH74" s="113"/>
      <c r="AI74" s="113"/>
      <c r="AJ74" s="113"/>
      <c r="AK74" s="113"/>
      <c r="AL74" s="113"/>
    </row>
    <row r="75" spans="1:38" ht="15.75" customHeight="1">
      <c r="A75" s="113"/>
      <c r="B75" s="113"/>
      <c r="C75" s="113"/>
      <c r="D75" s="272"/>
      <c r="E75" s="272"/>
      <c r="F75" s="272"/>
      <c r="G75" s="113"/>
      <c r="H75" s="113"/>
      <c r="I75" s="275"/>
      <c r="J75" s="113"/>
      <c r="K75" s="113"/>
      <c r="L75" s="113"/>
      <c r="M75" s="113"/>
      <c r="N75" s="113"/>
      <c r="O75" s="113"/>
      <c r="P75" s="113"/>
      <c r="Q75" s="113"/>
      <c r="R75" s="113"/>
      <c r="S75" s="113"/>
      <c r="T75" s="122"/>
      <c r="W75" s="123"/>
      <c r="X75" s="123"/>
      <c r="Y75" s="123"/>
      <c r="Z75" s="123"/>
      <c r="AA75" s="123"/>
      <c r="AB75" s="123"/>
      <c r="AC75" s="123"/>
      <c r="AD75" s="123"/>
      <c r="AE75" s="113"/>
      <c r="AF75" s="113"/>
      <c r="AG75" s="113"/>
      <c r="AH75" s="113"/>
      <c r="AI75" s="113"/>
      <c r="AJ75" s="113"/>
      <c r="AK75" s="113"/>
      <c r="AL75" s="113"/>
    </row>
    <row r="76" spans="1:38" ht="15.75" customHeight="1">
      <c r="A76" s="113"/>
      <c r="B76" s="113"/>
      <c r="C76" s="113"/>
      <c r="D76" s="272"/>
      <c r="E76" s="272"/>
      <c r="F76" s="272"/>
      <c r="G76" s="113"/>
      <c r="H76" s="113"/>
      <c r="I76" s="275"/>
      <c r="J76" s="113"/>
      <c r="K76" s="113"/>
      <c r="L76" s="113"/>
      <c r="M76" s="113"/>
      <c r="N76" s="113"/>
      <c r="O76" s="113"/>
      <c r="P76" s="113"/>
      <c r="Q76" s="113"/>
      <c r="R76" s="113"/>
      <c r="S76" s="113"/>
      <c r="T76" s="122"/>
      <c r="W76" s="123"/>
      <c r="X76" s="123"/>
      <c r="Y76" s="123"/>
      <c r="Z76" s="123"/>
      <c r="AA76" s="123"/>
      <c r="AB76" s="123"/>
      <c r="AC76" s="123"/>
      <c r="AD76" s="123"/>
      <c r="AE76" s="113"/>
      <c r="AF76" s="113"/>
      <c r="AG76" s="113"/>
      <c r="AH76" s="113"/>
      <c r="AI76" s="113"/>
      <c r="AJ76" s="113"/>
      <c r="AK76" s="113"/>
      <c r="AL76" s="113"/>
    </row>
    <row r="77" spans="1:38" ht="15.75" customHeight="1">
      <c r="A77" s="113"/>
      <c r="B77" s="113"/>
      <c r="C77" s="113"/>
      <c r="D77" s="272"/>
      <c r="E77" s="272"/>
      <c r="F77" s="272"/>
      <c r="G77" s="113"/>
      <c r="H77" s="113"/>
      <c r="I77" s="275"/>
      <c r="J77" s="113"/>
      <c r="K77" s="113"/>
      <c r="L77" s="113"/>
      <c r="M77" s="113"/>
      <c r="N77" s="113"/>
      <c r="O77" s="113"/>
      <c r="P77" s="113"/>
      <c r="Q77" s="113"/>
      <c r="R77" s="113"/>
      <c r="S77" s="113"/>
      <c r="T77" s="122"/>
      <c r="W77" s="123"/>
      <c r="X77" s="123"/>
      <c r="Y77" s="123"/>
      <c r="Z77" s="123"/>
      <c r="AA77" s="123"/>
      <c r="AB77" s="123"/>
      <c r="AC77" s="123"/>
      <c r="AD77" s="123"/>
      <c r="AE77" s="113"/>
      <c r="AF77" s="113"/>
      <c r="AG77" s="113"/>
      <c r="AH77" s="113"/>
      <c r="AI77" s="113"/>
      <c r="AJ77" s="113"/>
      <c r="AK77" s="113"/>
      <c r="AL77" s="113"/>
    </row>
    <row r="78" spans="1:38" ht="15.75" customHeight="1">
      <c r="A78" s="113"/>
      <c r="B78" s="113"/>
      <c r="C78" s="113"/>
      <c r="D78" s="272"/>
      <c r="E78" s="272"/>
      <c r="F78" s="272"/>
      <c r="G78" s="113"/>
      <c r="H78" s="113"/>
      <c r="I78" s="275"/>
      <c r="J78" s="113"/>
      <c r="K78" s="113"/>
      <c r="L78" s="113"/>
      <c r="M78" s="113"/>
      <c r="N78" s="113"/>
      <c r="O78" s="113"/>
      <c r="P78" s="113"/>
      <c r="Q78" s="113"/>
      <c r="R78" s="113"/>
      <c r="S78" s="113"/>
      <c r="T78" s="122"/>
      <c r="W78" s="123"/>
      <c r="X78" s="123"/>
      <c r="Y78" s="123"/>
      <c r="Z78" s="123"/>
      <c r="AA78" s="123"/>
      <c r="AB78" s="123"/>
      <c r="AC78" s="123"/>
      <c r="AD78" s="123"/>
      <c r="AE78" s="113"/>
      <c r="AF78" s="113"/>
      <c r="AG78" s="113"/>
      <c r="AH78" s="113"/>
      <c r="AI78" s="113"/>
      <c r="AJ78" s="113"/>
      <c r="AK78" s="113"/>
      <c r="AL78" s="113"/>
    </row>
    <row r="79" spans="1:38" ht="15.75" customHeight="1">
      <c r="A79" s="113"/>
      <c r="B79" s="113"/>
      <c r="C79" s="113"/>
      <c r="D79" s="272"/>
      <c r="E79" s="272"/>
      <c r="F79" s="272"/>
      <c r="G79" s="113"/>
      <c r="H79" s="113"/>
      <c r="I79" s="275"/>
      <c r="J79" s="113"/>
      <c r="K79" s="113"/>
      <c r="L79" s="113"/>
      <c r="M79" s="113"/>
      <c r="N79" s="113"/>
      <c r="O79" s="113"/>
      <c r="P79" s="113"/>
      <c r="Q79" s="113"/>
      <c r="R79" s="113"/>
      <c r="S79" s="113"/>
      <c r="T79" s="122"/>
      <c r="W79" s="123"/>
      <c r="X79" s="123"/>
      <c r="Y79" s="123"/>
      <c r="Z79" s="123"/>
      <c r="AA79" s="123"/>
      <c r="AB79" s="123"/>
      <c r="AC79" s="123"/>
      <c r="AD79" s="123"/>
      <c r="AE79" s="113"/>
      <c r="AF79" s="113"/>
      <c r="AG79" s="113"/>
      <c r="AH79" s="113"/>
      <c r="AI79" s="113"/>
      <c r="AJ79" s="113"/>
      <c r="AK79" s="113"/>
      <c r="AL79" s="113"/>
    </row>
    <row r="80" spans="1:38" ht="15.75" customHeight="1">
      <c r="A80" s="113"/>
      <c r="B80" s="113"/>
      <c r="C80" s="113"/>
      <c r="D80" s="272"/>
      <c r="E80" s="272"/>
      <c r="F80" s="272"/>
      <c r="G80" s="113"/>
      <c r="H80" s="113"/>
      <c r="I80" s="275"/>
      <c r="J80" s="113"/>
      <c r="K80" s="113"/>
      <c r="L80" s="113"/>
      <c r="M80" s="113"/>
      <c r="N80" s="113"/>
      <c r="O80" s="113"/>
      <c r="P80" s="113"/>
      <c r="Q80" s="113"/>
      <c r="R80" s="113"/>
      <c r="S80" s="113"/>
      <c r="T80" s="122"/>
      <c r="W80" s="123"/>
      <c r="X80" s="123"/>
      <c r="Y80" s="123"/>
      <c r="Z80" s="123"/>
      <c r="AA80" s="123"/>
      <c r="AB80" s="123"/>
      <c r="AC80" s="123"/>
      <c r="AD80" s="123"/>
      <c r="AE80" s="113"/>
      <c r="AF80" s="113"/>
      <c r="AG80" s="113"/>
      <c r="AH80" s="113"/>
      <c r="AI80" s="113"/>
      <c r="AJ80" s="113"/>
      <c r="AK80" s="113"/>
      <c r="AL80" s="113"/>
    </row>
    <row r="81" spans="1:38" ht="15.75" customHeight="1">
      <c r="A81" s="113"/>
      <c r="B81" s="113"/>
      <c r="C81" s="113"/>
      <c r="D81" s="272"/>
      <c r="E81" s="272"/>
      <c r="F81" s="272"/>
      <c r="G81" s="113"/>
      <c r="H81" s="113"/>
      <c r="I81" s="275"/>
      <c r="J81" s="113"/>
      <c r="K81" s="113"/>
      <c r="L81" s="113"/>
      <c r="M81" s="113"/>
      <c r="N81" s="113"/>
      <c r="O81" s="113"/>
      <c r="P81" s="113"/>
      <c r="Q81" s="113"/>
      <c r="R81" s="113"/>
      <c r="S81" s="113"/>
      <c r="T81" s="122"/>
      <c r="W81" s="123"/>
      <c r="X81" s="123"/>
      <c r="Y81" s="123"/>
      <c r="Z81" s="123"/>
      <c r="AA81" s="123"/>
      <c r="AB81" s="123"/>
      <c r="AC81" s="123"/>
      <c r="AD81" s="123"/>
      <c r="AE81" s="113"/>
      <c r="AF81" s="113"/>
      <c r="AG81" s="113"/>
      <c r="AH81" s="113"/>
      <c r="AI81" s="113"/>
      <c r="AJ81" s="113"/>
      <c r="AK81" s="113"/>
      <c r="AL81" s="113"/>
    </row>
    <row r="82" spans="1:38" ht="15.75" customHeight="1">
      <c r="A82" s="113"/>
      <c r="B82" s="113"/>
      <c r="C82" s="113"/>
      <c r="D82" s="272"/>
      <c r="E82" s="272"/>
      <c r="F82" s="272"/>
      <c r="G82" s="113"/>
      <c r="H82" s="113"/>
      <c r="I82" s="275"/>
      <c r="J82" s="113"/>
      <c r="K82" s="113"/>
      <c r="L82" s="113"/>
      <c r="M82" s="113"/>
      <c r="N82" s="113"/>
      <c r="O82" s="113"/>
      <c r="P82" s="113"/>
      <c r="Q82" s="113"/>
      <c r="R82" s="113"/>
      <c r="S82" s="113"/>
      <c r="T82" s="122"/>
      <c r="W82" s="123"/>
      <c r="X82" s="123"/>
      <c r="Y82" s="123"/>
      <c r="Z82" s="123"/>
      <c r="AA82" s="123"/>
      <c r="AB82" s="123"/>
      <c r="AC82" s="123"/>
      <c r="AD82" s="123"/>
      <c r="AE82" s="113"/>
      <c r="AF82" s="113"/>
      <c r="AG82" s="113"/>
      <c r="AH82" s="113"/>
      <c r="AI82" s="113"/>
      <c r="AJ82" s="113"/>
      <c r="AK82" s="113"/>
      <c r="AL82" s="113"/>
    </row>
    <row r="83" spans="1:38" ht="15.75" customHeight="1">
      <c r="A83" s="113"/>
      <c r="B83" s="113"/>
      <c r="C83" s="113"/>
      <c r="D83" s="272"/>
      <c r="E83" s="272"/>
      <c r="F83" s="272"/>
      <c r="G83" s="113"/>
      <c r="H83" s="113"/>
      <c r="I83" s="275"/>
      <c r="J83" s="113"/>
      <c r="K83" s="113"/>
      <c r="L83" s="113"/>
      <c r="M83" s="113"/>
      <c r="N83" s="113"/>
      <c r="O83" s="113"/>
      <c r="P83" s="113"/>
      <c r="Q83" s="113"/>
      <c r="R83" s="113"/>
      <c r="S83" s="113"/>
      <c r="T83" s="122"/>
      <c r="W83" s="123"/>
      <c r="X83" s="123"/>
      <c r="Y83" s="123"/>
      <c r="Z83" s="123"/>
      <c r="AA83" s="123"/>
      <c r="AB83" s="123"/>
      <c r="AC83" s="123"/>
      <c r="AD83" s="123"/>
      <c r="AE83" s="113"/>
      <c r="AF83" s="113"/>
      <c r="AG83" s="113"/>
      <c r="AH83" s="113"/>
      <c r="AI83" s="113"/>
      <c r="AJ83" s="113"/>
      <c r="AK83" s="113"/>
      <c r="AL83" s="113"/>
    </row>
    <row r="84" spans="1:38" ht="15.75" customHeight="1">
      <c r="A84" s="113"/>
      <c r="B84" s="113"/>
      <c r="C84" s="113"/>
      <c r="D84" s="272"/>
      <c r="E84" s="272"/>
      <c r="F84" s="272"/>
      <c r="G84" s="113"/>
      <c r="H84" s="113"/>
      <c r="I84" s="275"/>
      <c r="J84" s="113"/>
      <c r="K84" s="113"/>
      <c r="L84" s="113"/>
      <c r="M84" s="113"/>
      <c r="N84" s="113"/>
      <c r="O84" s="113"/>
      <c r="P84" s="113"/>
      <c r="Q84" s="113"/>
      <c r="R84" s="113"/>
      <c r="S84" s="113"/>
      <c r="T84" s="122"/>
      <c r="W84" s="123"/>
      <c r="X84" s="123"/>
      <c r="Y84" s="123"/>
      <c r="Z84" s="123"/>
      <c r="AA84" s="123"/>
      <c r="AB84" s="123"/>
      <c r="AC84" s="123"/>
      <c r="AD84" s="123"/>
      <c r="AE84" s="113"/>
      <c r="AF84" s="113"/>
      <c r="AG84" s="113"/>
      <c r="AH84" s="113"/>
      <c r="AI84" s="113"/>
      <c r="AJ84" s="113"/>
      <c r="AK84" s="113"/>
      <c r="AL84" s="113"/>
    </row>
    <row r="85" spans="1:38" ht="15.75" customHeight="1">
      <c r="A85" s="113"/>
      <c r="B85" s="113"/>
      <c r="C85" s="113"/>
      <c r="D85" s="272"/>
      <c r="E85" s="272"/>
      <c r="F85" s="272"/>
      <c r="G85" s="113"/>
      <c r="H85" s="113"/>
      <c r="I85" s="275"/>
      <c r="J85" s="113"/>
      <c r="K85" s="113"/>
      <c r="L85" s="113"/>
      <c r="M85" s="113"/>
      <c r="N85" s="113"/>
      <c r="O85" s="113"/>
      <c r="P85" s="113"/>
      <c r="Q85" s="113"/>
      <c r="R85" s="113"/>
      <c r="S85" s="113"/>
      <c r="T85" s="122"/>
      <c r="W85" s="123"/>
      <c r="X85" s="123"/>
      <c r="Y85" s="123"/>
      <c r="Z85" s="123"/>
      <c r="AA85" s="123"/>
      <c r="AB85" s="123"/>
      <c r="AC85" s="123"/>
      <c r="AD85" s="123"/>
      <c r="AE85" s="113"/>
      <c r="AF85" s="113"/>
      <c r="AG85" s="113"/>
      <c r="AH85" s="113"/>
      <c r="AI85" s="113"/>
      <c r="AJ85" s="113"/>
      <c r="AK85" s="113"/>
      <c r="AL85" s="113"/>
    </row>
    <row r="86" spans="1:38" ht="15.75" customHeight="1">
      <c r="A86" s="113"/>
      <c r="B86" s="113"/>
      <c r="C86" s="113"/>
      <c r="D86" s="272"/>
      <c r="E86" s="272"/>
      <c r="F86" s="272"/>
      <c r="G86" s="113"/>
      <c r="H86" s="113"/>
      <c r="I86" s="275"/>
      <c r="J86" s="113"/>
      <c r="K86" s="113"/>
      <c r="L86" s="113"/>
      <c r="M86" s="113"/>
      <c r="N86" s="113"/>
      <c r="O86" s="113"/>
      <c r="P86" s="113"/>
      <c r="Q86" s="113"/>
      <c r="R86" s="113"/>
      <c r="S86" s="113"/>
      <c r="T86" s="122"/>
      <c r="W86" s="123"/>
      <c r="X86" s="123"/>
      <c r="Y86" s="123"/>
      <c r="Z86" s="123"/>
      <c r="AA86" s="123"/>
      <c r="AB86" s="123"/>
      <c r="AC86" s="123"/>
      <c r="AD86" s="123"/>
      <c r="AE86" s="113"/>
      <c r="AF86" s="113"/>
      <c r="AG86" s="113"/>
      <c r="AH86" s="113"/>
      <c r="AI86" s="113"/>
      <c r="AJ86" s="113"/>
      <c r="AK86" s="113"/>
      <c r="AL86" s="113"/>
    </row>
    <row r="87" spans="1:38" ht="15.75" customHeight="1">
      <c r="A87" s="113"/>
      <c r="B87" s="113"/>
      <c r="C87" s="113"/>
      <c r="D87" s="272"/>
      <c r="E87" s="272"/>
      <c r="F87" s="272"/>
      <c r="G87" s="113"/>
      <c r="H87" s="113"/>
      <c r="I87" s="275"/>
      <c r="J87" s="113"/>
      <c r="K87" s="113"/>
      <c r="L87" s="113"/>
      <c r="M87" s="113"/>
      <c r="N87" s="113"/>
      <c r="O87" s="113"/>
      <c r="P87" s="113"/>
      <c r="Q87" s="113"/>
      <c r="R87" s="113"/>
      <c r="S87" s="113"/>
      <c r="T87" s="122"/>
      <c r="W87" s="123"/>
      <c r="X87" s="123"/>
      <c r="Y87" s="123"/>
      <c r="Z87" s="123"/>
      <c r="AA87" s="123"/>
      <c r="AB87" s="123"/>
      <c r="AC87" s="123"/>
      <c r="AD87" s="123"/>
      <c r="AE87" s="113"/>
      <c r="AF87" s="113"/>
      <c r="AG87" s="113"/>
      <c r="AH87" s="113"/>
      <c r="AI87" s="113"/>
      <c r="AJ87" s="113"/>
      <c r="AK87" s="113"/>
      <c r="AL87" s="113"/>
    </row>
    <row r="88" spans="1:38" ht="15.75" customHeight="1">
      <c r="A88" s="113"/>
      <c r="B88" s="113"/>
      <c r="C88" s="113"/>
      <c r="D88" s="272"/>
      <c r="E88" s="272"/>
      <c r="F88" s="272"/>
      <c r="G88" s="113"/>
      <c r="H88" s="113"/>
      <c r="I88" s="275"/>
      <c r="J88" s="113"/>
      <c r="K88" s="113"/>
      <c r="L88" s="113"/>
      <c r="M88" s="113"/>
      <c r="N88" s="113"/>
      <c r="O88" s="113"/>
      <c r="P88" s="113"/>
      <c r="Q88" s="113"/>
      <c r="R88" s="113"/>
      <c r="S88" s="113"/>
      <c r="T88" s="122"/>
      <c r="W88" s="123"/>
      <c r="X88" s="123"/>
      <c r="Y88" s="123"/>
      <c r="Z88" s="123"/>
      <c r="AA88" s="123"/>
      <c r="AB88" s="123"/>
      <c r="AC88" s="123"/>
      <c r="AD88" s="123"/>
      <c r="AE88" s="113"/>
      <c r="AF88" s="113"/>
      <c r="AG88" s="113"/>
      <c r="AH88" s="113"/>
      <c r="AI88" s="113"/>
      <c r="AJ88" s="113"/>
      <c r="AK88" s="113"/>
      <c r="AL88" s="113"/>
    </row>
    <row r="89" spans="1:38" ht="15.75" customHeight="1">
      <c r="A89" s="113"/>
      <c r="B89" s="113"/>
      <c r="C89" s="113"/>
      <c r="D89" s="272"/>
      <c r="E89" s="272"/>
      <c r="F89" s="272"/>
      <c r="G89" s="113"/>
      <c r="H89" s="113"/>
      <c r="I89" s="275"/>
      <c r="J89" s="113"/>
      <c r="K89" s="113"/>
      <c r="L89" s="113"/>
      <c r="M89" s="113"/>
      <c r="N89" s="113"/>
      <c r="O89" s="113"/>
      <c r="P89" s="113"/>
      <c r="Q89" s="113"/>
      <c r="R89" s="113"/>
      <c r="S89" s="113"/>
      <c r="T89" s="122"/>
      <c r="W89" s="123"/>
      <c r="X89" s="123"/>
      <c r="Y89" s="123"/>
      <c r="Z89" s="123"/>
      <c r="AA89" s="123"/>
      <c r="AB89" s="123"/>
      <c r="AC89" s="123"/>
      <c r="AD89" s="123"/>
      <c r="AE89" s="113"/>
      <c r="AF89" s="113"/>
      <c r="AG89" s="113"/>
      <c r="AH89" s="113"/>
      <c r="AI89" s="113"/>
      <c r="AJ89" s="113"/>
      <c r="AK89" s="113"/>
      <c r="AL89" s="113"/>
    </row>
    <row r="90" spans="1:38" ht="15.75" customHeight="1">
      <c r="A90" s="113"/>
      <c r="B90" s="113"/>
      <c r="C90" s="113"/>
      <c r="D90" s="272"/>
      <c r="E90" s="272"/>
      <c r="F90" s="272"/>
      <c r="G90" s="113"/>
      <c r="H90" s="113"/>
      <c r="I90" s="275"/>
      <c r="J90" s="113"/>
      <c r="K90" s="113"/>
      <c r="L90" s="113"/>
      <c r="M90" s="113"/>
      <c r="N90" s="113"/>
      <c r="O90" s="113"/>
      <c r="P90" s="113"/>
      <c r="Q90" s="113"/>
      <c r="R90" s="113"/>
      <c r="S90" s="113"/>
      <c r="T90" s="122"/>
      <c r="W90" s="123"/>
      <c r="X90" s="123"/>
      <c r="Y90" s="123"/>
      <c r="Z90" s="123"/>
      <c r="AA90" s="123"/>
      <c r="AB90" s="123"/>
      <c r="AC90" s="123"/>
      <c r="AD90" s="123"/>
      <c r="AE90" s="113"/>
      <c r="AF90" s="113"/>
      <c r="AG90" s="113"/>
      <c r="AH90" s="113"/>
      <c r="AI90" s="113"/>
      <c r="AJ90" s="113"/>
      <c r="AK90" s="113"/>
      <c r="AL90" s="113"/>
    </row>
    <row r="91" spans="1:38" ht="15.75" customHeight="1">
      <c r="A91" s="113"/>
      <c r="B91" s="113"/>
      <c r="C91" s="113"/>
      <c r="D91" s="272"/>
      <c r="E91" s="272"/>
      <c r="F91" s="272"/>
      <c r="G91" s="113"/>
      <c r="H91" s="113"/>
      <c r="I91" s="275"/>
      <c r="J91" s="113"/>
      <c r="K91" s="113"/>
      <c r="L91" s="113"/>
      <c r="M91" s="113"/>
      <c r="N91" s="113"/>
      <c r="O91" s="113"/>
      <c r="P91" s="113"/>
      <c r="Q91" s="113"/>
      <c r="R91" s="113"/>
      <c r="S91" s="113"/>
      <c r="T91" s="122"/>
      <c r="W91" s="123"/>
      <c r="X91" s="123"/>
      <c r="Y91" s="123"/>
      <c r="Z91" s="123"/>
      <c r="AA91" s="123"/>
      <c r="AB91" s="123"/>
      <c r="AC91" s="123"/>
      <c r="AD91" s="123"/>
      <c r="AE91" s="113"/>
      <c r="AF91" s="113"/>
      <c r="AG91" s="113"/>
      <c r="AH91" s="113"/>
      <c r="AI91" s="113"/>
      <c r="AJ91" s="113"/>
      <c r="AK91" s="113"/>
      <c r="AL91" s="113"/>
    </row>
    <row r="92" spans="1:38" ht="15.75" customHeight="1">
      <c r="A92" s="113"/>
      <c r="B92" s="113"/>
      <c r="C92" s="113"/>
      <c r="D92" s="272"/>
      <c r="E92" s="272"/>
      <c r="F92" s="272"/>
      <c r="G92" s="113"/>
      <c r="H92" s="113"/>
      <c r="I92" s="275"/>
      <c r="J92" s="113"/>
      <c r="K92" s="113"/>
      <c r="L92" s="113"/>
      <c r="M92" s="113"/>
      <c r="N92" s="113"/>
      <c r="O92" s="113"/>
      <c r="P92" s="113"/>
      <c r="Q92" s="113"/>
      <c r="R92" s="113"/>
      <c r="S92" s="113"/>
      <c r="T92" s="122"/>
      <c r="W92" s="123"/>
      <c r="X92" s="123"/>
      <c r="Y92" s="123"/>
      <c r="Z92" s="123"/>
      <c r="AA92" s="123"/>
      <c r="AB92" s="123"/>
      <c r="AC92" s="123"/>
      <c r="AD92" s="123"/>
      <c r="AE92" s="113"/>
      <c r="AF92" s="113"/>
      <c r="AG92" s="113"/>
      <c r="AH92" s="113"/>
      <c r="AI92" s="113"/>
      <c r="AJ92" s="113"/>
      <c r="AK92" s="113"/>
      <c r="AL92" s="113"/>
    </row>
    <row r="93" spans="1:38" ht="15.75" customHeight="1">
      <c r="A93" s="113"/>
      <c r="B93" s="113"/>
      <c r="C93" s="113"/>
      <c r="D93" s="272"/>
      <c r="E93" s="272"/>
      <c r="F93" s="272"/>
      <c r="G93" s="113"/>
      <c r="H93" s="113"/>
      <c r="I93" s="275"/>
      <c r="J93" s="113"/>
      <c r="K93" s="113"/>
      <c r="L93" s="113"/>
      <c r="M93" s="113"/>
      <c r="N93" s="113"/>
      <c r="O93" s="113"/>
      <c r="P93" s="113"/>
      <c r="Q93" s="113"/>
      <c r="R93" s="113"/>
      <c r="S93" s="113"/>
      <c r="T93" s="122"/>
      <c r="W93" s="123"/>
      <c r="X93" s="123"/>
      <c r="Y93" s="123"/>
      <c r="Z93" s="123"/>
      <c r="AA93" s="123"/>
      <c r="AB93" s="123"/>
      <c r="AC93" s="123"/>
      <c r="AD93" s="123"/>
      <c r="AE93" s="113"/>
      <c r="AF93" s="113"/>
      <c r="AG93" s="113"/>
      <c r="AH93" s="113"/>
      <c r="AI93" s="113"/>
      <c r="AJ93" s="113"/>
      <c r="AK93" s="113"/>
      <c r="AL93" s="113"/>
    </row>
    <row r="94" spans="1:38" ht="15.75" customHeight="1">
      <c r="A94" s="113"/>
      <c r="B94" s="113"/>
      <c r="C94" s="113"/>
      <c r="D94" s="272"/>
      <c r="E94" s="272"/>
      <c r="F94" s="272"/>
      <c r="G94" s="113"/>
      <c r="H94" s="113"/>
      <c r="I94" s="275"/>
      <c r="J94" s="113"/>
      <c r="K94" s="113"/>
      <c r="L94" s="113"/>
      <c r="M94" s="113"/>
      <c r="N94" s="113"/>
      <c r="O94" s="113"/>
      <c r="P94" s="113"/>
      <c r="Q94" s="113"/>
      <c r="R94" s="113"/>
      <c r="S94" s="113"/>
      <c r="T94" s="122"/>
      <c r="W94" s="123"/>
      <c r="X94" s="123"/>
      <c r="Y94" s="123"/>
      <c r="Z94" s="123"/>
      <c r="AA94" s="123"/>
      <c r="AB94" s="123"/>
      <c r="AC94" s="123"/>
      <c r="AD94" s="123"/>
      <c r="AE94" s="113"/>
      <c r="AF94" s="113"/>
      <c r="AG94" s="113"/>
      <c r="AH94" s="113"/>
      <c r="AI94" s="113"/>
      <c r="AJ94" s="113"/>
      <c r="AK94" s="113"/>
      <c r="AL94" s="113"/>
    </row>
    <row r="95" spans="1:38" ht="15.75" customHeight="1">
      <c r="A95" s="113"/>
      <c r="B95" s="113"/>
      <c r="C95" s="113"/>
      <c r="D95" s="272"/>
      <c r="E95" s="272"/>
      <c r="F95" s="272"/>
      <c r="G95" s="113"/>
      <c r="H95" s="113"/>
      <c r="I95" s="275"/>
      <c r="J95" s="113"/>
      <c r="K95" s="113"/>
      <c r="L95" s="113"/>
      <c r="M95" s="113"/>
      <c r="N95" s="113"/>
      <c r="O95" s="113"/>
      <c r="P95" s="113"/>
      <c r="Q95" s="113"/>
      <c r="R95" s="113"/>
      <c r="S95" s="113"/>
      <c r="T95" s="122"/>
      <c r="W95" s="123"/>
      <c r="X95" s="123"/>
      <c r="Y95" s="123"/>
      <c r="Z95" s="123"/>
      <c r="AA95" s="123"/>
      <c r="AB95" s="123"/>
      <c r="AC95" s="123"/>
      <c r="AD95" s="123"/>
      <c r="AE95" s="113"/>
      <c r="AF95" s="113"/>
      <c r="AG95" s="113"/>
      <c r="AH95" s="113"/>
      <c r="AI95" s="113"/>
      <c r="AJ95" s="113"/>
      <c r="AK95" s="113"/>
      <c r="AL95" s="113"/>
    </row>
    <row r="96" spans="1:38" ht="15.75" customHeight="1">
      <c r="A96" s="113"/>
      <c r="B96" s="113"/>
      <c r="C96" s="113"/>
      <c r="D96" s="272"/>
      <c r="E96" s="272"/>
      <c r="F96" s="272"/>
      <c r="G96" s="113"/>
      <c r="H96" s="113"/>
      <c r="I96" s="275"/>
      <c r="J96" s="113"/>
      <c r="K96" s="113"/>
      <c r="L96" s="113"/>
      <c r="M96" s="113"/>
      <c r="N96" s="113"/>
      <c r="O96" s="113"/>
      <c r="P96" s="113"/>
      <c r="Q96" s="113"/>
      <c r="R96" s="113"/>
      <c r="S96" s="113"/>
      <c r="T96" s="122"/>
      <c r="W96" s="123"/>
      <c r="X96" s="123"/>
      <c r="Y96" s="123"/>
      <c r="Z96" s="123"/>
      <c r="AA96" s="123"/>
      <c r="AB96" s="123"/>
      <c r="AC96" s="123"/>
      <c r="AD96" s="123"/>
      <c r="AE96" s="113"/>
      <c r="AF96" s="113"/>
      <c r="AG96" s="113"/>
      <c r="AH96" s="113"/>
      <c r="AI96" s="113"/>
      <c r="AJ96" s="113"/>
      <c r="AK96" s="113"/>
      <c r="AL96" s="113"/>
    </row>
    <row r="97" spans="1:38" ht="15.75" customHeight="1">
      <c r="A97" s="113"/>
      <c r="B97" s="113"/>
      <c r="C97" s="113"/>
      <c r="D97" s="272"/>
      <c r="E97" s="272"/>
      <c r="F97" s="272"/>
      <c r="G97" s="113"/>
      <c r="H97" s="113"/>
      <c r="I97" s="275"/>
      <c r="J97" s="113"/>
      <c r="K97" s="113"/>
      <c r="L97" s="113"/>
      <c r="M97" s="113"/>
      <c r="N97" s="113"/>
      <c r="O97" s="113"/>
      <c r="P97" s="113"/>
      <c r="Q97" s="113"/>
      <c r="R97" s="113"/>
      <c r="S97" s="113"/>
      <c r="T97" s="122"/>
      <c r="W97" s="123"/>
      <c r="X97" s="123"/>
      <c r="Y97" s="123"/>
      <c r="Z97" s="123"/>
      <c r="AA97" s="123"/>
      <c r="AB97" s="123"/>
      <c r="AC97" s="123"/>
      <c r="AD97" s="123"/>
      <c r="AE97" s="113"/>
      <c r="AF97" s="113"/>
      <c r="AG97" s="113"/>
      <c r="AH97" s="113"/>
      <c r="AI97" s="113"/>
      <c r="AJ97" s="113"/>
      <c r="AK97" s="113"/>
      <c r="AL97" s="113"/>
    </row>
    <row r="98" spans="1:38" ht="15.75" customHeight="1">
      <c r="A98" s="113"/>
      <c r="B98" s="113"/>
      <c r="C98" s="113"/>
      <c r="D98" s="272"/>
      <c r="E98" s="272"/>
      <c r="F98" s="272"/>
      <c r="G98" s="113"/>
      <c r="H98" s="113"/>
      <c r="I98" s="275"/>
      <c r="J98" s="113"/>
      <c r="K98" s="113"/>
      <c r="L98" s="113"/>
      <c r="M98" s="113"/>
      <c r="N98" s="113"/>
      <c r="O98" s="113"/>
      <c r="P98" s="113"/>
      <c r="Q98" s="113"/>
      <c r="R98" s="113"/>
      <c r="S98" s="113"/>
      <c r="T98" s="122"/>
      <c r="W98" s="123"/>
      <c r="X98" s="123"/>
      <c r="Y98" s="123"/>
      <c r="Z98" s="123"/>
      <c r="AA98" s="123"/>
      <c r="AB98" s="123"/>
      <c r="AC98" s="123"/>
      <c r="AD98" s="123"/>
      <c r="AE98" s="113"/>
      <c r="AF98" s="113"/>
      <c r="AG98" s="113"/>
      <c r="AH98" s="113"/>
      <c r="AI98" s="113"/>
      <c r="AJ98" s="113"/>
      <c r="AK98" s="113"/>
      <c r="AL98" s="113"/>
    </row>
    <row r="99" spans="1:38" ht="15.75" customHeight="1">
      <c r="A99" s="113"/>
      <c r="B99" s="113"/>
      <c r="C99" s="113"/>
      <c r="D99" s="272"/>
      <c r="E99" s="272"/>
      <c r="F99" s="272"/>
      <c r="G99" s="113"/>
      <c r="H99" s="113"/>
      <c r="I99" s="275"/>
      <c r="J99" s="113"/>
      <c r="K99" s="113"/>
      <c r="L99" s="113"/>
      <c r="M99" s="113"/>
      <c r="N99" s="113"/>
      <c r="O99" s="113"/>
      <c r="P99" s="113"/>
      <c r="Q99" s="113"/>
      <c r="R99" s="113"/>
      <c r="S99" s="113"/>
      <c r="T99" s="122"/>
      <c r="W99" s="123"/>
      <c r="X99" s="123"/>
      <c r="Y99" s="123"/>
      <c r="Z99" s="123"/>
      <c r="AA99" s="123"/>
      <c r="AB99" s="123"/>
      <c r="AC99" s="123"/>
      <c r="AD99" s="123"/>
      <c r="AE99" s="113"/>
      <c r="AF99" s="113"/>
      <c r="AG99" s="113"/>
      <c r="AH99" s="113"/>
      <c r="AI99" s="113"/>
      <c r="AJ99" s="113"/>
      <c r="AK99" s="113"/>
      <c r="AL99" s="113"/>
    </row>
    <row r="100" spans="1:38" ht="15.75" customHeight="1">
      <c r="A100" s="113"/>
      <c r="B100" s="113"/>
      <c r="C100" s="113"/>
      <c r="D100" s="272"/>
      <c r="E100" s="272"/>
      <c r="F100" s="272"/>
      <c r="G100" s="113"/>
      <c r="H100" s="113"/>
      <c r="I100" s="275"/>
      <c r="J100" s="113"/>
      <c r="K100" s="113"/>
      <c r="L100" s="113"/>
      <c r="M100" s="113"/>
      <c r="N100" s="113"/>
      <c r="O100" s="113"/>
      <c r="P100" s="113"/>
      <c r="Q100" s="113"/>
      <c r="R100" s="113"/>
      <c r="S100" s="113"/>
      <c r="T100" s="122"/>
      <c r="W100" s="123"/>
      <c r="X100" s="123"/>
      <c r="Y100" s="123"/>
      <c r="Z100" s="123"/>
      <c r="AA100" s="123"/>
      <c r="AB100" s="123"/>
      <c r="AC100" s="123"/>
      <c r="AD100" s="123"/>
      <c r="AE100" s="113"/>
      <c r="AF100" s="113"/>
      <c r="AG100" s="113"/>
      <c r="AH100" s="113"/>
      <c r="AI100" s="113"/>
      <c r="AJ100" s="113"/>
      <c r="AK100" s="113"/>
      <c r="AL100" s="113"/>
    </row>
    <row r="101" spans="1:38" ht="15.75" customHeight="1">
      <c r="A101" s="113"/>
      <c r="B101" s="113"/>
      <c r="C101" s="113"/>
      <c r="D101" s="272"/>
      <c r="E101" s="272"/>
      <c r="F101" s="272"/>
      <c r="G101" s="113"/>
      <c r="H101" s="113"/>
      <c r="I101" s="275"/>
      <c r="J101" s="113"/>
      <c r="K101" s="113"/>
      <c r="L101" s="113"/>
      <c r="M101" s="113"/>
      <c r="N101" s="113"/>
      <c r="O101" s="113"/>
      <c r="P101" s="113"/>
      <c r="Q101" s="113"/>
      <c r="R101" s="113"/>
      <c r="S101" s="113"/>
      <c r="T101" s="122"/>
      <c r="W101" s="123"/>
      <c r="X101" s="123"/>
      <c r="Y101" s="123"/>
      <c r="Z101" s="123"/>
      <c r="AA101" s="123"/>
      <c r="AB101" s="123"/>
      <c r="AC101" s="123"/>
      <c r="AD101" s="123"/>
      <c r="AE101" s="113"/>
      <c r="AF101" s="113"/>
      <c r="AG101" s="113"/>
      <c r="AH101" s="113"/>
      <c r="AI101" s="113"/>
      <c r="AJ101" s="113"/>
      <c r="AK101" s="113"/>
      <c r="AL101" s="113"/>
    </row>
    <row r="102" spans="1:38" ht="15.75" customHeight="1">
      <c r="A102" s="113"/>
      <c r="B102" s="113"/>
      <c r="C102" s="113"/>
      <c r="D102" s="272"/>
      <c r="E102" s="272"/>
      <c r="F102" s="272"/>
      <c r="G102" s="113"/>
      <c r="H102" s="113"/>
      <c r="I102" s="275"/>
      <c r="J102" s="113"/>
      <c r="K102" s="113"/>
      <c r="L102" s="113"/>
      <c r="M102" s="113"/>
      <c r="N102" s="113"/>
      <c r="O102" s="113"/>
      <c r="P102" s="113"/>
      <c r="Q102" s="113"/>
      <c r="R102" s="113"/>
      <c r="S102" s="113"/>
      <c r="T102" s="122"/>
      <c r="W102" s="123"/>
      <c r="X102" s="123"/>
      <c r="Y102" s="123"/>
      <c r="Z102" s="123"/>
      <c r="AA102" s="123"/>
      <c r="AB102" s="123"/>
      <c r="AC102" s="123"/>
      <c r="AD102" s="123"/>
      <c r="AE102" s="113"/>
      <c r="AF102" s="113"/>
      <c r="AG102" s="113"/>
      <c r="AH102" s="113"/>
      <c r="AI102" s="113"/>
      <c r="AJ102" s="113"/>
      <c r="AK102" s="113"/>
      <c r="AL102" s="113"/>
    </row>
    <row r="103" spans="1:38" ht="15.75" customHeight="1">
      <c r="A103" s="113"/>
      <c r="B103" s="113"/>
      <c r="C103" s="113"/>
      <c r="D103" s="272"/>
      <c r="E103" s="272"/>
      <c r="F103" s="272"/>
      <c r="G103" s="113"/>
      <c r="H103" s="113"/>
      <c r="I103" s="275"/>
      <c r="J103" s="113"/>
      <c r="K103" s="113"/>
      <c r="L103" s="113"/>
      <c r="M103" s="113"/>
      <c r="N103" s="113"/>
      <c r="O103" s="113"/>
      <c r="P103" s="113"/>
      <c r="Q103" s="113"/>
      <c r="R103" s="113"/>
      <c r="S103" s="113"/>
      <c r="T103" s="122"/>
      <c r="W103" s="123"/>
      <c r="X103" s="123"/>
      <c r="Y103" s="123"/>
      <c r="Z103" s="123"/>
      <c r="AA103" s="123"/>
      <c r="AB103" s="123"/>
      <c r="AC103" s="123"/>
      <c r="AD103" s="123"/>
      <c r="AE103" s="113"/>
      <c r="AF103" s="113"/>
      <c r="AG103" s="113"/>
      <c r="AH103" s="113"/>
      <c r="AI103" s="113"/>
      <c r="AJ103" s="113"/>
      <c r="AK103" s="113"/>
      <c r="AL103" s="113"/>
    </row>
    <row r="104" spans="1:38" ht="15.75" customHeight="1">
      <c r="A104" s="113"/>
      <c r="B104" s="113"/>
      <c r="C104" s="113"/>
      <c r="D104" s="272"/>
      <c r="E104" s="272"/>
      <c r="F104" s="272"/>
      <c r="G104" s="113"/>
      <c r="H104" s="113"/>
      <c r="I104" s="275"/>
      <c r="J104" s="113"/>
      <c r="K104" s="113"/>
      <c r="L104" s="113"/>
      <c r="M104" s="113"/>
      <c r="N104" s="113"/>
      <c r="O104" s="113"/>
      <c r="P104" s="113"/>
      <c r="Q104" s="113"/>
      <c r="R104" s="113"/>
      <c r="S104" s="113"/>
      <c r="T104" s="122"/>
      <c r="W104" s="123"/>
      <c r="X104" s="123"/>
      <c r="Y104" s="123"/>
      <c r="Z104" s="123"/>
      <c r="AA104" s="123"/>
      <c r="AB104" s="123"/>
      <c r="AC104" s="123"/>
      <c r="AD104" s="123"/>
      <c r="AE104" s="113"/>
      <c r="AF104" s="113"/>
      <c r="AG104" s="113"/>
      <c r="AH104" s="113"/>
      <c r="AI104" s="113"/>
      <c r="AJ104" s="113"/>
      <c r="AK104" s="113"/>
      <c r="AL104" s="113"/>
    </row>
    <row r="105" spans="1:38" ht="15.75" customHeight="1">
      <c r="A105" s="113"/>
      <c r="B105" s="113"/>
      <c r="C105" s="113"/>
      <c r="D105" s="272"/>
      <c r="E105" s="272"/>
      <c r="F105" s="272"/>
      <c r="G105" s="113"/>
      <c r="H105" s="113"/>
      <c r="I105" s="275"/>
      <c r="J105" s="113"/>
      <c r="K105" s="113"/>
      <c r="L105" s="113"/>
      <c r="M105" s="113"/>
      <c r="N105" s="113"/>
      <c r="O105" s="113"/>
      <c r="P105" s="113"/>
      <c r="Q105" s="113"/>
      <c r="R105" s="113"/>
      <c r="S105" s="113"/>
      <c r="T105" s="122"/>
      <c r="W105" s="123"/>
      <c r="X105" s="123"/>
      <c r="Y105" s="123"/>
      <c r="Z105" s="123"/>
      <c r="AA105" s="123"/>
      <c r="AB105" s="123"/>
      <c r="AC105" s="123"/>
      <c r="AD105" s="123"/>
      <c r="AE105" s="113"/>
      <c r="AF105" s="113"/>
      <c r="AG105" s="113"/>
      <c r="AH105" s="113"/>
      <c r="AI105" s="113"/>
      <c r="AJ105" s="113"/>
      <c r="AK105" s="113"/>
      <c r="AL105" s="113"/>
    </row>
    <row r="106" spans="1:38" ht="15.75" customHeight="1">
      <c r="A106" s="113"/>
      <c r="B106" s="113"/>
      <c r="C106" s="113"/>
      <c r="D106" s="272"/>
      <c r="E106" s="272"/>
      <c r="F106" s="272"/>
      <c r="G106" s="113"/>
      <c r="H106" s="113"/>
      <c r="I106" s="275"/>
      <c r="J106" s="113"/>
      <c r="K106" s="113"/>
      <c r="L106" s="113"/>
      <c r="M106" s="113"/>
      <c r="N106" s="113"/>
      <c r="O106" s="113"/>
      <c r="P106" s="113"/>
      <c r="Q106" s="113"/>
      <c r="R106" s="113"/>
      <c r="S106" s="113"/>
      <c r="T106" s="122"/>
      <c r="W106" s="123"/>
      <c r="X106" s="123"/>
      <c r="Y106" s="123"/>
      <c r="Z106" s="123"/>
      <c r="AA106" s="123"/>
      <c r="AB106" s="123"/>
      <c r="AC106" s="123"/>
      <c r="AD106" s="123"/>
      <c r="AE106" s="113"/>
      <c r="AF106" s="113"/>
      <c r="AG106" s="113"/>
      <c r="AH106" s="113"/>
      <c r="AI106" s="113"/>
      <c r="AJ106" s="113"/>
      <c r="AK106" s="113"/>
      <c r="AL106" s="113"/>
    </row>
    <row r="107" spans="1:38" ht="15.75" customHeight="1">
      <c r="A107" s="113"/>
      <c r="B107" s="113"/>
      <c r="C107" s="113"/>
      <c r="D107" s="272"/>
      <c r="E107" s="272"/>
      <c r="F107" s="272"/>
      <c r="G107" s="113"/>
      <c r="H107" s="113"/>
      <c r="I107" s="275"/>
      <c r="J107" s="113"/>
      <c r="K107" s="113"/>
      <c r="L107" s="113"/>
      <c r="M107" s="113"/>
      <c r="N107" s="113"/>
      <c r="O107" s="113"/>
      <c r="P107" s="113"/>
      <c r="Q107" s="113"/>
      <c r="R107" s="113"/>
      <c r="S107" s="113"/>
      <c r="T107" s="122"/>
      <c r="W107" s="123"/>
      <c r="X107" s="123"/>
      <c r="Y107" s="123"/>
      <c r="Z107" s="123"/>
      <c r="AA107" s="123"/>
      <c r="AB107" s="123"/>
      <c r="AC107" s="123"/>
      <c r="AD107" s="123"/>
      <c r="AE107" s="113"/>
      <c r="AF107" s="113"/>
      <c r="AG107" s="113"/>
      <c r="AH107" s="113"/>
      <c r="AI107" s="113"/>
      <c r="AJ107" s="113"/>
      <c r="AK107" s="113"/>
      <c r="AL107" s="113"/>
    </row>
    <row r="108" spans="1:38" ht="15.75" customHeight="1">
      <c r="A108" s="113"/>
      <c r="B108" s="113"/>
      <c r="C108" s="113"/>
      <c r="D108" s="272"/>
      <c r="E108" s="272"/>
      <c r="F108" s="272"/>
      <c r="G108" s="113"/>
      <c r="H108" s="113"/>
      <c r="I108" s="275"/>
      <c r="J108" s="113"/>
      <c r="K108" s="113"/>
      <c r="L108" s="113"/>
      <c r="M108" s="113"/>
      <c r="N108" s="113"/>
      <c r="O108" s="113"/>
      <c r="P108" s="113"/>
      <c r="Q108" s="113"/>
      <c r="R108" s="113"/>
      <c r="S108" s="113"/>
      <c r="T108" s="122"/>
      <c r="W108" s="123"/>
      <c r="X108" s="123"/>
      <c r="Y108" s="123"/>
      <c r="Z108" s="123"/>
      <c r="AA108" s="123"/>
      <c r="AB108" s="123"/>
      <c r="AC108" s="123"/>
      <c r="AD108" s="123"/>
      <c r="AE108" s="113"/>
      <c r="AF108" s="113"/>
      <c r="AG108" s="113"/>
      <c r="AH108" s="113"/>
      <c r="AI108" s="113"/>
      <c r="AJ108" s="113"/>
      <c r="AK108" s="113"/>
      <c r="AL108" s="113"/>
    </row>
    <row r="109" spans="1:38" ht="15.75" customHeight="1">
      <c r="A109" s="113"/>
      <c r="B109" s="113"/>
      <c r="C109" s="113"/>
      <c r="D109" s="272"/>
      <c r="E109" s="272"/>
      <c r="F109" s="272"/>
      <c r="G109" s="113"/>
      <c r="H109" s="113"/>
      <c r="I109" s="275"/>
      <c r="J109" s="113"/>
      <c r="K109" s="113"/>
      <c r="L109" s="113"/>
      <c r="M109" s="113"/>
      <c r="N109" s="113"/>
      <c r="O109" s="113"/>
      <c r="P109" s="113"/>
      <c r="Q109" s="113"/>
      <c r="R109" s="113"/>
      <c r="S109" s="113"/>
      <c r="T109" s="122"/>
      <c r="W109" s="123"/>
      <c r="X109" s="123"/>
      <c r="Y109" s="123"/>
      <c r="Z109" s="123"/>
      <c r="AA109" s="123"/>
      <c r="AB109" s="123"/>
      <c r="AC109" s="123"/>
      <c r="AD109" s="123"/>
      <c r="AE109" s="113"/>
      <c r="AF109" s="113"/>
      <c r="AG109" s="113"/>
      <c r="AH109" s="113"/>
      <c r="AI109" s="113"/>
      <c r="AJ109" s="113"/>
      <c r="AK109" s="113"/>
      <c r="AL109" s="113"/>
    </row>
    <row r="110" spans="1:38" ht="15.75" customHeight="1">
      <c r="A110" s="113"/>
      <c r="B110" s="113"/>
      <c r="C110" s="113"/>
      <c r="D110" s="272"/>
      <c r="E110" s="272"/>
      <c r="F110" s="272"/>
      <c r="G110" s="113"/>
      <c r="H110" s="113"/>
      <c r="I110" s="275"/>
      <c r="J110" s="113"/>
      <c r="K110" s="113"/>
      <c r="L110" s="113"/>
      <c r="M110" s="113"/>
      <c r="N110" s="113"/>
      <c r="O110" s="113"/>
      <c r="P110" s="113"/>
      <c r="Q110" s="113"/>
      <c r="R110" s="113"/>
      <c r="S110" s="113"/>
      <c r="T110" s="122"/>
      <c r="W110" s="123"/>
      <c r="X110" s="123"/>
      <c r="Y110" s="123"/>
      <c r="Z110" s="123"/>
      <c r="AA110" s="123"/>
      <c r="AB110" s="123"/>
      <c r="AC110" s="123"/>
      <c r="AD110" s="123"/>
      <c r="AE110" s="113"/>
      <c r="AF110" s="113"/>
      <c r="AG110" s="113"/>
      <c r="AH110" s="113"/>
      <c r="AI110" s="113"/>
      <c r="AJ110" s="113"/>
      <c r="AK110" s="113"/>
      <c r="AL110" s="113"/>
    </row>
    <row r="111" spans="1:38" ht="15.75" customHeight="1">
      <c r="A111" s="113"/>
      <c r="B111" s="113"/>
      <c r="C111" s="113"/>
      <c r="D111" s="272"/>
      <c r="E111" s="272"/>
      <c r="F111" s="272"/>
      <c r="G111" s="113"/>
      <c r="H111" s="113"/>
      <c r="I111" s="275"/>
      <c r="J111" s="113"/>
      <c r="K111" s="113"/>
      <c r="L111" s="113"/>
      <c r="M111" s="113"/>
      <c r="N111" s="113"/>
      <c r="O111" s="113"/>
      <c r="P111" s="113"/>
      <c r="Q111" s="113"/>
      <c r="R111" s="113"/>
      <c r="S111" s="113"/>
      <c r="T111" s="122"/>
      <c r="W111" s="123"/>
      <c r="X111" s="123"/>
      <c r="Y111" s="123"/>
      <c r="Z111" s="123"/>
      <c r="AA111" s="123"/>
      <c r="AB111" s="123"/>
      <c r="AC111" s="123"/>
      <c r="AD111" s="123"/>
      <c r="AE111" s="113"/>
      <c r="AF111" s="113"/>
      <c r="AG111" s="113"/>
      <c r="AH111" s="113"/>
      <c r="AI111" s="113"/>
      <c r="AJ111" s="113"/>
      <c r="AK111" s="113"/>
      <c r="AL111" s="113"/>
    </row>
    <row r="112" spans="1:38" ht="15.75" customHeight="1">
      <c r="A112" s="113"/>
      <c r="B112" s="113"/>
      <c r="C112" s="113"/>
      <c r="D112" s="272"/>
      <c r="E112" s="272"/>
      <c r="F112" s="272"/>
      <c r="G112" s="113"/>
      <c r="H112" s="113"/>
      <c r="I112" s="275"/>
      <c r="J112" s="113"/>
      <c r="K112" s="113"/>
      <c r="L112" s="113"/>
      <c r="M112" s="113"/>
      <c r="N112" s="113"/>
      <c r="O112" s="113"/>
      <c r="P112" s="113"/>
      <c r="Q112" s="113"/>
      <c r="R112" s="113"/>
      <c r="S112" s="113"/>
      <c r="T112" s="122"/>
      <c r="W112" s="123"/>
      <c r="X112" s="123"/>
      <c r="Y112" s="123"/>
      <c r="Z112" s="123"/>
      <c r="AA112" s="123"/>
      <c r="AB112" s="123"/>
      <c r="AC112" s="123"/>
      <c r="AD112" s="123"/>
      <c r="AE112" s="113"/>
      <c r="AF112" s="113"/>
      <c r="AG112" s="113"/>
      <c r="AH112" s="113"/>
      <c r="AI112" s="113"/>
      <c r="AJ112" s="113"/>
      <c r="AK112" s="113"/>
      <c r="AL112" s="113"/>
    </row>
    <row r="113" spans="1:38" ht="15.75" customHeight="1">
      <c r="A113" s="113"/>
      <c r="B113" s="113"/>
      <c r="C113" s="113"/>
      <c r="D113" s="272"/>
      <c r="E113" s="272"/>
      <c r="F113" s="272"/>
      <c r="G113" s="113"/>
      <c r="H113" s="113"/>
      <c r="I113" s="275"/>
      <c r="J113" s="113"/>
      <c r="K113" s="113"/>
      <c r="L113" s="113"/>
      <c r="M113" s="113"/>
      <c r="N113" s="113"/>
      <c r="O113" s="113"/>
      <c r="P113" s="113"/>
      <c r="Q113" s="113"/>
      <c r="R113" s="113"/>
      <c r="S113" s="113"/>
      <c r="T113" s="122"/>
      <c r="W113" s="123"/>
      <c r="X113" s="123"/>
      <c r="Y113" s="123"/>
      <c r="Z113" s="123"/>
      <c r="AA113" s="123"/>
      <c r="AB113" s="123"/>
      <c r="AC113" s="123"/>
      <c r="AD113" s="123"/>
      <c r="AE113" s="113"/>
      <c r="AF113" s="113"/>
      <c r="AG113" s="113"/>
      <c r="AH113" s="113"/>
      <c r="AI113" s="113"/>
      <c r="AJ113" s="113"/>
      <c r="AK113" s="113"/>
      <c r="AL113" s="113"/>
    </row>
    <row r="114" spans="1:38" ht="15.75" customHeight="1">
      <c r="A114" s="113"/>
      <c r="B114" s="113"/>
      <c r="C114" s="113"/>
      <c r="D114" s="272"/>
      <c r="E114" s="272"/>
      <c r="F114" s="272"/>
      <c r="G114" s="113"/>
      <c r="H114" s="113"/>
      <c r="I114" s="275"/>
      <c r="J114" s="113"/>
      <c r="K114" s="113"/>
      <c r="L114" s="113"/>
      <c r="M114" s="113"/>
      <c r="N114" s="113"/>
      <c r="O114" s="113"/>
      <c r="P114" s="113"/>
      <c r="Q114" s="113"/>
      <c r="R114" s="113"/>
      <c r="S114" s="113"/>
      <c r="T114" s="122"/>
      <c r="W114" s="123"/>
      <c r="X114" s="123"/>
      <c r="Y114" s="123"/>
      <c r="Z114" s="123"/>
      <c r="AA114" s="123"/>
      <c r="AB114" s="123"/>
      <c r="AC114" s="123"/>
      <c r="AD114" s="123"/>
      <c r="AE114" s="113"/>
      <c r="AF114" s="113"/>
      <c r="AG114" s="113"/>
      <c r="AH114" s="113"/>
      <c r="AI114" s="113"/>
      <c r="AJ114" s="113"/>
      <c r="AK114" s="113"/>
      <c r="AL114" s="113"/>
    </row>
    <row r="115" spans="1:38" ht="15.75" customHeight="1">
      <c r="A115" s="113"/>
      <c r="B115" s="113"/>
      <c r="C115" s="113"/>
      <c r="D115" s="272"/>
      <c r="E115" s="272"/>
      <c r="F115" s="272"/>
      <c r="G115" s="113"/>
      <c r="H115" s="113"/>
      <c r="I115" s="275"/>
      <c r="J115" s="113"/>
      <c r="K115" s="113"/>
      <c r="L115" s="113"/>
      <c r="M115" s="113"/>
      <c r="N115" s="113"/>
      <c r="O115" s="113"/>
      <c r="P115" s="113"/>
      <c r="Q115" s="113"/>
      <c r="R115" s="113"/>
      <c r="S115" s="113"/>
      <c r="T115" s="122"/>
      <c r="W115" s="123"/>
      <c r="X115" s="123"/>
      <c r="Y115" s="123"/>
      <c r="Z115" s="123"/>
      <c r="AA115" s="123"/>
      <c r="AB115" s="123"/>
      <c r="AC115" s="123"/>
      <c r="AD115" s="123"/>
      <c r="AE115" s="113"/>
      <c r="AF115" s="113"/>
      <c r="AG115" s="113"/>
      <c r="AH115" s="113"/>
      <c r="AI115" s="113"/>
      <c r="AJ115" s="113"/>
      <c r="AK115" s="113"/>
      <c r="AL115" s="113"/>
    </row>
    <row r="116" spans="1:38" ht="15.75" customHeight="1">
      <c r="A116" s="113"/>
      <c r="B116" s="113"/>
      <c r="C116" s="113"/>
      <c r="D116" s="272"/>
      <c r="E116" s="272"/>
      <c r="F116" s="272"/>
      <c r="G116" s="113"/>
      <c r="H116" s="113"/>
      <c r="I116" s="275"/>
      <c r="J116" s="113"/>
      <c r="K116" s="113"/>
      <c r="L116" s="113"/>
      <c r="M116" s="113"/>
      <c r="N116" s="113"/>
      <c r="O116" s="113"/>
      <c r="P116" s="113"/>
      <c r="Q116" s="113"/>
      <c r="R116" s="113"/>
      <c r="S116" s="113"/>
      <c r="T116" s="122"/>
      <c r="W116" s="123"/>
      <c r="X116" s="123"/>
      <c r="Y116" s="123"/>
      <c r="Z116" s="123"/>
      <c r="AA116" s="123"/>
      <c r="AB116" s="123"/>
      <c r="AC116" s="123"/>
      <c r="AD116" s="123"/>
      <c r="AE116" s="113"/>
      <c r="AF116" s="113"/>
      <c r="AG116" s="113"/>
      <c r="AH116" s="113"/>
      <c r="AI116" s="113"/>
      <c r="AJ116" s="113"/>
      <c r="AK116" s="113"/>
      <c r="AL116" s="113"/>
    </row>
    <row r="117" spans="1:38" ht="15.75" customHeight="1">
      <c r="A117" s="113"/>
      <c r="B117" s="113"/>
      <c r="C117" s="113"/>
      <c r="D117" s="272"/>
      <c r="E117" s="272"/>
      <c r="F117" s="272"/>
      <c r="G117" s="113"/>
      <c r="H117" s="113"/>
      <c r="I117" s="275"/>
      <c r="J117" s="113"/>
      <c r="K117" s="113"/>
      <c r="L117" s="113"/>
      <c r="M117" s="113"/>
      <c r="N117" s="113"/>
      <c r="O117" s="113"/>
      <c r="P117" s="113"/>
      <c r="Q117" s="113"/>
      <c r="R117" s="113"/>
      <c r="S117" s="113"/>
      <c r="T117" s="122"/>
      <c r="W117" s="123"/>
      <c r="X117" s="123"/>
      <c r="Y117" s="123"/>
      <c r="Z117" s="123"/>
      <c r="AA117" s="123"/>
      <c r="AB117" s="123"/>
      <c r="AC117" s="123"/>
      <c r="AD117" s="123"/>
      <c r="AE117" s="113"/>
      <c r="AF117" s="113"/>
      <c r="AG117" s="113"/>
      <c r="AH117" s="113"/>
      <c r="AI117" s="113"/>
      <c r="AJ117" s="113"/>
      <c r="AK117" s="113"/>
      <c r="AL117" s="113"/>
    </row>
    <row r="118" spans="1:38" ht="15.75" customHeight="1">
      <c r="A118" s="113"/>
      <c r="B118" s="113"/>
      <c r="C118" s="113"/>
      <c r="D118" s="272"/>
      <c r="E118" s="272"/>
      <c r="F118" s="272"/>
      <c r="G118" s="113"/>
      <c r="H118" s="113"/>
      <c r="I118" s="275"/>
      <c r="J118" s="113"/>
      <c r="K118" s="113"/>
      <c r="L118" s="113"/>
      <c r="M118" s="113"/>
      <c r="N118" s="113"/>
      <c r="O118" s="113"/>
      <c r="P118" s="113"/>
      <c r="Q118" s="113"/>
      <c r="R118" s="113"/>
      <c r="S118" s="113"/>
      <c r="T118" s="122"/>
      <c r="W118" s="123"/>
      <c r="X118" s="123"/>
      <c r="Y118" s="123"/>
      <c r="Z118" s="123"/>
      <c r="AA118" s="123"/>
      <c r="AB118" s="123"/>
      <c r="AC118" s="123"/>
      <c r="AD118" s="123"/>
      <c r="AE118" s="113"/>
      <c r="AF118" s="113"/>
      <c r="AG118" s="113"/>
      <c r="AH118" s="113"/>
      <c r="AI118" s="113"/>
      <c r="AJ118" s="113"/>
      <c r="AK118" s="113"/>
      <c r="AL118" s="113"/>
    </row>
    <row r="119" spans="1:38" ht="15.75" customHeight="1">
      <c r="A119" s="113"/>
      <c r="B119" s="113"/>
      <c r="C119" s="113"/>
      <c r="D119" s="272"/>
      <c r="E119" s="272"/>
      <c r="F119" s="272"/>
      <c r="G119" s="113"/>
      <c r="H119" s="113"/>
      <c r="I119" s="275"/>
      <c r="J119" s="113"/>
      <c r="K119" s="113"/>
      <c r="L119" s="113"/>
      <c r="M119" s="113"/>
      <c r="N119" s="113"/>
      <c r="O119" s="113"/>
      <c r="P119" s="113"/>
      <c r="Q119" s="113"/>
      <c r="R119" s="113"/>
      <c r="S119" s="113"/>
      <c r="T119" s="122"/>
      <c r="W119" s="123"/>
      <c r="X119" s="123"/>
      <c r="Y119" s="123"/>
      <c r="Z119" s="123"/>
      <c r="AA119" s="123"/>
      <c r="AB119" s="123"/>
      <c r="AC119" s="123"/>
      <c r="AD119" s="123"/>
      <c r="AE119" s="113"/>
      <c r="AF119" s="113"/>
      <c r="AG119" s="113"/>
      <c r="AH119" s="113"/>
      <c r="AI119" s="113"/>
      <c r="AJ119" s="113"/>
      <c r="AK119" s="113"/>
      <c r="AL119" s="113"/>
    </row>
    <row r="120" spans="1:38" ht="15.75" customHeight="1">
      <c r="A120" s="113"/>
      <c r="B120" s="113"/>
      <c r="C120" s="113"/>
      <c r="D120" s="272"/>
      <c r="E120" s="272"/>
      <c r="F120" s="272"/>
      <c r="G120" s="113"/>
      <c r="H120" s="113"/>
      <c r="I120" s="275"/>
      <c r="J120" s="113"/>
      <c r="K120" s="113"/>
      <c r="L120" s="113"/>
      <c r="M120" s="113"/>
      <c r="N120" s="113"/>
      <c r="O120" s="113"/>
      <c r="P120" s="113"/>
      <c r="Q120" s="113"/>
      <c r="R120" s="113"/>
      <c r="S120" s="113"/>
      <c r="T120" s="122"/>
      <c r="W120" s="123"/>
      <c r="X120" s="123"/>
      <c r="Y120" s="123"/>
      <c r="Z120" s="123"/>
      <c r="AA120" s="123"/>
      <c r="AB120" s="123"/>
      <c r="AC120" s="123"/>
      <c r="AD120" s="123"/>
      <c r="AE120" s="113"/>
      <c r="AF120" s="113"/>
      <c r="AG120" s="113"/>
      <c r="AH120" s="113"/>
      <c r="AI120" s="113"/>
      <c r="AJ120" s="113"/>
      <c r="AK120" s="113"/>
      <c r="AL120" s="113"/>
    </row>
    <row r="121" spans="1:38" ht="15.75" customHeight="1">
      <c r="A121" s="113"/>
      <c r="B121" s="113"/>
      <c r="C121" s="113"/>
      <c r="D121" s="272"/>
      <c r="E121" s="272"/>
      <c r="F121" s="272"/>
      <c r="G121" s="113"/>
      <c r="H121" s="113"/>
      <c r="I121" s="275"/>
      <c r="J121" s="113"/>
      <c r="K121" s="113"/>
      <c r="L121" s="113"/>
      <c r="M121" s="113"/>
      <c r="N121" s="113"/>
      <c r="O121" s="113"/>
      <c r="P121" s="113"/>
      <c r="Q121" s="113"/>
      <c r="R121" s="113"/>
      <c r="S121" s="113"/>
      <c r="T121" s="122"/>
      <c r="W121" s="123"/>
      <c r="X121" s="123"/>
      <c r="Y121" s="123"/>
      <c r="Z121" s="123"/>
      <c r="AA121" s="123"/>
      <c r="AB121" s="123"/>
      <c r="AC121" s="123"/>
      <c r="AD121" s="123"/>
      <c r="AE121" s="113"/>
      <c r="AF121" s="113"/>
      <c r="AG121" s="113"/>
      <c r="AH121" s="113"/>
      <c r="AI121" s="113"/>
      <c r="AJ121" s="113"/>
      <c r="AK121" s="113"/>
      <c r="AL121" s="113"/>
    </row>
    <row r="122" spans="1:38" ht="15.75" customHeight="1">
      <c r="A122" s="113"/>
      <c r="B122" s="113"/>
      <c r="C122" s="113"/>
      <c r="D122" s="272"/>
      <c r="E122" s="272"/>
      <c r="F122" s="272"/>
      <c r="G122" s="113"/>
      <c r="H122" s="113"/>
      <c r="I122" s="275"/>
      <c r="J122" s="113"/>
      <c r="K122" s="113"/>
      <c r="L122" s="113"/>
      <c r="M122" s="113"/>
      <c r="N122" s="113"/>
      <c r="O122" s="113"/>
      <c r="P122" s="113"/>
      <c r="Q122" s="113"/>
      <c r="R122" s="113"/>
      <c r="S122" s="113"/>
      <c r="T122" s="122"/>
      <c r="W122" s="123"/>
      <c r="X122" s="123"/>
      <c r="Y122" s="123"/>
      <c r="Z122" s="123"/>
      <c r="AA122" s="123"/>
      <c r="AB122" s="123"/>
      <c r="AC122" s="123"/>
      <c r="AD122" s="123"/>
      <c r="AE122" s="113"/>
      <c r="AF122" s="113"/>
      <c r="AG122" s="113"/>
      <c r="AH122" s="113"/>
      <c r="AI122" s="113"/>
      <c r="AJ122" s="113"/>
      <c r="AK122" s="113"/>
      <c r="AL122" s="113"/>
    </row>
    <row r="123" spans="1:38" ht="15.75" customHeight="1">
      <c r="A123" s="113"/>
      <c r="B123" s="113"/>
      <c r="C123" s="113"/>
      <c r="D123" s="272"/>
      <c r="E123" s="272"/>
      <c r="F123" s="272"/>
      <c r="G123" s="113"/>
      <c r="H123" s="113"/>
      <c r="I123" s="275"/>
      <c r="J123" s="113"/>
      <c r="K123" s="113"/>
      <c r="L123" s="113"/>
      <c r="M123" s="113"/>
      <c r="N123" s="113"/>
      <c r="O123" s="113"/>
      <c r="P123" s="113"/>
      <c r="Q123" s="113"/>
      <c r="R123" s="113"/>
      <c r="S123" s="113"/>
      <c r="T123" s="122"/>
      <c r="W123" s="123"/>
      <c r="X123" s="123"/>
      <c r="Y123" s="123"/>
      <c r="Z123" s="123"/>
      <c r="AA123" s="123"/>
      <c r="AB123" s="123"/>
      <c r="AC123" s="123"/>
      <c r="AD123" s="123"/>
      <c r="AE123" s="113"/>
      <c r="AF123" s="113"/>
      <c r="AG123" s="113"/>
      <c r="AH123" s="113"/>
      <c r="AI123" s="113"/>
      <c r="AJ123" s="113"/>
      <c r="AK123" s="113"/>
      <c r="AL123" s="113"/>
    </row>
    <row r="124" spans="1:38" ht="15.75" customHeight="1">
      <c r="A124" s="113"/>
      <c r="B124" s="113"/>
      <c r="C124" s="113"/>
      <c r="D124" s="272"/>
      <c r="E124" s="272"/>
      <c r="F124" s="272"/>
      <c r="G124" s="113"/>
      <c r="H124" s="113"/>
      <c r="I124" s="275"/>
      <c r="J124" s="113"/>
      <c r="K124" s="113"/>
      <c r="L124" s="113"/>
      <c r="M124" s="113"/>
      <c r="N124" s="113"/>
      <c r="O124" s="113"/>
      <c r="P124" s="113"/>
      <c r="Q124" s="113"/>
      <c r="R124" s="113"/>
      <c r="S124" s="113"/>
      <c r="T124" s="122"/>
      <c r="W124" s="123"/>
      <c r="X124" s="123"/>
      <c r="Y124" s="123"/>
      <c r="Z124" s="123"/>
      <c r="AA124" s="123"/>
      <c r="AB124" s="123"/>
      <c r="AC124" s="123"/>
      <c r="AD124" s="123"/>
      <c r="AE124" s="113"/>
      <c r="AF124" s="113"/>
      <c r="AG124" s="113"/>
      <c r="AH124" s="113"/>
      <c r="AI124" s="113"/>
      <c r="AJ124" s="113"/>
      <c r="AK124" s="113"/>
      <c r="AL124" s="113"/>
    </row>
    <row r="125" spans="1:38" ht="15.75" customHeight="1">
      <c r="A125" s="113"/>
      <c r="B125" s="113"/>
      <c r="C125" s="113"/>
      <c r="D125" s="272"/>
      <c r="E125" s="272"/>
      <c r="F125" s="272"/>
      <c r="G125" s="113"/>
      <c r="H125" s="113"/>
      <c r="I125" s="275"/>
      <c r="J125" s="113"/>
      <c r="K125" s="113"/>
      <c r="L125" s="113"/>
      <c r="M125" s="113"/>
      <c r="N125" s="113"/>
      <c r="O125" s="113"/>
      <c r="P125" s="113"/>
      <c r="Q125" s="113"/>
      <c r="R125" s="113"/>
      <c r="S125" s="113"/>
      <c r="T125" s="122"/>
      <c r="W125" s="123"/>
      <c r="X125" s="123"/>
      <c r="Y125" s="123"/>
      <c r="Z125" s="123"/>
      <c r="AA125" s="123"/>
      <c r="AB125" s="123"/>
      <c r="AC125" s="123"/>
      <c r="AD125" s="123"/>
      <c r="AE125" s="113"/>
      <c r="AF125" s="113"/>
      <c r="AG125" s="113"/>
      <c r="AH125" s="113"/>
      <c r="AI125" s="113"/>
      <c r="AJ125" s="113"/>
      <c r="AK125" s="113"/>
      <c r="AL125" s="113"/>
    </row>
    <row r="126" spans="1:38" ht="15.75" customHeight="1">
      <c r="A126" s="113"/>
      <c r="B126" s="113"/>
      <c r="C126" s="113"/>
      <c r="D126" s="272"/>
      <c r="E126" s="272"/>
      <c r="F126" s="272"/>
      <c r="G126" s="113"/>
      <c r="H126" s="113"/>
      <c r="I126" s="275"/>
      <c r="J126" s="113"/>
      <c r="K126" s="113"/>
      <c r="L126" s="113"/>
      <c r="M126" s="113"/>
      <c r="N126" s="113"/>
      <c r="O126" s="113"/>
      <c r="P126" s="113"/>
      <c r="Q126" s="113"/>
      <c r="R126" s="113"/>
      <c r="S126" s="113"/>
      <c r="T126" s="122"/>
      <c r="W126" s="123"/>
      <c r="X126" s="123"/>
      <c r="Y126" s="123"/>
      <c r="Z126" s="123"/>
      <c r="AA126" s="123"/>
      <c r="AB126" s="123"/>
      <c r="AC126" s="123"/>
      <c r="AD126" s="123"/>
      <c r="AE126" s="113"/>
      <c r="AF126" s="113"/>
      <c r="AG126" s="113"/>
      <c r="AH126" s="113"/>
      <c r="AI126" s="113"/>
      <c r="AJ126" s="113"/>
      <c r="AK126" s="113"/>
      <c r="AL126" s="113"/>
    </row>
    <row r="127" spans="1:38" ht="15.75" customHeight="1">
      <c r="A127" s="113"/>
      <c r="B127" s="113"/>
      <c r="C127" s="113"/>
      <c r="D127" s="272"/>
      <c r="E127" s="272"/>
      <c r="F127" s="272"/>
      <c r="G127" s="113"/>
      <c r="H127" s="113"/>
      <c r="I127" s="275"/>
      <c r="J127" s="113"/>
      <c r="K127" s="113"/>
      <c r="L127" s="113"/>
      <c r="M127" s="113"/>
      <c r="N127" s="113"/>
      <c r="O127" s="113"/>
      <c r="P127" s="113"/>
      <c r="Q127" s="113"/>
      <c r="R127" s="113"/>
      <c r="S127" s="113"/>
      <c r="T127" s="122"/>
      <c r="W127" s="123"/>
      <c r="X127" s="123"/>
      <c r="Y127" s="123"/>
      <c r="Z127" s="123"/>
      <c r="AA127" s="123"/>
      <c r="AB127" s="123"/>
      <c r="AC127" s="123"/>
      <c r="AD127" s="123"/>
      <c r="AE127" s="113"/>
      <c r="AF127" s="113"/>
      <c r="AG127" s="113"/>
      <c r="AH127" s="113"/>
      <c r="AI127" s="113"/>
      <c r="AJ127" s="113"/>
      <c r="AK127" s="113"/>
      <c r="AL127" s="113"/>
    </row>
    <row r="128" spans="1:38" ht="15.75" customHeight="1">
      <c r="A128" s="113"/>
      <c r="B128" s="113"/>
      <c r="C128" s="113"/>
      <c r="D128" s="272"/>
      <c r="E128" s="272"/>
      <c r="F128" s="272"/>
      <c r="G128" s="113"/>
      <c r="H128" s="113"/>
      <c r="I128" s="275"/>
      <c r="J128" s="113"/>
      <c r="K128" s="113"/>
      <c r="L128" s="113"/>
      <c r="M128" s="113"/>
      <c r="N128" s="113"/>
      <c r="O128" s="113"/>
      <c r="P128" s="113"/>
      <c r="Q128" s="113"/>
      <c r="R128" s="113"/>
      <c r="S128" s="113"/>
      <c r="T128" s="122"/>
      <c r="W128" s="123"/>
      <c r="X128" s="123"/>
      <c r="Y128" s="123"/>
      <c r="Z128" s="123"/>
      <c r="AA128" s="123"/>
      <c r="AB128" s="123"/>
      <c r="AC128" s="123"/>
      <c r="AD128" s="123"/>
      <c r="AE128" s="113"/>
      <c r="AF128" s="113"/>
      <c r="AG128" s="113"/>
      <c r="AH128" s="113"/>
      <c r="AI128" s="113"/>
      <c r="AJ128" s="113"/>
      <c r="AK128" s="113"/>
      <c r="AL128" s="113"/>
    </row>
    <row r="129" spans="1:38" ht="15.75" customHeight="1">
      <c r="A129" s="113"/>
      <c r="B129" s="113"/>
      <c r="C129" s="113"/>
      <c r="D129" s="272"/>
      <c r="E129" s="272"/>
      <c r="F129" s="272"/>
      <c r="G129" s="113"/>
      <c r="H129" s="113"/>
      <c r="I129" s="275"/>
      <c r="J129" s="113"/>
      <c r="K129" s="113"/>
      <c r="L129" s="113"/>
      <c r="M129" s="113"/>
      <c r="N129" s="113"/>
      <c r="O129" s="113"/>
      <c r="P129" s="113"/>
      <c r="Q129" s="113"/>
      <c r="R129" s="113"/>
      <c r="S129" s="113"/>
      <c r="T129" s="122"/>
      <c r="W129" s="123"/>
      <c r="X129" s="123"/>
      <c r="Y129" s="123"/>
      <c r="Z129" s="123"/>
      <c r="AA129" s="123"/>
      <c r="AB129" s="123"/>
      <c r="AC129" s="123"/>
      <c r="AD129" s="123"/>
      <c r="AE129" s="113"/>
      <c r="AF129" s="113"/>
      <c r="AG129" s="113"/>
      <c r="AH129" s="113"/>
      <c r="AI129" s="113"/>
      <c r="AJ129" s="113"/>
      <c r="AK129" s="113"/>
      <c r="AL129" s="113"/>
    </row>
    <row r="130" spans="1:38" ht="15.75" customHeight="1">
      <c r="A130" s="113"/>
      <c r="B130" s="113"/>
      <c r="C130" s="113"/>
      <c r="D130" s="272"/>
      <c r="E130" s="272"/>
      <c r="F130" s="272"/>
      <c r="G130" s="113"/>
      <c r="H130" s="113"/>
      <c r="I130" s="275"/>
      <c r="J130" s="113"/>
      <c r="K130" s="113"/>
      <c r="L130" s="113"/>
      <c r="M130" s="113"/>
      <c r="N130" s="113"/>
      <c r="O130" s="113"/>
      <c r="P130" s="113"/>
      <c r="Q130" s="113"/>
      <c r="R130" s="113"/>
      <c r="S130" s="113"/>
      <c r="T130" s="122"/>
      <c r="W130" s="123"/>
      <c r="X130" s="123"/>
      <c r="Y130" s="123"/>
      <c r="Z130" s="123"/>
      <c r="AA130" s="123"/>
      <c r="AB130" s="123"/>
      <c r="AC130" s="123"/>
      <c r="AD130" s="123"/>
      <c r="AE130" s="113"/>
      <c r="AF130" s="113"/>
      <c r="AG130" s="113"/>
      <c r="AH130" s="113"/>
      <c r="AI130" s="113"/>
      <c r="AJ130" s="113"/>
      <c r="AK130" s="113"/>
      <c r="AL130" s="113"/>
    </row>
    <row r="131" spans="1:38" ht="15.75" customHeight="1">
      <c r="A131" s="113"/>
      <c r="B131" s="113"/>
      <c r="C131" s="113"/>
      <c r="D131" s="272"/>
      <c r="E131" s="272"/>
      <c r="F131" s="272"/>
      <c r="G131" s="113"/>
      <c r="H131" s="113"/>
      <c r="I131" s="275"/>
      <c r="J131" s="113"/>
      <c r="K131" s="113"/>
      <c r="L131" s="113"/>
      <c r="M131" s="113"/>
      <c r="N131" s="113"/>
      <c r="O131" s="113"/>
      <c r="P131" s="113"/>
      <c r="Q131" s="113"/>
      <c r="R131" s="113"/>
      <c r="S131" s="113"/>
      <c r="T131" s="122"/>
      <c r="W131" s="123"/>
      <c r="X131" s="123"/>
      <c r="Y131" s="123"/>
      <c r="Z131" s="123"/>
      <c r="AA131" s="123"/>
      <c r="AB131" s="123"/>
      <c r="AC131" s="123"/>
      <c r="AD131" s="123"/>
      <c r="AE131" s="113"/>
      <c r="AF131" s="113"/>
      <c r="AG131" s="113"/>
      <c r="AH131" s="113"/>
      <c r="AI131" s="113"/>
      <c r="AJ131" s="113"/>
      <c r="AK131" s="113"/>
      <c r="AL131" s="113"/>
    </row>
    <row r="132" spans="1:38" ht="15.75" customHeight="1">
      <c r="A132" s="113"/>
      <c r="B132" s="113"/>
      <c r="C132" s="113"/>
      <c r="D132" s="272"/>
      <c r="E132" s="272"/>
      <c r="F132" s="272"/>
      <c r="G132" s="113"/>
      <c r="H132" s="113"/>
      <c r="I132" s="275"/>
      <c r="J132" s="113"/>
      <c r="K132" s="113"/>
      <c r="L132" s="113"/>
      <c r="M132" s="113"/>
      <c r="N132" s="113"/>
      <c r="O132" s="113"/>
      <c r="P132" s="113"/>
      <c r="Q132" s="113"/>
      <c r="R132" s="113"/>
      <c r="S132" s="113"/>
      <c r="T132" s="122"/>
      <c r="W132" s="123"/>
      <c r="X132" s="123"/>
      <c r="Y132" s="123"/>
      <c r="Z132" s="123"/>
      <c r="AA132" s="123"/>
      <c r="AB132" s="123"/>
      <c r="AC132" s="123"/>
      <c r="AD132" s="123"/>
      <c r="AE132" s="113"/>
      <c r="AF132" s="113"/>
      <c r="AG132" s="113"/>
      <c r="AH132" s="113"/>
      <c r="AI132" s="113"/>
      <c r="AJ132" s="113"/>
      <c r="AK132" s="113"/>
      <c r="AL132" s="113"/>
    </row>
    <row r="133" spans="1:38" ht="15.75" customHeight="1">
      <c r="A133" s="113"/>
      <c r="B133" s="113"/>
      <c r="C133" s="113"/>
      <c r="D133" s="272"/>
      <c r="E133" s="272"/>
      <c r="F133" s="272"/>
      <c r="G133" s="113"/>
      <c r="H133" s="113"/>
      <c r="I133" s="275"/>
      <c r="J133" s="113"/>
      <c r="K133" s="113"/>
      <c r="L133" s="113"/>
      <c r="M133" s="113"/>
      <c r="N133" s="113"/>
      <c r="O133" s="113"/>
      <c r="P133" s="113"/>
      <c r="Q133" s="113"/>
      <c r="R133" s="113"/>
      <c r="S133" s="113"/>
      <c r="T133" s="122"/>
      <c r="W133" s="123"/>
      <c r="X133" s="123"/>
      <c r="Y133" s="123"/>
      <c r="Z133" s="123"/>
      <c r="AA133" s="123"/>
      <c r="AB133" s="123"/>
      <c r="AC133" s="123"/>
      <c r="AD133" s="123"/>
      <c r="AE133" s="113"/>
      <c r="AF133" s="113"/>
      <c r="AG133" s="113"/>
      <c r="AH133" s="113"/>
      <c r="AI133" s="113"/>
      <c r="AJ133" s="113"/>
      <c r="AK133" s="113"/>
      <c r="AL133" s="113"/>
    </row>
    <row r="134" spans="1:38" ht="15.75" customHeight="1">
      <c r="A134" s="113"/>
      <c r="B134" s="113"/>
      <c r="C134" s="113"/>
      <c r="D134" s="272"/>
      <c r="E134" s="272"/>
      <c r="F134" s="272"/>
      <c r="G134" s="113"/>
      <c r="H134" s="113"/>
      <c r="I134" s="275"/>
      <c r="J134" s="113"/>
      <c r="K134" s="113"/>
      <c r="L134" s="113"/>
      <c r="M134" s="113"/>
      <c r="N134" s="113"/>
      <c r="O134" s="113"/>
      <c r="P134" s="113"/>
      <c r="Q134" s="113"/>
      <c r="R134" s="113"/>
      <c r="S134" s="113"/>
      <c r="T134" s="122"/>
      <c r="W134" s="123"/>
      <c r="X134" s="123"/>
      <c r="Y134" s="123"/>
      <c r="Z134" s="123"/>
      <c r="AA134" s="123"/>
      <c r="AB134" s="123"/>
      <c r="AC134" s="123"/>
      <c r="AD134" s="123"/>
      <c r="AE134" s="113"/>
      <c r="AF134" s="113"/>
      <c r="AG134" s="113"/>
      <c r="AH134" s="113"/>
      <c r="AI134" s="113"/>
      <c r="AJ134" s="113"/>
      <c r="AK134" s="113"/>
      <c r="AL134" s="113"/>
    </row>
    <row r="135" spans="1:38" ht="15.75" customHeight="1">
      <c r="A135" s="113"/>
      <c r="B135" s="113"/>
      <c r="C135" s="113"/>
      <c r="D135" s="272"/>
      <c r="E135" s="272"/>
      <c r="F135" s="272"/>
      <c r="G135" s="113"/>
      <c r="H135" s="113"/>
      <c r="I135" s="275"/>
      <c r="J135" s="113"/>
      <c r="K135" s="113"/>
      <c r="L135" s="113"/>
      <c r="M135" s="113"/>
      <c r="N135" s="113"/>
      <c r="O135" s="113"/>
      <c r="P135" s="113"/>
      <c r="Q135" s="113"/>
      <c r="R135" s="113"/>
      <c r="S135" s="113"/>
      <c r="T135" s="122"/>
      <c r="W135" s="123"/>
      <c r="X135" s="123"/>
      <c r="Y135" s="123"/>
      <c r="Z135" s="123"/>
      <c r="AA135" s="123"/>
      <c r="AB135" s="123"/>
      <c r="AC135" s="123"/>
      <c r="AD135" s="123"/>
      <c r="AE135" s="113"/>
      <c r="AF135" s="113"/>
      <c r="AG135" s="113"/>
      <c r="AH135" s="113"/>
      <c r="AI135" s="113"/>
      <c r="AJ135" s="113"/>
      <c r="AK135" s="113"/>
      <c r="AL135" s="113"/>
    </row>
    <row r="136" spans="1:38" ht="15.75" customHeight="1">
      <c r="A136" s="113"/>
      <c r="B136" s="113"/>
      <c r="C136" s="113"/>
      <c r="D136" s="272"/>
      <c r="E136" s="272"/>
      <c r="F136" s="272"/>
      <c r="G136" s="113"/>
      <c r="H136" s="113"/>
      <c r="I136" s="275"/>
      <c r="J136" s="113"/>
      <c r="K136" s="113"/>
      <c r="L136" s="113"/>
      <c r="M136" s="113"/>
      <c r="N136" s="113"/>
      <c r="O136" s="113"/>
      <c r="P136" s="113"/>
      <c r="Q136" s="113"/>
      <c r="R136" s="113"/>
      <c r="S136" s="113"/>
      <c r="T136" s="122"/>
      <c r="W136" s="123"/>
      <c r="X136" s="123"/>
      <c r="Y136" s="123"/>
      <c r="Z136" s="123"/>
      <c r="AA136" s="123"/>
      <c r="AB136" s="123"/>
      <c r="AC136" s="123"/>
      <c r="AD136" s="123"/>
      <c r="AE136" s="113"/>
      <c r="AF136" s="113"/>
      <c r="AG136" s="113"/>
      <c r="AH136" s="113"/>
      <c r="AI136" s="113"/>
      <c r="AJ136" s="113"/>
      <c r="AK136" s="113"/>
      <c r="AL136" s="113"/>
    </row>
    <row r="137" spans="1:38" ht="15.75" customHeight="1">
      <c r="A137" s="113"/>
      <c r="B137" s="113"/>
      <c r="C137" s="113"/>
      <c r="D137" s="272"/>
      <c r="E137" s="272"/>
      <c r="F137" s="272"/>
      <c r="G137" s="113"/>
      <c r="H137" s="113"/>
      <c r="I137" s="275"/>
      <c r="J137" s="113"/>
      <c r="K137" s="113"/>
      <c r="L137" s="113"/>
      <c r="M137" s="113"/>
      <c r="N137" s="113"/>
      <c r="O137" s="113"/>
      <c r="P137" s="113"/>
      <c r="Q137" s="113"/>
      <c r="R137" s="113"/>
      <c r="S137" s="113"/>
      <c r="T137" s="122"/>
      <c r="W137" s="123"/>
      <c r="X137" s="123"/>
      <c r="Y137" s="123"/>
      <c r="Z137" s="123"/>
      <c r="AA137" s="123"/>
      <c r="AB137" s="123"/>
      <c r="AC137" s="123"/>
      <c r="AD137" s="123"/>
      <c r="AE137" s="113"/>
      <c r="AF137" s="113"/>
      <c r="AG137" s="113"/>
      <c r="AH137" s="113"/>
      <c r="AI137" s="113"/>
      <c r="AJ137" s="113"/>
      <c r="AK137" s="113"/>
      <c r="AL137" s="113"/>
    </row>
    <row r="138" spans="1:38" ht="15.75" customHeight="1">
      <c r="A138" s="113"/>
      <c r="B138" s="113"/>
      <c r="C138" s="113"/>
      <c r="D138" s="272"/>
      <c r="E138" s="272"/>
      <c r="F138" s="272"/>
      <c r="G138" s="113"/>
      <c r="H138" s="113"/>
      <c r="I138" s="275"/>
      <c r="J138" s="113"/>
      <c r="K138" s="113"/>
      <c r="L138" s="113"/>
      <c r="M138" s="113"/>
      <c r="N138" s="113"/>
      <c r="O138" s="113"/>
      <c r="P138" s="113"/>
      <c r="Q138" s="113"/>
      <c r="R138" s="113"/>
      <c r="S138" s="113"/>
      <c r="T138" s="122"/>
      <c r="W138" s="123"/>
      <c r="X138" s="123"/>
      <c r="Y138" s="123"/>
      <c r="Z138" s="123"/>
      <c r="AA138" s="123"/>
      <c r="AB138" s="123"/>
      <c r="AC138" s="123"/>
      <c r="AD138" s="123"/>
      <c r="AE138" s="113"/>
      <c r="AF138" s="113"/>
      <c r="AG138" s="113"/>
      <c r="AH138" s="113"/>
      <c r="AI138" s="113"/>
      <c r="AJ138" s="113"/>
      <c r="AK138" s="113"/>
      <c r="AL138" s="113"/>
    </row>
    <row r="139" spans="1:38" ht="15.75" customHeight="1">
      <c r="A139" s="113"/>
      <c r="B139" s="113"/>
      <c r="C139" s="113"/>
      <c r="D139" s="272"/>
      <c r="E139" s="272"/>
      <c r="F139" s="272"/>
      <c r="G139" s="113"/>
      <c r="H139" s="113"/>
      <c r="I139" s="275"/>
      <c r="J139" s="113"/>
      <c r="K139" s="113"/>
      <c r="L139" s="113"/>
      <c r="M139" s="113"/>
      <c r="N139" s="113"/>
      <c r="O139" s="113"/>
      <c r="P139" s="113"/>
      <c r="Q139" s="113"/>
      <c r="R139" s="113"/>
      <c r="S139" s="113"/>
      <c r="T139" s="122"/>
      <c r="W139" s="123"/>
      <c r="X139" s="123"/>
      <c r="Y139" s="123"/>
      <c r="Z139" s="123"/>
      <c r="AA139" s="123"/>
      <c r="AB139" s="123"/>
      <c r="AC139" s="123"/>
      <c r="AD139" s="123"/>
      <c r="AE139" s="113"/>
      <c r="AF139" s="113"/>
      <c r="AG139" s="113"/>
      <c r="AH139" s="113"/>
      <c r="AI139" s="113"/>
      <c r="AJ139" s="113"/>
      <c r="AK139" s="113"/>
      <c r="AL139" s="113"/>
    </row>
    <row r="140" spans="1:38" ht="15.75" customHeight="1">
      <c r="A140" s="113"/>
      <c r="B140" s="113"/>
      <c r="C140" s="113"/>
      <c r="D140" s="272"/>
      <c r="E140" s="272"/>
      <c r="F140" s="272"/>
      <c r="G140" s="113"/>
      <c r="H140" s="113"/>
      <c r="I140" s="275"/>
      <c r="J140" s="113"/>
      <c r="K140" s="113"/>
      <c r="L140" s="113"/>
      <c r="M140" s="113"/>
      <c r="N140" s="113"/>
      <c r="O140" s="113"/>
      <c r="P140" s="113"/>
      <c r="Q140" s="113"/>
      <c r="R140" s="113"/>
      <c r="S140" s="113"/>
      <c r="T140" s="122"/>
      <c r="W140" s="123"/>
      <c r="X140" s="123"/>
      <c r="Y140" s="123"/>
      <c r="Z140" s="123"/>
      <c r="AA140" s="123"/>
      <c r="AB140" s="123"/>
      <c r="AC140" s="123"/>
      <c r="AD140" s="123"/>
      <c r="AE140" s="113"/>
      <c r="AF140" s="113"/>
      <c r="AG140" s="113"/>
      <c r="AH140" s="113"/>
      <c r="AI140" s="113"/>
      <c r="AJ140" s="113"/>
      <c r="AK140" s="113"/>
      <c r="AL140" s="113"/>
    </row>
    <row r="141" spans="1:38" ht="15.75" customHeight="1">
      <c r="A141" s="113"/>
      <c r="B141" s="113"/>
      <c r="C141" s="113"/>
      <c r="D141" s="272"/>
      <c r="E141" s="272"/>
      <c r="F141" s="272"/>
      <c r="G141" s="113"/>
      <c r="H141" s="113"/>
      <c r="I141" s="275"/>
      <c r="J141" s="113"/>
      <c r="K141" s="113"/>
      <c r="L141" s="113"/>
      <c r="M141" s="113"/>
      <c r="N141" s="113"/>
      <c r="O141" s="113"/>
      <c r="P141" s="113"/>
      <c r="Q141" s="113"/>
      <c r="R141" s="113"/>
      <c r="S141" s="113"/>
      <c r="T141" s="122"/>
      <c r="W141" s="123"/>
      <c r="X141" s="123"/>
      <c r="Y141" s="123"/>
      <c r="Z141" s="123"/>
      <c r="AA141" s="123"/>
      <c r="AB141" s="123"/>
      <c r="AC141" s="123"/>
      <c r="AD141" s="123"/>
      <c r="AE141" s="113"/>
      <c r="AF141" s="113"/>
      <c r="AG141" s="113"/>
      <c r="AH141" s="113"/>
      <c r="AI141" s="113"/>
      <c r="AJ141" s="113"/>
      <c r="AK141" s="113"/>
      <c r="AL141" s="113"/>
    </row>
    <row r="142" spans="1:38" ht="15.75" customHeight="1">
      <c r="A142" s="113"/>
      <c r="B142" s="113"/>
      <c r="C142" s="113"/>
      <c r="D142" s="272"/>
      <c r="E142" s="272"/>
      <c r="F142" s="272"/>
      <c r="G142" s="113"/>
      <c r="H142" s="113"/>
      <c r="I142" s="275"/>
      <c r="J142" s="113"/>
      <c r="K142" s="113"/>
      <c r="L142" s="113"/>
      <c r="M142" s="113"/>
      <c r="N142" s="113"/>
      <c r="O142" s="113"/>
      <c r="P142" s="113"/>
      <c r="Q142" s="113"/>
      <c r="R142" s="113"/>
      <c r="S142" s="113"/>
      <c r="T142" s="122"/>
      <c r="W142" s="123"/>
      <c r="X142" s="123"/>
      <c r="Y142" s="123"/>
      <c r="Z142" s="123"/>
      <c r="AA142" s="123"/>
      <c r="AB142" s="123"/>
      <c r="AC142" s="123"/>
      <c r="AD142" s="123"/>
      <c r="AE142" s="113"/>
      <c r="AF142" s="113"/>
      <c r="AG142" s="113"/>
      <c r="AH142" s="113"/>
      <c r="AI142" s="113"/>
      <c r="AJ142" s="113"/>
      <c r="AK142" s="113"/>
      <c r="AL142" s="113"/>
    </row>
    <row r="143" spans="1:38" ht="15.75" customHeight="1">
      <c r="A143" s="113"/>
      <c r="B143" s="113"/>
      <c r="C143" s="113"/>
      <c r="D143" s="272"/>
      <c r="E143" s="272"/>
      <c r="F143" s="272"/>
      <c r="G143" s="113"/>
      <c r="H143" s="113"/>
      <c r="I143" s="275"/>
      <c r="J143" s="113"/>
      <c r="K143" s="113"/>
      <c r="L143" s="113"/>
      <c r="M143" s="113"/>
      <c r="N143" s="113"/>
      <c r="O143" s="113"/>
      <c r="P143" s="113"/>
      <c r="Q143" s="113"/>
      <c r="R143" s="113"/>
      <c r="S143" s="113"/>
      <c r="T143" s="122"/>
      <c r="W143" s="123"/>
      <c r="X143" s="123"/>
      <c r="Y143" s="123"/>
      <c r="Z143" s="123"/>
      <c r="AA143" s="123"/>
      <c r="AB143" s="123"/>
      <c r="AC143" s="123"/>
      <c r="AD143" s="123"/>
      <c r="AE143" s="113"/>
      <c r="AF143" s="113"/>
      <c r="AG143" s="113"/>
      <c r="AH143" s="113"/>
      <c r="AI143" s="113"/>
      <c r="AJ143" s="113"/>
      <c r="AK143" s="113"/>
      <c r="AL143" s="113"/>
    </row>
    <row r="144" spans="1:38" ht="15.75" customHeight="1">
      <c r="A144" s="113"/>
      <c r="B144" s="113"/>
      <c r="C144" s="113"/>
      <c r="D144" s="272"/>
      <c r="E144" s="272"/>
      <c r="F144" s="272"/>
      <c r="G144" s="113"/>
      <c r="H144" s="113"/>
      <c r="I144" s="275"/>
      <c r="J144" s="113"/>
      <c r="K144" s="113"/>
      <c r="L144" s="113"/>
      <c r="M144" s="113"/>
      <c r="N144" s="113"/>
      <c r="O144" s="113"/>
      <c r="P144" s="113"/>
      <c r="Q144" s="113"/>
      <c r="R144" s="113"/>
      <c r="S144" s="113"/>
      <c r="T144" s="122"/>
      <c r="W144" s="123"/>
      <c r="X144" s="123"/>
      <c r="Y144" s="123"/>
      <c r="Z144" s="123"/>
      <c r="AA144" s="123"/>
      <c r="AB144" s="123"/>
      <c r="AC144" s="123"/>
      <c r="AD144" s="123"/>
      <c r="AE144" s="113"/>
      <c r="AF144" s="113"/>
      <c r="AG144" s="113"/>
      <c r="AH144" s="113"/>
      <c r="AI144" s="113"/>
      <c r="AJ144" s="113"/>
      <c r="AK144" s="113"/>
      <c r="AL144" s="113"/>
    </row>
    <row r="145" spans="1:38" ht="15.75" customHeight="1">
      <c r="A145" s="113"/>
      <c r="B145" s="113"/>
      <c r="C145" s="113"/>
      <c r="D145" s="272"/>
      <c r="E145" s="272"/>
      <c r="F145" s="272"/>
      <c r="G145" s="113"/>
      <c r="H145" s="113"/>
      <c r="I145" s="275"/>
      <c r="J145" s="113"/>
      <c r="K145" s="113"/>
      <c r="L145" s="113"/>
      <c r="M145" s="113"/>
      <c r="N145" s="113"/>
      <c r="O145" s="113"/>
      <c r="P145" s="113"/>
      <c r="Q145" s="113"/>
      <c r="R145" s="113"/>
      <c r="S145" s="113"/>
      <c r="T145" s="122"/>
      <c r="W145" s="123"/>
      <c r="X145" s="123"/>
      <c r="Y145" s="123"/>
      <c r="Z145" s="123"/>
      <c r="AA145" s="123"/>
      <c r="AB145" s="123"/>
      <c r="AC145" s="123"/>
      <c r="AD145" s="123"/>
      <c r="AE145" s="113"/>
      <c r="AF145" s="113"/>
      <c r="AG145" s="113"/>
      <c r="AH145" s="113"/>
      <c r="AI145" s="113"/>
      <c r="AJ145" s="113"/>
      <c r="AK145" s="113"/>
      <c r="AL145" s="113"/>
    </row>
    <row r="146" spans="1:38" ht="15.75" customHeight="1">
      <c r="A146" s="113"/>
      <c r="B146" s="113"/>
      <c r="C146" s="113"/>
      <c r="D146" s="272"/>
      <c r="E146" s="272"/>
      <c r="F146" s="272"/>
      <c r="G146" s="113"/>
      <c r="H146" s="113"/>
      <c r="I146" s="275"/>
      <c r="J146" s="113"/>
      <c r="K146" s="113"/>
      <c r="L146" s="113"/>
      <c r="M146" s="113"/>
      <c r="N146" s="113"/>
      <c r="O146" s="113"/>
      <c r="P146" s="113"/>
      <c r="Q146" s="113"/>
      <c r="R146" s="113"/>
      <c r="S146" s="113"/>
      <c r="T146" s="122"/>
      <c r="W146" s="123"/>
      <c r="X146" s="123"/>
      <c r="Y146" s="123"/>
      <c r="Z146" s="123"/>
      <c r="AA146" s="123"/>
      <c r="AB146" s="123"/>
      <c r="AC146" s="123"/>
      <c r="AD146" s="123"/>
      <c r="AE146" s="113"/>
      <c r="AF146" s="113"/>
      <c r="AG146" s="113"/>
      <c r="AH146" s="113"/>
      <c r="AI146" s="113"/>
      <c r="AJ146" s="113"/>
      <c r="AK146" s="113"/>
      <c r="AL146" s="113"/>
    </row>
    <row r="147" spans="1:38" ht="15.75" customHeight="1">
      <c r="A147" s="113"/>
      <c r="B147" s="113"/>
      <c r="C147" s="113"/>
      <c r="D147" s="272"/>
      <c r="E147" s="272"/>
      <c r="F147" s="272"/>
      <c r="G147" s="113"/>
      <c r="H147" s="113"/>
      <c r="I147" s="275"/>
      <c r="J147" s="113"/>
      <c r="K147" s="113"/>
      <c r="L147" s="113"/>
      <c r="M147" s="113"/>
      <c r="N147" s="113"/>
      <c r="O147" s="113"/>
      <c r="P147" s="113"/>
      <c r="Q147" s="113"/>
      <c r="R147" s="113"/>
      <c r="S147" s="113"/>
      <c r="T147" s="122"/>
      <c r="W147" s="123"/>
      <c r="X147" s="123"/>
      <c r="Y147" s="123"/>
      <c r="Z147" s="123"/>
      <c r="AA147" s="123"/>
      <c r="AB147" s="123"/>
      <c r="AC147" s="123"/>
      <c r="AD147" s="123"/>
      <c r="AE147" s="113"/>
      <c r="AF147" s="113"/>
      <c r="AG147" s="113"/>
      <c r="AH147" s="113"/>
      <c r="AI147" s="113"/>
      <c r="AJ147" s="113"/>
      <c r="AK147" s="113"/>
      <c r="AL147" s="113"/>
    </row>
    <row r="148" spans="1:38" ht="15.75" customHeight="1">
      <c r="A148" s="113"/>
      <c r="B148" s="113"/>
      <c r="C148" s="113"/>
      <c r="D148" s="272"/>
      <c r="E148" s="272"/>
      <c r="F148" s="272"/>
      <c r="G148" s="113"/>
      <c r="H148" s="113"/>
      <c r="I148" s="275"/>
      <c r="J148" s="113"/>
      <c r="K148" s="113"/>
      <c r="L148" s="113"/>
      <c r="M148" s="113"/>
      <c r="N148" s="113"/>
      <c r="O148" s="113"/>
      <c r="P148" s="113"/>
      <c r="Q148" s="113"/>
      <c r="R148" s="113"/>
      <c r="S148" s="113"/>
      <c r="T148" s="122"/>
      <c r="W148" s="123"/>
      <c r="X148" s="123"/>
      <c r="Y148" s="123"/>
      <c r="Z148" s="123"/>
      <c r="AA148" s="123"/>
      <c r="AB148" s="123"/>
      <c r="AC148" s="123"/>
      <c r="AD148" s="123"/>
      <c r="AE148" s="113"/>
      <c r="AF148" s="113"/>
      <c r="AG148" s="113"/>
      <c r="AH148" s="113"/>
      <c r="AI148" s="113"/>
      <c r="AJ148" s="113"/>
      <c r="AK148" s="113"/>
      <c r="AL148" s="113"/>
    </row>
    <row r="149" spans="1:38" ht="15.75" customHeight="1">
      <c r="A149" s="113"/>
      <c r="B149" s="113"/>
      <c r="C149" s="113"/>
      <c r="D149" s="272"/>
      <c r="E149" s="272"/>
      <c r="F149" s="272"/>
      <c r="G149" s="113"/>
      <c r="H149" s="113"/>
      <c r="I149" s="275"/>
      <c r="J149" s="113"/>
      <c r="K149" s="113"/>
      <c r="L149" s="113"/>
      <c r="M149" s="113"/>
      <c r="N149" s="113"/>
      <c r="O149" s="113"/>
      <c r="P149" s="113"/>
      <c r="Q149" s="113"/>
      <c r="R149" s="113"/>
      <c r="S149" s="113"/>
      <c r="T149" s="122"/>
      <c r="W149" s="123"/>
      <c r="X149" s="123"/>
      <c r="Y149" s="123"/>
      <c r="Z149" s="123"/>
      <c r="AA149" s="123"/>
      <c r="AB149" s="123"/>
      <c r="AC149" s="123"/>
      <c r="AD149" s="123"/>
      <c r="AE149" s="113"/>
      <c r="AF149" s="113"/>
      <c r="AG149" s="113"/>
      <c r="AH149" s="113"/>
      <c r="AI149" s="113"/>
      <c r="AJ149" s="113"/>
      <c r="AK149" s="113"/>
      <c r="AL149" s="113"/>
    </row>
    <row r="150" spans="1:38" ht="15.75" customHeight="1">
      <c r="A150" s="113"/>
      <c r="B150" s="113"/>
      <c r="C150" s="113"/>
      <c r="D150" s="272"/>
      <c r="E150" s="272"/>
      <c r="F150" s="272"/>
      <c r="G150" s="113"/>
      <c r="H150" s="113"/>
      <c r="I150" s="275"/>
      <c r="J150" s="113"/>
      <c r="K150" s="113"/>
      <c r="L150" s="113"/>
      <c r="M150" s="113"/>
      <c r="N150" s="113"/>
      <c r="O150" s="113"/>
      <c r="P150" s="113"/>
      <c r="Q150" s="113"/>
      <c r="R150" s="113"/>
      <c r="S150" s="113"/>
      <c r="T150" s="122"/>
      <c r="W150" s="123"/>
      <c r="X150" s="123"/>
      <c r="Y150" s="123"/>
      <c r="Z150" s="123"/>
      <c r="AA150" s="123"/>
      <c r="AB150" s="123"/>
      <c r="AC150" s="123"/>
      <c r="AD150" s="123"/>
      <c r="AE150" s="113"/>
      <c r="AF150" s="113"/>
      <c r="AG150" s="113"/>
      <c r="AH150" s="113"/>
      <c r="AI150" s="113"/>
      <c r="AJ150" s="113"/>
      <c r="AK150" s="113"/>
      <c r="AL150" s="113"/>
    </row>
    <row r="151" spans="1:38" ht="15.75" customHeight="1">
      <c r="A151" s="113"/>
      <c r="B151" s="113"/>
      <c r="C151" s="113"/>
      <c r="D151" s="272"/>
      <c r="E151" s="272"/>
      <c r="F151" s="272"/>
      <c r="G151" s="113"/>
      <c r="H151" s="113"/>
      <c r="I151" s="275"/>
      <c r="J151" s="113"/>
      <c r="K151" s="113"/>
      <c r="L151" s="113"/>
      <c r="M151" s="113"/>
      <c r="N151" s="113"/>
      <c r="O151" s="113"/>
      <c r="P151" s="113"/>
      <c r="Q151" s="113"/>
      <c r="R151" s="113"/>
      <c r="S151" s="113"/>
      <c r="T151" s="122"/>
      <c r="W151" s="123"/>
      <c r="X151" s="123"/>
      <c r="Y151" s="123"/>
      <c r="Z151" s="123"/>
      <c r="AA151" s="123"/>
      <c r="AB151" s="123"/>
      <c r="AC151" s="123"/>
      <c r="AD151" s="123"/>
      <c r="AE151" s="113"/>
      <c r="AF151" s="113"/>
      <c r="AG151" s="113"/>
      <c r="AH151" s="113"/>
      <c r="AI151" s="113"/>
      <c r="AJ151" s="113"/>
      <c r="AK151" s="113"/>
      <c r="AL151" s="113"/>
    </row>
    <row r="152" spans="1:38" ht="15.75" customHeight="1">
      <c r="A152" s="113"/>
      <c r="B152" s="113"/>
      <c r="C152" s="113"/>
      <c r="D152" s="272"/>
      <c r="E152" s="272"/>
      <c r="F152" s="272"/>
      <c r="G152" s="113"/>
      <c r="H152" s="113"/>
      <c r="I152" s="275"/>
      <c r="J152" s="113"/>
      <c r="K152" s="113"/>
      <c r="L152" s="113"/>
      <c r="M152" s="113"/>
      <c r="N152" s="113"/>
      <c r="O152" s="113"/>
      <c r="P152" s="113"/>
      <c r="Q152" s="113"/>
      <c r="R152" s="113"/>
      <c r="S152" s="113"/>
      <c r="T152" s="122"/>
      <c r="W152" s="123"/>
      <c r="X152" s="123"/>
      <c r="Y152" s="123"/>
      <c r="Z152" s="123"/>
      <c r="AA152" s="123"/>
      <c r="AB152" s="123"/>
      <c r="AC152" s="123"/>
      <c r="AD152" s="123"/>
      <c r="AE152" s="113"/>
      <c r="AF152" s="113"/>
      <c r="AG152" s="113"/>
      <c r="AH152" s="113"/>
      <c r="AI152" s="113"/>
      <c r="AJ152" s="113"/>
      <c r="AK152" s="113"/>
      <c r="AL152" s="113"/>
    </row>
    <row r="153" spans="1:38" ht="15.75" customHeight="1">
      <c r="A153" s="113"/>
      <c r="B153" s="113"/>
      <c r="C153" s="113"/>
      <c r="D153" s="272"/>
      <c r="E153" s="272"/>
      <c r="F153" s="272"/>
      <c r="G153" s="113"/>
      <c r="H153" s="113"/>
      <c r="I153" s="275"/>
      <c r="J153" s="113"/>
      <c r="K153" s="113"/>
      <c r="L153" s="113"/>
      <c r="M153" s="113"/>
      <c r="N153" s="113"/>
      <c r="O153" s="113"/>
      <c r="P153" s="113"/>
      <c r="Q153" s="113"/>
      <c r="R153" s="113"/>
      <c r="S153" s="113"/>
      <c r="T153" s="122"/>
      <c r="W153" s="123"/>
      <c r="X153" s="123"/>
      <c r="Y153" s="123"/>
      <c r="Z153" s="123"/>
      <c r="AA153" s="123"/>
      <c r="AB153" s="123"/>
      <c r="AC153" s="123"/>
      <c r="AD153" s="123"/>
      <c r="AE153" s="113"/>
      <c r="AF153" s="113"/>
      <c r="AG153" s="113"/>
      <c r="AH153" s="113"/>
      <c r="AI153" s="113"/>
      <c r="AJ153" s="113"/>
      <c r="AK153" s="113"/>
      <c r="AL153" s="113"/>
    </row>
    <row r="154" spans="1:38" ht="15.75" customHeight="1">
      <c r="A154" s="113"/>
      <c r="B154" s="113"/>
      <c r="C154" s="113"/>
      <c r="D154" s="272"/>
      <c r="E154" s="272"/>
      <c r="F154" s="272"/>
      <c r="G154" s="113"/>
      <c r="H154" s="113"/>
      <c r="I154" s="275"/>
      <c r="J154" s="113"/>
      <c r="K154" s="113"/>
      <c r="L154" s="113"/>
      <c r="M154" s="113"/>
      <c r="N154" s="113"/>
      <c r="O154" s="113"/>
      <c r="P154" s="113"/>
      <c r="Q154" s="113"/>
      <c r="R154" s="113"/>
      <c r="S154" s="113"/>
      <c r="T154" s="122"/>
      <c r="W154" s="123"/>
      <c r="X154" s="123"/>
      <c r="Y154" s="123"/>
      <c r="Z154" s="123"/>
      <c r="AA154" s="123"/>
      <c r="AB154" s="123"/>
      <c r="AC154" s="123"/>
      <c r="AD154" s="123"/>
      <c r="AE154" s="113"/>
      <c r="AF154" s="113"/>
      <c r="AG154" s="113"/>
      <c r="AH154" s="113"/>
      <c r="AI154" s="113"/>
      <c r="AJ154" s="113"/>
      <c r="AK154" s="113"/>
      <c r="AL154" s="113"/>
    </row>
    <row r="155" spans="1:38" ht="15.75" customHeight="1">
      <c r="A155" s="113"/>
      <c r="B155" s="113"/>
      <c r="C155" s="113"/>
      <c r="D155" s="272"/>
      <c r="E155" s="272"/>
      <c r="F155" s="272"/>
      <c r="G155" s="113"/>
      <c r="H155" s="113"/>
      <c r="I155" s="275"/>
      <c r="J155" s="113"/>
      <c r="K155" s="113"/>
      <c r="L155" s="113"/>
      <c r="M155" s="113"/>
      <c r="N155" s="113"/>
      <c r="O155" s="113"/>
      <c r="P155" s="113"/>
      <c r="Q155" s="113"/>
      <c r="R155" s="113"/>
      <c r="S155" s="113"/>
      <c r="T155" s="122"/>
      <c r="W155" s="123"/>
      <c r="X155" s="123"/>
      <c r="Y155" s="123"/>
      <c r="Z155" s="123"/>
      <c r="AA155" s="123"/>
      <c r="AB155" s="123"/>
      <c r="AC155" s="123"/>
      <c r="AD155" s="123"/>
      <c r="AE155" s="113"/>
      <c r="AF155" s="113"/>
      <c r="AG155" s="113"/>
      <c r="AH155" s="113"/>
      <c r="AI155" s="113"/>
      <c r="AJ155" s="113"/>
      <c r="AK155" s="113"/>
      <c r="AL155" s="113"/>
    </row>
    <row r="156" spans="1:38" ht="15.75" customHeight="1">
      <c r="A156" s="113"/>
      <c r="B156" s="113"/>
      <c r="C156" s="113"/>
      <c r="D156" s="272"/>
      <c r="E156" s="272"/>
      <c r="F156" s="272"/>
      <c r="G156" s="113"/>
      <c r="H156" s="113"/>
      <c r="I156" s="275"/>
      <c r="J156" s="113"/>
      <c r="K156" s="113"/>
      <c r="L156" s="113"/>
      <c r="M156" s="113"/>
      <c r="N156" s="113"/>
      <c r="O156" s="113"/>
      <c r="P156" s="113"/>
      <c r="Q156" s="113"/>
      <c r="R156" s="113"/>
      <c r="S156" s="113"/>
      <c r="T156" s="122"/>
      <c r="W156" s="123"/>
      <c r="X156" s="123"/>
      <c r="Y156" s="123"/>
      <c r="Z156" s="123"/>
      <c r="AA156" s="123"/>
      <c r="AB156" s="123"/>
      <c r="AC156" s="123"/>
      <c r="AD156" s="123"/>
      <c r="AE156" s="113"/>
      <c r="AF156" s="113"/>
      <c r="AG156" s="113"/>
      <c r="AH156" s="113"/>
      <c r="AI156" s="113"/>
      <c r="AJ156" s="113"/>
      <c r="AK156" s="113"/>
      <c r="AL156" s="113"/>
    </row>
    <row r="157" spans="1:38" ht="15.75" customHeight="1">
      <c r="A157" s="113"/>
      <c r="B157" s="113"/>
      <c r="C157" s="113"/>
      <c r="D157" s="272"/>
      <c r="E157" s="272"/>
      <c r="F157" s="272"/>
      <c r="G157" s="113"/>
      <c r="H157" s="113"/>
      <c r="I157" s="275"/>
      <c r="J157" s="113"/>
      <c r="K157" s="113"/>
      <c r="L157" s="113"/>
      <c r="M157" s="113"/>
      <c r="N157" s="113"/>
      <c r="O157" s="113"/>
      <c r="P157" s="113"/>
      <c r="Q157" s="113"/>
      <c r="R157" s="113"/>
      <c r="S157" s="113"/>
      <c r="T157" s="122"/>
      <c r="W157" s="123"/>
      <c r="X157" s="123"/>
      <c r="Y157" s="123"/>
      <c r="Z157" s="123"/>
      <c r="AA157" s="123"/>
      <c r="AB157" s="123"/>
      <c r="AC157" s="123"/>
      <c r="AD157" s="123"/>
      <c r="AE157" s="113"/>
      <c r="AF157" s="113"/>
      <c r="AG157" s="113"/>
      <c r="AH157" s="113"/>
      <c r="AI157" s="113"/>
      <c r="AJ157" s="113"/>
      <c r="AK157" s="113"/>
      <c r="AL157" s="113"/>
    </row>
    <row r="158" spans="1:38" ht="15.75" customHeight="1">
      <c r="A158" s="113"/>
      <c r="B158" s="113"/>
      <c r="C158" s="113"/>
      <c r="D158" s="272"/>
      <c r="E158" s="272"/>
      <c r="F158" s="272"/>
      <c r="G158" s="113"/>
      <c r="H158" s="113"/>
      <c r="I158" s="275"/>
      <c r="J158" s="113"/>
      <c r="K158" s="113"/>
      <c r="L158" s="113"/>
      <c r="M158" s="113"/>
      <c r="N158" s="113"/>
      <c r="O158" s="113"/>
      <c r="P158" s="113"/>
      <c r="Q158" s="113"/>
      <c r="R158" s="113"/>
      <c r="S158" s="113"/>
      <c r="T158" s="122"/>
      <c r="W158" s="123"/>
      <c r="X158" s="123"/>
      <c r="Y158" s="123"/>
      <c r="Z158" s="123"/>
      <c r="AA158" s="123"/>
      <c r="AB158" s="123"/>
      <c r="AC158" s="123"/>
      <c r="AD158" s="123"/>
      <c r="AE158" s="113"/>
      <c r="AF158" s="113"/>
      <c r="AG158" s="113"/>
      <c r="AH158" s="113"/>
      <c r="AI158" s="113"/>
      <c r="AJ158" s="113"/>
      <c r="AK158" s="113"/>
      <c r="AL158" s="113"/>
    </row>
    <row r="159" spans="1:38" ht="15.75" customHeight="1">
      <c r="A159" s="113"/>
      <c r="B159" s="113"/>
      <c r="C159" s="113"/>
      <c r="D159" s="272"/>
      <c r="E159" s="272"/>
      <c r="F159" s="272"/>
      <c r="G159" s="113"/>
      <c r="H159" s="113"/>
      <c r="I159" s="275"/>
      <c r="J159" s="113"/>
      <c r="K159" s="113"/>
      <c r="L159" s="113"/>
      <c r="M159" s="113"/>
      <c r="N159" s="113"/>
      <c r="O159" s="113"/>
      <c r="P159" s="113"/>
      <c r="Q159" s="113"/>
      <c r="R159" s="113"/>
      <c r="S159" s="113"/>
      <c r="T159" s="122"/>
      <c r="W159" s="123"/>
      <c r="X159" s="123"/>
      <c r="Y159" s="123"/>
      <c r="Z159" s="123"/>
      <c r="AA159" s="123"/>
      <c r="AB159" s="123"/>
      <c r="AC159" s="123"/>
      <c r="AD159" s="123"/>
      <c r="AE159" s="113"/>
      <c r="AF159" s="113"/>
      <c r="AG159" s="113"/>
      <c r="AH159" s="113"/>
      <c r="AI159" s="113"/>
      <c r="AJ159" s="113"/>
      <c r="AK159" s="113"/>
      <c r="AL159" s="113"/>
    </row>
    <row r="160" spans="1:38" ht="15.75" customHeight="1">
      <c r="A160" s="113"/>
      <c r="B160" s="113"/>
      <c r="C160" s="113"/>
      <c r="D160" s="272"/>
      <c r="E160" s="272"/>
      <c r="F160" s="272"/>
      <c r="G160" s="113"/>
      <c r="H160" s="113"/>
      <c r="I160" s="275"/>
      <c r="J160" s="113"/>
      <c r="K160" s="113"/>
      <c r="L160" s="113"/>
      <c r="M160" s="113"/>
      <c r="N160" s="113"/>
      <c r="O160" s="113"/>
      <c r="P160" s="113"/>
      <c r="Q160" s="113"/>
      <c r="R160" s="113"/>
      <c r="S160" s="113"/>
      <c r="T160" s="122"/>
      <c r="W160" s="123"/>
      <c r="X160" s="123"/>
      <c r="Y160" s="123"/>
      <c r="Z160" s="123"/>
      <c r="AA160" s="123"/>
      <c r="AB160" s="123"/>
      <c r="AC160" s="123"/>
      <c r="AD160" s="123"/>
      <c r="AE160" s="113"/>
      <c r="AF160" s="113"/>
      <c r="AG160" s="113"/>
      <c r="AH160" s="113"/>
      <c r="AI160" s="113"/>
      <c r="AJ160" s="113"/>
      <c r="AK160" s="113"/>
      <c r="AL160" s="113"/>
    </row>
    <row r="161" spans="1:38" ht="15.75" customHeight="1">
      <c r="A161" s="113"/>
      <c r="B161" s="113"/>
      <c r="C161" s="113"/>
      <c r="D161" s="272"/>
      <c r="E161" s="272"/>
      <c r="F161" s="272"/>
      <c r="G161" s="113"/>
      <c r="H161" s="113"/>
      <c r="I161" s="275"/>
      <c r="J161" s="113"/>
      <c r="K161" s="113"/>
      <c r="L161" s="113"/>
      <c r="M161" s="113"/>
      <c r="N161" s="113"/>
      <c r="O161" s="113"/>
      <c r="P161" s="113"/>
      <c r="Q161" s="113"/>
      <c r="R161" s="113"/>
      <c r="S161" s="113"/>
      <c r="T161" s="122"/>
      <c r="W161" s="123"/>
      <c r="X161" s="123"/>
      <c r="Y161" s="123"/>
      <c r="Z161" s="123"/>
      <c r="AA161" s="123"/>
      <c r="AB161" s="123"/>
      <c r="AC161" s="123"/>
      <c r="AD161" s="123"/>
      <c r="AE161" s="113"/>
      <c r="AF161" s="113"/>
      <c r="AG161" s="113"/>
      <c r="AH161" s="113"/>
      <c r="AI161" s="113"/>
      <c r="AJ161" s="113"/>
      <c r="AK161" s="113"/>
      <c r="AL161" s="113"/>
    </row>
    <row r="162" spans="1:38" ht="15.75" customHeight="1">
      <c r="A162" s="113"/>
      <c r="B162" s="113"/>
      <c r="C162" s="113"/>
      <c r="D162" s="272"/>
      <c r="E162" s="272"/>
      <c r="F162" s="272"/>
      <c r="G162" s="113"/>
      <c r="H162" s="113"/>
      <c r="I162" s="275"/>
      <c r="J162" s="113"/>
      <c r="K162" s="113"/>
      <c r="L162" s="113"/>
      <c r="M162" s="113"/>
      <c r="N162" s="113"/>
      <c r="O162" s="113"/>
      <c r="P162" s="113"/>
      <c r="Q162" s="113"/>
      <c r="R162" s="113"/>
      <c r="S162" s="113"/>
      <c r="T162" s="122"/>
      <c r="W162" s="123"/>
      <c r="X162" s="123"/>
      <c r="Y162" s="123"/>
      <c r="Z162" s="123"/>
      <c r="AA162" s="123"/>
      <c r="AB162" s="123"/>
      <c r="AC162" s="123"/>
      <c r="AD162" s="123"/>
      <c r="AE162" s="113"/>
      <c r="AF162" s="113"/>
      <c r="AG162" s="113"/>
      <c r="AH162" s="113"/>
      <c r="AI162" s="113"/>
      <c r="AJ162" s="113"/>
      <c r="AK162" s="113"/>
      <c r="AL162" s="113"/>
    </row>
    <row r="163" spans="1:38" ht="15.75" customHeight="1">
      <c r="A163" s="113"/>
      <c r="B163" s="113"/>
      <c r="C163" s="113"/>
      <c r="D163" s="272"/>
      <c r="E163" s="272"/>
      <c r="F163" s="272"/>
      <c r="G163" s="113"/>
      <c r="H163" s="113"/>
      <c r="I163" s="275"/>
      <c r="J163" s="113"/>
      <c r="K163" s="113"/>
      <c r="L163" s="113"/>
      <c r="M163" s="113"/>
      <c r="N163" s="113"/>
      <c r="O163" s="113"/>
      <c r="P163" s="113"/>
      <c r="Q163" s="113"/>
      <c r="R163" s="113"/>
      <c r="S163" s="113"/>
      <c r="T163" s="122"/>
      <c r="W163" s="123"/>
      <c r="X163" s="123"/>
      <c r="Y163" s="123"/>
      <c r="Z163" s="123"/>
      <c r="AA163" s="123"/>
      <c r="AB163" s="123"/>
      <c r="AC163" s="123"/>
      <c r="AD163" s="123"/>
      <c r="AE163" s="113"/>
      <c r="AF163" s="113"/>
      <c r="AG163" s="113"/>
      <c r="AH163" s="113"/>
      <c r="AI163" s="113"/>
      <c r="AJ163" s="113"/>
      <c r="AK163" s="113"/>
      <c r="AL163" s="113"/>
    </row>
    <row r="164" spans="1:38" ht="15.75" customHeight="1">
      <c r="A164" s="113"/>
      <c r="B164" s="113"/>
      <c r="C164" s="113"/>
      <c r="D164" s="272"/>
      <c r="E164" s="272"/>
      <c r="F164" s="272"/>
      <c r="G164" s="113"/>
      <c r="H164" s="113"/>
      <c r="I164" s="275"/>
      <c r="J164" s="113"/>
      <c r="K164" s="113"/>
      <c r="L164" s="113"/>
      <c r="M164" s="113"/>
      <c r="N164" s="113"/>
      <c r="O164" s="113"/>
      <c r="P164" s="113"/>
      <c r="Q164" s="113"/>
      <c r="R164" s="113"/>
      <c r="S164" s="113"/>
      <c r="T164" s="122"/>
      <c r="W164" s="123"/>
      <c r="X164" s="123"/>
      <c r="Y164" s="123"/>
      <c r="Z164" s="123"/>
      <c r="AA164" s="123"/>
      <c r="AB164" s="123"/>
      <c r="AC164" s="123"/>
      <c r="AD164" s="123"/>
      <c r="AE164" s="113"/>
      <c r="AF164" s="113"/>
      <c r="AG164" s="113"/>
      <c r="AH164" s="113"/>
      <c r="AI164" s="113"/>
      <c r="AJ164" s="113"/>
      <c r="AK164" s="113"/>
      <c r="AL164" s="113"/>
    </row>
    <row r="165" spans="1:38" ht="15.75" customHeight="1">
      <c r="A165" s="113"/>
      <c r="B165" s="113"/>
      <c r="C165" s="113"/>
      <c r="D165" s="272"/>
      <c r="E165" s="272"/>
      <c r="F165" s="272"/>
      <c r="G165" s="113"/>
      <c r="H165" s="113"/>
      <c r="I165" s="275"/>
      <c r="J165" s="113"/>
      <c r="K165" s="113"/>
      <c r="L165" s="113"/>
      <c r="M165" s="113"/>
      <c r="N165" s="113"/>
      <c r="O165" s="113"/>
      <c r="P165" s="113"/>
      <c r="Q165" s="113"/>
      <c r="R165" s="113"/>
      <c r="S165" s="113"/>
      <c r="T165" s="122"/>
      <c r="W165" s="123"/>
      <c r="X165" s="123"/>
      <c r="Y165" s="123"/>
      <c r="Z165" s="123"/>
      <c r="AA165" s="123"/>
      <c r="AB165" s="123"/>
      <c r="AC165" s="123"/>
      <c r="AD165" s="123"/>
      <c r="AE165" s="113"/>
      <c r="AF165" s="113"/>
      <c r="AG165" s="113"/>
      <c r="AH165" s="113"/>
      <c r="AI165" s="113"/>
      <c r="AJ165" s="113"/>
      <c r="AK165" s="113"/>
      <c r="AL165" s="113"/>
    </row>
    <row r="166" spans="1:38" ht="15.75" customHeight="1">
      <c r="A166" s="113"/>
      <c r="B166" s="113"/>
      <c r="C166" s="113"/>
      <c r="D166" s="272"/>
      <c r="E166" s="272"/>
      <c r="F166" s="272"/>
      <c r="G166" s="113"/>
      <c r="H166" s="113"/>
      <c r="I166" s="275"/>
      <c r="J166" s="113"/>
      <c r="K166" s="113"/>
      <c r="L166" s="113"/>
      <c r="M166" s="113"/>
      <c r="N166" s="113"/>
      <c r="O166" s="113"/>
      <c r="P166" s="113"/>
      <c r="Q166" s="113"/>
      <c r="R166" s="113"/>
      <c r="S166" s="113"/>
      <c r="T166" s="122"/>
      <c r="W166" s="123"/>
      <c r="X166" s="123"/>
      <c r="Y166" s="123"/>
      <c r="Z166" s="123"/>
      <c r="AA166" s="123"/>
      <c r="AB166" s="123"/>
      <c r="AC166" s="123"/>
      <c r="AD166" s="123"/>
      <c r="AE166" s="113"/>
      <c r="AF166" s="113"/>
      <c r="AG166" s="113"/>
      <c r="AH166" s="113"/>
      <c r="AI166" s="113"/>
      <c r="AJ166" s="113"/>
      <c r="AK166" s="113"/>
      <c r="AL166" s="113"/>
    </row>
    <row r="167" spans="1:38" ht="15.75" customHeight="1">
      <c r="A167" s="113"/>
      <c r="B167" s="113"/>
      <c r="C167" s="113"/>
      <c r="D167" s="272"/>
      <c r="E167" s="272"/>
      <c r="F167" s="272"/>
      <c r="G167" s="113"/>
      <c r="H167" s="113"/>
      <c r="I167" s="275"/>
      <c r="J167" s="113"/>
      <c r="K167" s="113"/>
      <c r="L167" s="113"/>
      <c r="M167" s="113"/>
      <c r="N167" s="113"/>
      <c r="O167" s="113"/>
      <c r="P167" s="113"/>
      <c r="Q167" s="113"/>
      <c r="R167" s="113"/>
      <c r="S167" s="113"/>
      <c r="T167" s="122"/>
      <c r="W167" s="123"/>
      <c r="X167" s="123"/>
      <c r="Y167" s="123"/>
      <c r="Z167" s="123"/>
      <c r="AA167" s="123"/>
      <c r="AB167" s="123"/>
      <c r="AC167" s="123"/>
      <c r="AD167" s="123"/>
      <c r="AE167" s="113"/>
      <c r="AF167" s="113"/>
      <c r="AG167" s="113"/>
      <c r="AH167" s="113"/>
      <c r="AI167" s="113"/>
      <c r="AJ167" s="113"/>
      <c r="AK167" s="113"/>
      <c r="AL167" s="113"/>
    </row>
    <row r="168" spans="1:38" ht="15.75" customHeight="1">
      <c r="A168" s="113"/>
      <c r="B168" s="113"/>
      <c r="C168" s="113"/>
      <c r="D168" s="272"/>
      <c r="E168" s="272"/>
      <c r="F168" s="272"/>
      <c r="G168" s="113"/>
      <c r="H168" s="113"/>
      <c r="I168" s="275"/>
      <c r="J168" s="113"/>
      <c r="K168" s="113"/>
      <c r="L168" s="113"/>
      <c r="M168" s="113"/>
      <c r="N168" s="113"/>
      <c r="O168" s="113"/>
      <c r="P168" s="113"/>
      <c r="Q168" s="113"/>
      <c r="R168" s="113"/>
      <c r="S168" s="113"/>
      <c r="T168" s="122"/>
      <c r="W168" s="123"/>
      <c r="X168" s="123"/>
      <c r="Y168" s="123"/>
      <c r="Z168" s="123"/>
      <c r="AA168" s="123"/>
      <c r="AB168" s="123"/>
      <c r="AC168" s="123"/>
      <c r="AD168" s="123"/>
      <c r="AE168" s="113"/>
      <c r="AF168" s="113"/>
      <c r="AG168" s="113"/>
      <c r="AH168" s="113"/>
      <c r="AI168" s="113"/>
      <c r="AJ168" s="113"/>
      <c r="AK168" s="113"/>
      <c r="AL168" s="113"/>
    </row>
    <row r="169" spans="1:38" ht="15.75" customHeight="1">
      <c r="A169" s="113"/>
      <c r="B169" s="113"/>
      <c r="C169" s="113"/>
      <c r="D169" s="272"/>
      <c r="E169" s="272"/>
      <c r="F169" s="272"/>
      <c r="G169" s="113"/>
      <c r="H169" s="113"/>
      <c r="I169" s="275"/>
      <c r="J169" s="113"/>
      <c r="K169" s="113"/>
      <c r="L169" s="113"/>
      <c r="M169" s="113"/>
      <c r="N169" s="113"/>
      <c r="O169" s="113"/>
      <c r="P169" s="113"/>
      <c r="Q169" s="113"/>
      <c r="R169" s="113"/>
      <c r="S169" s="113"/>
      <c r="T169" s="122"/>
      <c r="W169" s="123"/>
      <c r="X169" s="123"/>
      <c r="Y169" s="123"/>
      <c r="Z169" s="123"/>
      <c r="AA169" s="123"/>
      <c r="AB169" s="123"/>
      <c r="AC169" s="123"/>
      <c r="AD169" s="123"/>
      <c r="AE169" s="113"/>
      <c r="AF169" s="113"/>
      <c r="AG169" s="113"/>
      <c r="AH169" s="113"/>
      <c r="AI169" s="113"/>
      <c r="AJ169" s="113"/>
      <c r="AK169" s="113"/>
      <c r="AL169" s="113"/>
    </row>
    <row r="170" spans="1:38" ht="15.75" customHeight="1">
      <c r="A170" s="113"/>
      <c r="B170" s="113"/>
      <c r="C170" s="113"/>
      <c r="D170" s="272"/>
      <c r="E170" s="272"/>
      <c r="F170" s="272"/>
      <c r="G170" s="113"/>
      <c r="H170" s="113"/>
      <c r="I170" s="275"/>
      <c r="J170" s="113"/>
      <c r="K170" s="113"/>
      <c r="L170" s="113"/>
      <c r="M170" s="113"/>
      <c r="N170" s="113"/>
      <c r="O170" s="113"/>
      <c r="P170" s="113"/>
      <c r="Q170" s="113"/>
      <c r="R170" s="113"/>
      <c r="S170" s="113"/>
      <c r="T170" s="122"/>
      <c r="W170" s="123"/>
      <c r="X170" s="123"/>
      <c r="Y170" s="123"/>
      <c r="Z170" s="123"/>
      <c r="AA170" s="123"/>
      <c r="AB170" s="123"/>
      <c r="AC170" s="123"/>
      <c r="AD170" s="123"/>
      <c r="AE170" s="113"/>
      <c r="AF170" s="113"/>
      <c r="AG170" s="113"/>
      <c r="AH170" s="113"/>
      <c r="AI170" s="113"/>
      <c r="AJ170" s="113"/>
      <c r="AK170" s="113"/>
      <c r="AL170" s="113"/>
    </row>
    <row r="171" spans="1:38" ht="15.75" customHeight="1">
      <c r="A171" s="113"/>
      <c r="B171" s="113"/>
      <c r="C171" s="113"/>
      <c r="D171" s="272"/>
      <c r="E171" s="272"/>
      <c r="F171" s="272"/>
      <c r="G171" s="113"/>
      <c r="H171" s="113"/>
      <c r="I171" s="275"/>
      <c r="J171" s="113"/>
      <c r="K171" s="113"/>
      <c r="L171" s="113"/>
      <c r="M171" s="113"/>
      <c r="N171" s="113"/>
      <c r="O171" s="113"/>
      <c r="P171" s="113"/>
      <c r="Q171" s="113"/>
      <c r="R171" s="113"/>
      <c r="S171" s="113"/>
      <c r="T171" s="122"/>
      <c r="W171" s="123"/>
      <c r="X171" s="123"/>
      <c r="Y171" s="123"/>
      <c r="Z171" s="123"/>
      <c r="AA171" s="123"/>
      <c r="AB171" s="123"/>
      <c r="AC171" s="123"/>
      <c r="AD171" s="123"/>
      <c r="AE171" s="113"/>
      <c r="AF171" s="113"/>
      <c r="AG171" s="113"/>
      <c r="AH171" s="113"/>
      <c r="AI171" s="113"/>
      <c r="AJ171" s="113"/>
      <c r="AK171" s="113"/>
      <c r="AL171" s="113"/>
    </row>
    <row r="172" spans="1:38" ht="15.75" customHeight="1">
      <c r="A172" s="113"/>
      <c r="B172" s="113"/>
      <c r="C172" s="113"/>
      <c r="D172" s="272"/>
      <c r="E172" s="272"/>
      <c r="F172" s="272"/>
      <c r="G172" s="113"/>
      <c r="H172" s="113"/>
      <c r="I172" s="275"/>
      <c r="J172" s="113"/>
      <c r="K172" s="113"/>
      <c r="L172" s="113"/>
      <c r="M172" s="113"/>
      <c r="N172" s="113"/>
      <c r="O172" s="113"/>
      <c r="P172" s="113"/>
      <c r="Q172" s="113"/>
      <c r="R172" s="113"/>
      <c r="S172" s="113"/>
      <c r="T172" s="122"/>
      <c r="W172" s="123"/>
      <c r="X172" s="123"/>
      <c r="Y172" s="123"/>
      <c r="Z172" s="123"/>
      <c r="AA172" s="123"/>
      <c r="AB172" s="123"/>
      <c r="AC172" s="123"/>
      <c r="AD172" s="123"/>
      <c r="AE172" s="113"/>
      <c r="AF172" s="113"/>
      <c r="AG172" s="113"/>
      <c r="AH172" s="113"/>
      <c r="AI172" s="113"/>
      <c r="AJ172" s="113"/>
      <c r="AK172" s="113"/>
      <c r="AL172" s="113"/>
    </row>
    <row r="173" spans="1:38" ht="15.75" customHeight="1">
      <c r="A173" s="113"/>
      <c r="B173" s="113"/>
      <c r="C173" s="113"/>
      <c r="D173" s="272"/>
      <c r="E173" s="272"/>
      <c r="F173" s="272"/>
      <c r="G173" s="113"/>
      <c r="H173" s="113"/>
      <c r="I173" s="275"/>
      <c r="J173" s="113"/>
      <c r="K173" s="113"/>
      <c r="L173" s="113"/>
      <c r="M173" s="113"/>
      <c r="N173" s="113"/>
      <c r="O173" s="113"/>
      <c r="P173" s="113"/>
      <c r="Q173" s="113"/>
      <c r="R173" s="113"/>
      <c r="S173" s="113"/>
      <c r="T173" s="122"/>
      <c r="W173" s="123"/>
      <c r="X173" s="123"/>
      <c r="Y173" s="123"/>
      <c r="Z173" s="123"/>
      <c r="AA173" s="123"/>
      <c r="AB173" s="123"/>
      <c r="AC173" s="123"/>
      <c r="AD173" s="123"/>
      <c r="AE173" s="113"/>
      <c r="AF173" s="113"/>
      <c r="AG173" s="113"/>
      <c r="AH173" s="113"/>
      <c r="AI173" s="113"/>
      <c r="AJ173" s="113"/>
      <c r="AK173" s="113"/>
      <c r="AL173" s="113"/>
    </row>
    <row r="174" spans="1:38" ht="15.75" customHeight="1">
      <c r="A174" s="113"/>
      <c r="B174" s="113"/>
      <c r="C174" s="113"/>
      <c r="D174" s="272"/>
      <c r="E174" s="272"/>
      <c r="F174" s="272"/>
      <c r="G174" s="113"/>
      <c r="H174" s="113"/>
      <c r="I174" s="275"/>
      <c r="J174" s="113"/>
      <c r="K174" s="113"/>
      <c r="L174" s="113"/>
      <c r="M174" s="113"/>
      <c r="N174" s="113"/>
      <c r="O174" s="113"/>
      <c r="P174" s="113"/>
      <c r="Q174" s="113"/>
      <c r="R174" s="113"/>
      <c r="S174" s="113"/>
      <c r="T174" s="122"/>
      <c r="W174" s="123"/>
      <c r="X174" s="123"/>
      <c r="Y174" s="123"/>
      <c r="Z174" s="123"/>
      <c r="AA174" s="123"/>
      <c r="AB174" s="123"/>
      <c r="AC174" s="123"/>
      <c r="AD174" s="123"/>
      <c r="AE174" s="113"/>
      <c r="AF174" s="113"/>
      <c r="AG174" s="113"/>
      <c r="AH174" s="113"/>
      <c r="AI174" s="113"/>
      <c r="AJ174" s="113"/>
      <c r="AK174" s="113"/>
      <c r="AL174" s="113"/>
    </row>
    <row r="175" spans="1:38" ht="15.75" customHeight="1">
      <c r="A175" s="113"/>
      <c r="B175" s="113"/>
      <c r="C175" s="113"/>
      <c r="D175" s="272"/>
      <c r="E175" s="272"/>
      <c r="F175" s="272"/>
      <c r="G175" s="113"/>
      <c r="H175" s="113"/>
      <c r="I175" s="275"/>
      <c r="J175" s="113"/>
      <c r="K175" s="113"/>
      <c r="L175" s="113"/>
      <c r="M175" s="113"/>
      <c r="N175" s="113"/>
      <c r="O175" s="113"/>
      <c r="P175" s="113"/>
      <c r="Q175" s="113"/>
      <c r="R175" s="113"/>
      <c r="S175" s="113"/>
      <c r="T175" s="122"/>
      <c r="W175" s="123"/>
      <c r="X175" s="123"/>
      <c r="Y175" s="123"/>
      <c r="Z175" s="123"/>
      <c r="AA175" s="123"/>
      <c r="AB175" s="123"/>
      <c r="AC175" s="123"/>
      <c r="AD175" s="123"/>
      <c r="AE175" s="113"/>
      <c r="AF175" s="113"/>
      <c r="AG175" s="113"/>
      <c r="AH175" s="113"/>
      <c r="AI175" s="113"/>
      <c r="AJ175" s="113"/>
      <c r="AK175" s="113"/>
      <c r="AL175" s="113"/>
    </row>
    <row r="176" spans="1:38" ht="15.75" customHeight="1">
      <c r="A176" s="113"/>
      <c r="B176" s="113"/>
      <c r="C176" s="113"/>
      <c r="D176" s="272"/>
      <c r="E176" s="272"/>
      <c r="F176" s="272"/>
      <c r="G176" s="113"/>
      <c r="H176" s="113"/>
      <c r="I176" s="275"/>
      <c r="J176" s="113"/>
      <c r="K176" s="113"/>
      <c r="L176" s="113"/>
      <c r="M176" s="113"/>
      <c r="N176" s="113"/>
      <c r="O176" s="113"/>
      <c r="P176" s="113"/>
      <c r="Q176" s="113"/>
      <c r="R176" s="113"/>
      <c r="S176" s="113"/>
      <c r="T176" s="122"/>
      <c r="W176" s="123"/>
      <c r="X176" s="123"/>
      <c r="Y176" s="123"/>
      <c r="Z176" s="123"/>
      <c r="AA176" s="123"/>
      <c r="AB176" s="123"/>
      <c r="AC176" s="123"/>
      <c r="AD176" s="123"/>
      <c r="AE176" s="113"/>
      <c r="AF176" s="113"/>
      <c r="AG176" s="113"/>
      <c r="AH176" s="113"/>
      <c r="AI176" s="113"/>
      <c r="AJ176" s="113"/>
      <c r="AK176" s="113"/>
      <c r="AL176" s="113"/>
    </row>
    <row r="177" spans="1:38" ht="15.75" customHeight="1">
      <c r="A177" s="113"/>
      <c r="B177" s="113"/>
      <c r="C177" s="113"/>
      <c r="D177" s="272"/>
      <c r="E177" s="272"/>
      <c r="F177" s="272"/>
      <c r="G177" s="113"/>
      <c r="H177" s="113"/>
      <c r="I177" s="275"/>
      <c r="J177" s="113"/>
      <c r="K177" s="113"/>
      <c r="L177" s="113"/>
      <c r="M177" s="113"/>
      <c r="N177" s="113"/>
      <c r="O177" s="113"/>
      <c r="P177" s="113"/>
      <c r="Q177" s="113"/>
      <c r="R177" s="113"/>
      <c r="S177" s="113"/>
      <c r="T177" s="122"/>
      <c r="W177" s="123"/>
      <c r="X177" s="123"/>
      <c r="Y177" s="123"/>
      <c r="Z177" s="123"/>
      <c r="AA177" s="123"/>
      <c r="AB177" s="123"/>
      <c r="AC177" s="123"/>
      <c r="AD177" s="123"/>
      <c r="AE177" s="113"/>
      <c r="AF177" s="113"/>
      <c r="AG177" s="113"/>
      <c r="AH177" s="113"/>
      <c r="AI177" s="113"/>
      <c r="AJ177" s="113"/>
      <c r="AK177" s="113"/>
      <c r="AL177" s="113"/>
    </row>
    <row r="178" spans="1:38" ht="15.75" customHeight="1">
      <c r="A178" s="113"/>
      <c r="B178" s="113"/>
      <c r="C178" s="113"/>
      <c r="D178" s="272"/>
      <c r="E178" s="272"/>
      <c r="F178" s="272"/>
      <c r="G178" s="113"/>
      <c r="H178" s="113"/>
      <c r="I178" s="275"/>
      <c r="J178" s="113"/>
      <c r="K178" s="113"/>
      <c r="L178" s="113"/>
      <c r="M178" s="113"/>
      <c r="N178" s="113"/>
      <c r="O178" s="113"/>
      <c r="P178" s="113"/>
      <c r="Q178" s="113"/>
      <c r="R178" s="113"/>
      <c r="S178" s="113"/>
      <c r="T178" s="122"/>
      <c r="W178" s="123"/>
      <c r="X178" s="123"/>
      <c r="Y178" s="123"/>
      <c r="Z178" s="123"/>
      <c r="AA178" s="123"/>
      <c r="AB178" s="123"/>
      <c r="AC178" s="123"/>
      <c r="AD178" s="123"/>
      <c r="AE178" s="113"/>
      <c r="AF178" s="113"/>
      <c r="AG178" s="113"/>
      <c r="AH178" s="113"/>
      <c r="AI178" s="113"/>
      <c r="AJ178" s="113"/>
      <c r="AK178" s="113"/>
      <c r="AL178" s="113"/>
    </row>
    <row r="179" spans="1:38" ht="15.75" customHeight="1">
      <c r="A179" s="113"/>
      <c r="B179" s="113"/>
      <c r="C179" s="113"/>
      <c r="D179" s="272"/>
      <c r="E179" s="272"/>
      <c r="F179" s="272"/>
      <c r="G179" s="113"/>
      <c r="H179" s="113"/>
      <c r="I179" s="275"/>
      <c r="J179" s="113"/>
      <c r="K179" s="113"/>
      <c r="L179" s="113"/>
      <c r="M179" s="113"/>
      <c r="N179" s="113"/>
      <c r="O179" s="113"/>
      <c r="P179" s="113"/>
      <c r="Q179" s="113"/>
      <c r="R179" s="113"/>
      <c r="S179" s="113"/>
      <c r="T179" s="122"/>
      <c r="W179" s="123"/>
      <c r="X179" s="123"/>
      <c r="Y179" s="123"/>
      <c r="Z179" s="123"/>
      <c r="AA179" s="123"/>
      <c r="AB179" s="123"/>
      <c r="AC179" s="123"/>
      <c r="AD179" s="123"/>
      <c r="AE179" s="113"/>
      <c r="AF179" s="113"/>
      <c r="AG179" s="113"/>
      <c r="AH179" s="113"/>
      <c r="AI179" s="113"/>
      <c r="AJ179" s="113"/>
      <c r="AK179" s="113"/>
      <c r="AL179" s="113"/>
    </row>
    <row r="180" spans="1:38" ht="15.75" customHeight="1">
      <c r="A180" s="113"/>
      <c r="B180" s="113"/>
      <c r="C180" s="113"/>
      <c r="D180" s="272"/>
      <c r="E180" s="272"/>
      <c r="F180" s="272"/>
      <c r="G180" s="113"/>
      <c r="H180" s="113"/>
      <c r="I180" s="275"/>
      <c r="J180" s="113"/>
      <c r="K180" s="113"/>
      <c r="L180" s="113"/>
      <c r="M180" s="113"/>
      <c r="N180" s="113"/>
      <c r="O180" s="113"/>
      <c r="P180" s="113"/>
      <c r="Q180" s="113"/>
      <c r="R180" s="113"/>
      <c r="S180" s="113"/>
      <c r="T180" s="122"/>
      <c r="W180" s="123"/>
      <c r="X180" s="123"/>
      <c r="Y180" s="123"/>
      <c r="Z180" s="123"/>
      <c r="AA180" s="123"/>
      <c r="AB180" s="123"/>
      <c r="AC180" s="123"/>
      <c r="AD180" s="123"/>
      <c r="AE180" s="113"/>
      <c r="AF180" s="113"/>
      <c r="AG180" s="113"/>
      <c r="AH180" s="113"/>
      <c r="AI180" s="113"/>
      <c r="AJ180" s="113"/>
      <c r="AK180" s="113"/>
      <c r="AL180" s="113"/>
    </row>
    <row r="181" spans="1:38" ht="15.75" customHeight="1">
      <c r="A181" s="113"/>
      <c r="B181" s="113"/>
      <c r="C181" s="113"/>
      <c r="D181" s="272"/>
      <c r="E181" s="272"/>
      <c r="F181" s="272"/>
      <c r="G181" s="113"/>
      <c r="H181" s="113"/>
      <c r="I181" s="275"/>
      <c r="J181" s="113"/>
      <c r="K181" s="113"/>
      <c r="L181" s="113"/>
      <c r="M181" s="113"/>
      <c r="N181" s="113"/>
      <c r="O181" s="113"/>
      <c r="P181" s="113"/>
      <c r="Q181" s="113"/>
      <c r="R181" s="113"/>
      <c r="S181" s="113"/>
      <c r="T181" s="122"/>
      <c r="W181" s="123"/>
      <c r="X181" s="123"/>
      <c r="Y181" s="123"/>
      <c r="Z181" s="123"/>
      <c r="AA181" s="123"/>
      <c r="AB181" s="123"/>
      <c r="AC181" s="123"/>
      <c r="AD181" s="123"/>
      <c r="AE181" s="113"/>
      <c r="AF181" s="113"/>
      <c r="AG181" s="113"/>
      <c r="AH181" s="113"/>
      <c r="AI181" s="113"/>
      <c r="AJ181" s="113"/>
      <c r="AK181" s="113"/>
      <c r="AL181" s="113"/>
    </row>
    <row r="182" spans="1:38" ht="15.75" customHeight="1">
      <c r="A182" s="113"/>
      <c r="B182" s="113"/>
      <c r="C182" s="113"/>
      <c r="D182" s="272"/>
      <c r="E182" s="272"/>
      <c r="F182" s="272"/>
      <c r="G182" s="113"/>
      <c r="H182" s="113"/>
      <c r="I182" s="275"/>
      <c r="J182" s="113"/>
      <c r="K182" s="113"/>
      <c r="L182" s="113"/>
      <c r="M182" s="113"/>
      <c r="N182" s="113"/>
      <c r="O182" s="113"/>
      <c r="P182" s="113"/>
      <c r="Q182" s="113"/>
      <c r="R182" s="113"/>
      <c r="S182" s="113"/>
      <c r="T182" s="122"/>
      <c r="W182" s="123"/>
      <c r="X182" s="123"/>
      <c r="Y182" s="123"/>
      <c r="Z182" s="123"/>
      <c r="AA182" s="123"/>
      <c r="AB182" s="123"/>
      <c r="AC182" s="123"/>
      <c r="AD182" s="123"/>
      <c r="AE182" s="113"/>
      <c r="AF182" s="113"/>
      <c r="AG182" s="113"/>
      <c r="AH182" s="113"/>
      <c r="AI182" s="113"/>
      <c r="AJ182" s="113"/>
      <c r="AK182" s="113"/>
      <c r="AL182" s="113"/>
    </row>
    <row r="183" spans="1:38" ht="15.75" customHeight="1">
      <c r="A183" s="113"/>
      <c r="B183" s="113"/>
      <c r="C183" s="113"/>
      <c r="D183" s="272"/>
      <c r="E183" s="272"/>
      <c r="F183" s="272"/>
      <c r="G183" s="113"/>
      <c r="H183" s="113"/>
      <c r="I183" s="275"/>
      <c r="J183" s="113"/>
      <c r="K183" s="113"/>
      <c r="L183" s="113"/>
      <c r="M183" s="113"/>
      <c r="N183" s="113"/>
      <c r="O183" s="113"/>
      <c r="P183" s="113"/>
      <c r="Q183" s="113"/>
      <c r="R183" s="113"/>
      <c r="S183" s="113"/>
      <c r="T183" s="122"/>
      <c r="W183" s="123"/>
      <c r="X183" s="123"/>
      <c r="Y183" s="123"/>
      <c r="Z183" s="123"/>
      <c r="AA183" s="123"/>
      <c r="AB183" s="123"/>
      <c r="AC183" s="123"/>
      <c r="AD183" s="123"/>
      <c r="AE183" s="113"/>
      <c r="AF183" s="113"/>
      <c r="AG183" s="113"/>
      <c r="AH183" s="113"/>
      <c r="AI183" s="113"/>
      <c r="AJ183" s="113"/>
      <c r="AK183" s="113"/>
      <c r="AL183" s="113"/>
    </row>
    <row r="184" spans="1:38" ht="15.75" customHeight="1">
      <c r="A184" s="113"/>
      <c r="B184" s="113"/>
      <c r="C184" s="113"/>
      <c r="D184" s="272"/>
      <c r="E184" s="272"/>
      <c r="F184" s="272"/>
      <c r="G184" s="113"/>
      <c r="H184" s="113"/>
      <c r="I184" s="275"/>
      <c r="J184" s="113"/>
      <c r="K184" s="113"/>
      <c r="L184" s="113"/>
      <c r="M184" s="113"/>
      <c r="N184" s="113"/>
      <c r="O184" s="113"/>
      <c r="P184" s="113"/>
      <c r="Q184" s="113"/>
      <c r="R184" s="113"/>
      <c r="S184" s="113"/>
      <c r="T184" s="122"/>
      <c r="W184" s="123"/>
      <c r="X184" s="123"/>
      <c r="Y184" s="123"/>
      <c r="Z184" s="123"/>
      <c r="AA184" s="123"/>
      <c r="AB184" s="123"/>
      <c r="AC184" s="123"/>
      <c r="AD184" s="123"/>
      <c r="AE184" s="113"/>
      <c r="AF184" s="113"/>
      <c r="AG184" s="113"/>
      <c r="AH184" s="113"/>
      <c r="AI184" s="113"/>
      <c r="AJ184" s="113"/>
      <c r="AK184" s="113"/>
      <c r="AL184" s="113"/>
    </row>
    <row r="185" spans="1:38" ht="15.75" customHeight="1">
      <c r="A185" s="113"/>
      <c r="B185" s="113"/>
      <c r="C185" s="113"/>
      <c r="D185" s="272"/>
      <c r="E185" s="272"/>
      <c r="F185" s="272"/>
      <c r="G185" s="113"/>
      <c r="H185" s="113"/>
      <c r="I185" s="275"/>
      <c r="J185" s="113"/>
      <c r="K185" s="113"/>
      <c r="L185" s="113"/>
      <c r="M185" s="113"/>
      <c r="N185" s="113"/>
      <c r="O185" s="113"/>
      <c r="P185" s="113"/>
      <c r="Q185" s="113"/>
      <c r="R185" s="113"/>
      <c r="S185" s="113"/>
      <c r="T185" s="122"/>
      <c r="W185" s="123"/>
      <c r="X185" s="123"/>
      <c r="Y185" s="123"/>
      <c r="Z185" s="123"/>
      <c r="AA185" s="123"/>
      <c r="AB185" s="123"/>
      <c r="AC185" s="123"/>
      <c r="AD185" s="123"/>
      <c r="AE185" s="113"/>
      <c r="AF185" s="113"/>
      <c r="AG185" s="113"/>
      <c r="AH185" s="113"/>
      <c r="AI185" s="113"/>
      <c r="AJ185" s="113"/>
      <c r="AK185" s="113"/>
      <c r="AL185" s="113"/>
    </row>
    <row r="186" spans="1:38" ht="15.75" customHeight="1">
      <c r="A186" s="113"/>
      <c r="B186" s="113"/>
      <c r="C186" s="113"/>
      <c r="D186" s="272"/>
      <c r="E186" s="272"/>
      <c r="F186" s="272"/>
      <c r="G186" s="113"/>
      <c r="H186" s="113"/>
      <c r="I186" s="275"/>
      <c r="J186" s="113"/>
      <c r="K186" s="113"/>
      <c r="L186" s="113"/>
      <c r="M186" s="113"/>
      <c r="N186" s="113"/>
      <c r="O186" s="113"/>
      <c r="P186" s="113"/>
      <c r="Q186" s="113"/>
      <c r="R186" s="113"/>
      <c r="S186" s="113"/>
      <c r="T186" s="122"/>
      <c r="W186" s="123"/>
      <c r="X186" s="123"/>
      <c r="Y186" s="123"/>
      <c r="Z186" s="123"/>
      <c r="AA186" s="123"/>
      <c r="AB186" s="123"/>
      <c r="AC186" s="123"/>
      <c r="AD186" s="123"/>
      <c r="AE186" s="113"/>
      <c r="AF186" s="113"/>
      <c r="AG186" s="113"/>
      <c r="AH186" s="113"/>
      <c r="AI186" s="113"/>
      <c r="AJ186" s="113"/>
      <c r="AK186" s="113"/>
      <c r="AL186" s="113"/>
    </row>
    <row r="187" spans="1:38" ht="15.75" customHeight="1">
      <c r="A187" s="113"/>
      <c r="B187" s="113"/>
      <c r="C187" s="113"/>
      <c r="D187" s="272"/>
      <c r="E187" s="272"/>
      <c r="F187" s="272"/>
      <c r="G187" s="113"/>
      <c r="H187" s="113"/>
      <c r="I187" s="275"/>
      <c r="J187" s="113"/>
      <c r="K187" s="113"/>
      <c r="L187" s="113"/>
      <c r="M187" s="113"/>
      <c r="N187" s="113"/>
      <c r="O187" s="113"/>
      <c r="P187" s="113"/>
      <c r="Q187" s="113"/>
      <c r="R187" s="113"/>
      <c r="S187" s="113"/>
      <c r="T187" s="122"/>
      <c r="W187" s="123"/>
      <c r="X187" s="123"/>
      <c r="Y187" s="123"/>
      <c r="Z187" s="123"/>
      <c r="AA187" s="123"/>
      <c r="AB187" s="123"/>
      <c r="AC187" s="123"/>
      <c r="AD187" s="123"/>
      <c r="AE187" s="113"/>
      <c r="AF187" s="113"/>
      <c r="AG187" s="113"/>
      <c r="AH187" s="113"/>
      <c r="AI187" s="113"/>
      <c r="AJ187" s="113"/>
      <c r="AK187" s="113"/>
      <c r="AL187" s="113"/>
    </row>
    <row r="188" spans="1:38" ht="15.75" customHeight="1">
      <c r="A188" s="113"/>
      <c r="B188" s="113"/>
      <c r="C188" s="113"/>
      <c r="D188" s="272"/>
      <c r="E188" s="272"/>
      <c r="F188" s="272"/>
      <c r="G188" s="113"/>
      <c r="H188" s="113"/>
      <c r="I188" s="275"/>
      <c r="J188" s="113"/>
      <c r="K188" s="113"/>
      <c r="L188" s="113"/>
      <c r="M188" s="113"/>
      <c r="N188" s="113"/>
      <c r="O188" s="113"/>
      <c r="P188" s="113"/>
      <c r="Q188" s="113"/>
      <c r="R188" s="113"/>
      <c r="S188" s="113"/>
      <c r="T188" s="122"/>
      <c r="W188" s="123"/>
      <c r="X188" s="123"/>
      <c r="Y188" s="123"/>
      <c r="Z188" s="123"/>
      <c r="AA188" s="123"/>
      <c r="AB188" s="123"/>
      <c r="AC188" s="123"/>
      <c r="AD188" s="123"/>
      <c r="AE188" s="113"/>
      <c r="AF188" s="113"/>
      <c r="AG188" s="113"/>
      <c r="AH188" s="113"/>
      <c r="AI188" s="113"/>
      <c r="AJ188" s="113"/>
      <c r="AK188" s="113"/>
      <c r="AL188" s="113"/>
    </row>
    <row r="189" spans="1:38" ht="15.75" customHeight="1">
      <c r="A189" s="113"/>
      <c r="B189" s="113"/>
      <c r="C189" s="113"/>
      <c r="D189" s="272"/>
      <c r="E189" s="272"/>
      <c r="F189" s="272"/>
      <c r="G189" s="113"/>
      <c r="H189" s="113"/>
      <c r="I189" s="275"/>
      <c r="J189" s="113"/>
      <c r="K189" s="113"/>
      <c r="L189" s="113"/>
      <c r="M189" s="113"/>
      <c r="N189" s="113"/>
      <c r="O189" s="113"/>
      <c r="P189" s="113"/>
      <c r="Q189" s="113"/>
      <c r="R189" s="113"/>
      <c r="S189" s="113"/>
      <c r="T189" s="122"/>
      <c r="W189" s="123"/>
      <c r="X189" s="123"/>
      <c r="Y189" s="123"/>
      <c r="Z189" s="123"/>
      <c r="AA189" s="123"/>
      <c r="AB189" s="123"/>
      <c r="AC189" s="123"/>
      <c r="AD189" s="123"/>
      <c r="AE189" s="113"/>
      <c r="AF189" s="113"/>
      <c r="AG189" s="113"/>
      <c r="AH189" s="113"/>
      <c r="AI189" s="113"/>
      <c r="AJ189" s="113"/>
      <c r="AK189" s="113"/>
      <c r="AL189" s="113"/>
    </row>
    <row r="190" spans="1:38" ht="15.75" customHeight="1">
      <c r="A190" s="113"/>
      <c r="B190" s="113"/>
      <c r="C190" s="113"/>
      <c r="D190" s="272"/>
      <c r="E190" s="272"/>
      <c r="F190" s="272"/>
      <c r="G190" s="113"/>
      <c r="H190" s="113"/>
      <c r="I190" s="275"/>
      <c r="J190" s="113"/>
      <c r="K190" s="113"/>
      <c r="L190" s="113"/>
      <c r="M190" s="113"/>
      <c r="N190" s="113"/>
      <c r="O190" s="113"/>
      <c r="P190" s="113"/>
      <c r="Q190" s="113"/>
      <c r="R190" s="113"/>
      <c r="S190" s="113"/>
      <c r="T190" s="122"/>
      <c r="W190" s="123"/>
      <c r="X190" s="123"/>
      <c r="Y190" s="123"/>
      <c r="Z190" s="123"/>
      <c r="AA190" s="123"/>
      <c r="AB190" s="123"/>
      <c r="AC190" s="123"/>
      <c r="AD190" s="123"/>
      <c r="AE190" s="113"/>
      <c r="AF190" s="113"/>
      <c r="AG190" s="113"/>
      <c r="AH190" s="113"/>
      <c r="AI190" s="113"/>
      <c r="AJ190" s="113"/>
      <c r="AK190" s="113"/>
      <c r="AL190" s="113"/>
    </row>
    <row r="191" spans="1:38" ht="15.75" customHeight="1">
      <c r="A191" s="113"/>
      <c r="B191" s="113"/>
      <c r="C191" s="113"/>
      <c r="D191" s="272"/>
      <c r="E191" s="272"/>
      <c r="F191" s="272"/>
      <c r="G191" s="113"/>
      <c r="H191" s="113"/>
      <c r="I191" s="275"/>
      <c r="J191" s="113"/>
      <c r="K191" s="113"/>
      <c r="L191" s="113"/>
      <c r="M191" s="113"/>
      <c r="N191" s="113"/>
      <c r="O191" s="113"/>
      <c r="P191" s="113"/>
      <c r="Q191" s="113"/>
      <c r="R191" s="113"/>
      <c r="S191" s="113"/>
      <c r="T191" s="122"/>
      <c r="W191" s="123"/>
      <c r="X191" s="123"/>
      <c r="Y191" s="123"/>
      <c r="Z191" s="123"/>
      <c r="AA191" s="123"/>
      <c r="AB191" s="123"/>
      <c r="AC191" s="123"/>
      <c r="AD191" s="123"/>
      <c r="AE191" s="113"/>
      <c r="AF191" s="113"/>
      <c r="AG191" s="113"/>
      <c r="AH191" s="113"/>
      <c r="AI191" s="113"/>
      <c r="AJ191" s="113"/>
      <c r="AK191" s="113"/>
      <c r="AL191" s="113"/>
    </row>
    <row r="192" spans="1:38" ht="15.75" customHeight="1">
      <c r="A192" s="113"/>
      <c r="B192" s="113"/>
      <c r="C192" s="113"/>
      <c r="D192" s="272"/>
      <c r="E192" s="272"/>
      <c r="F192" s="272"/>
      <c r="G192" s="113"/>
      <c r="H192" s="113"/>
      <c r="I192" s="275"/>
      <c r="J192" s="113"/>
      <c r="K192" s="113"/>
      <c r="L192" s="113"/>
      <c r="M192" s="113"/>
      <c r="N192" s="113"/>
      <c r="O192" s="113"/>
      <c r="P192" s="113"/>
      <c r="Q192" s="113"/>
      <c r="R192" s="113"/>
      <c r="S192" s="113"/>
      <c r="T192" s="122"/>
      <c r="W192" s="123"/>
      <c r="X192" s="123"/>
      <c r="Y192" s="123"/>
      <c r="Z192" s="123"/>
      <c r="AA192" s="123"/>
      <c r="AB192" s="123"/>
      <c r="AC192" s="123"/>
      <c r="AD192" s="123"/>
      <c r="AE192" s="113"/>
      <c r="AF192" s="113"/>
      <c r="AG192" s="113"/>
      <c r="AH192" s="113"/>
      <c r="AI192" s="113"/>
      <c r="AJ192" s="113"/>
      <c r="AK192" s="113"/>
      <c r="AL192" s="113"/>
    </row>
    <row r="193" spans="1:38" ht="15.75" customHeight="1">
      <c r="A193" s="113"/>
      <c r="B193" s="113"/>
      <c r="C193" s="113"/>
      <c r="D193" s="272"/>
      <c r="E193" s="272"/>
      <c r="F193" s="272"/>
      <c r="G193" s="113"/>
      <c r="H193" s="113"/>
      <c r="I193" s="275"/>
      <c r="J193" s="113"/>
      <c r="K193" s="113"/>
      <c r="L193" s="113"/>
      <c r="M193" s="113"/>
      <c r="N193" s="113"/>
      <c r="O193" s="113"/>
      <c r="P193" s="113"/>
      <c r="Q193" s="113"/>
      <c r="R193" s="113"/>
      <c r="S193" s="113"/>
      <c r="T193" s="122"/>
      <c r="W193" s="123"/>
      <c r="X193" s="123"/>
      <c r="Y193" s="123"/>
      <c r="Z193" s="123"/>
      <c r="AA193" s="123"/>
      <c r="AB193" s="123"/>
      <c r="AC193" s="123"/>
      <c r="AD193" s="123"/>
      <c r="AE193" s="113"/>
      <c r="AF193" s="113"/>
      <c r="AG193" s="113"/>
      <c r="AH193" s="113"/>
      <c r="AI193" s="113"/>
      <c r="AJ193" s="113"/>
      <c r="AK193" s="113"/>
      <c r="AL193" s="113"/>
    </row>
    <row r="194" spans="1:38" ht="15.75" customHeight="1">
      <c r="A194" s="113"/>
      <c r="B194" s="113"/>
      <c r="C194" s="113"/>
      <c r="D194" s="272"/>
      <c r="E194" s="272"/>
      <c r="F194" s="272"/>
      <c r="G194" s="113"/>
      <c r="H194" s="113"/>
      <c r="I194" s="275"/>
      <c r="J194" s="113"/>
      <c r="K194" s="113"/>
      <c r="L194" s="113"/>
      <c r="M194" s="113"/>
      <c r="N194" s="113"/>
      <c r="O194" s="113"/>
      <c r="P194" s="113"/>
      <c r="Q194" s="113"/>
      <c r="R194" s="113"/>
      <c r="S194" s="113"/>
      <c r="T194" s="122"/>
      <c r="W194" s="123"/>
      <c r="X194" s="123"/>
      <c r="Y194" s="123"/>
      <c r="Z194" s="123"/>
      <c r="AA194" s="123"/>
      <c r="AB194" s="123"/>
      <c r="AC194" s="123"/>
      <c r="AD194" s="123"/>
      <c r="AE194" s="113"/>
      <c r="AF194" s="113"/>
      <c r="AG194" s="113"/>
      <c r="AH194" s="113"/>
      <c r="AI194" s="113"/>
      <c r="AJ194" s="113"/>
      <c r="AK194" s="113"/>
      <c r="AL194" s="113"/>
    </row>
    <row r="195" spans="1:38" ht="15.75" customHeight="1">
      <c r="A195" s="113"/>
      <c r="B195" s="113"/>
      <c r="C195" s="113"/>
      <c r="D195" s="272"/>
      <c r="E195" s="272"/>
      <c r="F195" s="272"/>
      <c r="G195" s="113"/>
      <c r="H195" s="113"/>
      <c r="I195" s="275"/>
      <c r="J195" s="113"/>
      <c r="K195" s="113"/>
      <c r="L195" s="113"/>
      <c r="M195" s="113"/>
      <c r="N195" s="113"/>
      <c r="O195" s="113"/>
      <c r="P195" s="113"/>
      <c r="Q195" s="113"/>
      <c r="R195" s="113"/>
      <c r="S195" s="113"/>
      <c r="T195" s="122"/>
      <c r="W195" s="123"/>
      <c r="X195" s="123"/>
      <c r="Y195" s="123"/>
      <c r="Z195" s="123"/>
      <c r="AA195" s="123"/>
      <c r="AB195" s="123"/>
      <c r="AC195" s="123"/>
      <c r="AD195" s="123"/>
      <c r="AE195" s="113"/>
      <c r="AF195" s="113"/>
      <c r="AG195" s="113"/>
      <c r="AH195" s="113"/>
      <c r="AI195" s="113"/>
      <c r="AJ195" s="113"/>
      <c r="AK195" s="113"/>
      <c r="AL195" s="113"/>
    </row>
    <row r="196" spans="1:38" ht="15.75" customHeight="1">
      <c r="A196" s="113"/>
      <c r="B196" s="113"/>
      <c r="C196" s="113"/>
      <c r="D196" s="272"/>
      <c r="E196" s="272"/>
      <c r="F196" s="272"/>
      <c r="G196" s="113"/>
      <c r="H196" s="113"/>
      <c r="I196" s="275"/>
      <c r="J196" s="113"/>
      <c r="K196" s="113"/>
      <c r="L196" s="113"/>
      <c r="M196" s="113"/>
      <c r="N196" s="113"/>
      <c r="O196" s="113"/>
      <c r="P196" s="113"/>
      <c r="Q196" s="113"/>
      <c r="R196" s="113"/>
      <c r="S196" s="113"/>
      <c r="T196" s="122"/>
      <c r="W196" s="123"/>
      <c r="X196" s="123"/>
      <c r="Y196" s="123"/>
      <c r="Z196" s="123"/>
      <c r="AA196" s="123"/>
      <c r="AB196" s="123"/>
      <c r="AC196" s="123"/>
      <c r="AD196" s="123"/>
      <c r="AE196" s="113"/>
      <c r="AF196" s="113"/>
      <c r="AG196" s="113"/>
      <c r="AH196" s="113"/>
      <c r="AI196" s="113"/>
      <c r="AJ196" s="113"/>
      <c r="AK196" s="113"/>
      <c r="AL196" s="113"/>
    </row>
    <row r="197" spans="1:38" ht="15.75" customHeight="1">
      <c r="A197" s="113"/>
      <c r="B197" s="113"/>
      <c r="C197" s="113"/>
      <c r="D197" s="272"/>
      <c r="E197" s="272"/>
      <c r="F197" s="272"/>
      <c r="G197" s="113"/>
      <c r="H197" s="113"/>
      <c r="I197" s="275"/>
      <c r="J197" s="113"/>
      <c r="K197" s="113"/>
      <c r="L197" s="113"/>
      <c r="M197" s="113"/>
      <c r="N197" s="113"/>
      <c r="O197" s="113"/>
      <c r="P197" s="113"/>
      <c r="Q197" s="113"/>
      <c r="R197" s="113"/>
      <c r="S197" s="113"/>
      <c r="T197" s="122"/>
      <c r="W197" s="123"/>
      <c r="X197" s="123"/>
      <c r="Y197" s="123"/>
      <c r="Z197" s="123"/>
      <c r="AA197" s="123"/>
      <c r="AB197" s="123"/>
      <c r="AC197" s="123"/>
      <c r="AD197" s="123"/>
      <c r="AE197" s="113"/>
      <c r="AF197" s="113"/>
      <c r="AG197" s="113"/>
      <c r="AH197" s="113"/>
      <c r="AI197" s="113"/>
      <c r="AJ197" s="113"/>
      <c r="AK197" s="113"/>
      <c r="AL197" s="113"/>
    </row>
    <row r="198" spans="1:38" ht="15.75" customHeight="1">
      <c r="A198" s="113"/>
      <c r="B198" s="113"/>
      <c r="C198" s="113"/>
      <c r="D198" s="272"/>
      <c r="E198" s="272"/>
      <c r="F198" s="272"/>
      <c r="G198" s="113"/>
      <c r="H198" s="113"/>
      <c r="I198" s="275"/>
      <c r="J198" s="113"/>
      <c r="K198" s="113"/>
      <c r="L198" s="113"/>
      <c r="M198" s="113"/>
      <c r="N198" s="113"/>
      <c r="O198" s="113"/>
      <c r="P198" s="113"/>
      <c r="Q198" s="113"/>
      <c r="R198" s="113"/>
      <c r="S198" s="113"/>
      <c r="T198" s="122"/>
      <c r="W198" s="123"/>
      <c r="X198" s="123"/>
      <c r="Y198" s="123"/>
      <c r="Z198" s="123"/>
      <c r="AA198" s="123"/>
      <c r="AB198" s="123"/>
      <c r="AC198" s="123"/>
      <c r="AD198" s="123"/>
      <c r="AE198" s="113"/>
      <c r="AF198" s="113"/>
      <c r="AG198" s="113"/>
      <c r="AH198" s="113"/>
      <c r="AI198" s="113"/>
      <c r="AJ198" s="113"/>
      <c r="AK198" s="113"/>
      <c r="AL198" s="113"/>
    </row>
    <row r="199" spans="1:38" ht="15.75" customHeight="1">
      <c r="A199" s="113"/>
      <c r="B199" s="113"/>
      <c r="C199" s="113"/>
      <c r="D199" s="272"/>
      <c r="E199" s="272"/>
      <c r="F199" s="272"/>
      <c r="G199" s="113"/>
      <c r="H199" s="113"/>
      <c r="I199" s="275"/>
      <c r="J199" s="113"/>
      <c r="K199" s="113"/>
      <c r="L199" s="113"/>
      <c r="M199" s="113"/>
      <c r="N199" s="113"/>
      <c r="O199" s="113"/>
      <c r="P199" s="113"/>
      <c r="Q199" s="113"/>
      <c r="R199" s="113"/>
      <c r="S199" s="113"/>
      <c r="T199" s="122"/>
      <c r="W199" s="123"/>
      <c r="X199" s="123"/>
      <c r="Y199" s="123"/>
      <c r="Z199" s="123"/>
      <c r="AA199" s="123"/>
      <c r="AB199" s="123"/>
      <c r="AC199" s="123"/>
      <c r="AD199" s="123"/>
      <c r="AE199" s="113"/>
      <c r="AF199" s="113"/>
      <c r="AG199" s="113"/>
      <c r="AH199" s="113"/>
      <c r="AI199" s="113"/>
      <c r="AJ199" s="113"/>
      <c r="AK199" s="113"/>
      <c r="AL199" s="113"/>
    </row>
    <row r="200" spans="1:38" ht="15.75" customHeight="1">
      <c r="A200" s="113"/>
      <c r="B200" s="113"/>
      <c r="C200" s="113"/>
      <c r="D200" s="272"/>
      <c r="E200" s="272"/>
      <c r="F200" s="272"/>
      <c r="G200" s="113"/>
      <c r="H200" s="113"/>
      <c r="I200" s="275"/>
      <c r="J200" s="113"/>
      <c r="K200" s="113"/>
      <c r="L200" s="113"/>
      <c r="M200" s="113"/>
      <c r="N200" s="113"/>
      <c r="O200" s="113"/>
      <c r="P200" s="113"/>
      <c r="Q200" s="113"/>
      <c r="R200" s="113"/>
      <c r="S200" s="113"/>
      <c r="T200" s="122"/>
      <c r="W200" s="123"/>
      <c r="X200" s="123"/>
      <c r="Y200" s="123"/>
      <c r="Z200" s="123"/>
      <c r="AA200" s="123"/>
      <c r="AB200" s="123"/>
      <c r="AC200" s="123"/>
      <c r="AD200" s="123"/>
      <c r="AE200" s="113"/>
      <c r="AF200" s="113"/>
      <c r="AG200" s="113"/>
      <c r="AH200" s="113"/>
      <c r="AI200" s="113"/>
      <c r="AJ200" s="113"/>
      <c r="AK200" s="113"/>
      <c r="AL200" s="113"/>
    </row>
    <row r="201" spans="1:38" ht="15.75" customHeight="1">
      <c r="A201" s="113"/>
      <c r="B201" s="113"/>
      <c r="C201" s="113"/>
      <c r="D201" s="272"/>
      <c r="E201" s="272"/>
      <c r="F201" s="272"/>
      <c r="G201" s="113"/>
      <c r="H201" s="113"/>
      <c r="I201" s="275"/>
      <c r="J201" s="113"/>
      <c r="K201" s="113"/>
      <c r="L201" s="113"/>
      <c r="M201" s="113"/>
      <c r="N201" s="113"/>
      <c r="O201" s="113"/>
      <c r="P201" s="113"/>
      <c r="Q201" s="113"/>
      <c r="R201" s="113"/>
      <c r="S201" s="113"/>
      <c r="T201" s="122"/>
      <c r="W201" s="123"/>
      <c r="X201" s="123"/>
      <c r="Y201" s="123"/>
      <c r="Z201" s="123"/>
      <c r="AA201" s="123"/>
      <c r="AB201" s="123"/>
      <c r="AC201" s="123"/>
      <c r="AD201" s="123"/>
      <c r="AE201" s="113"/>
      <c r="AF201" s="113"/>
      <c r="AG201" s="113"/>
      <c r="AH201" s="113"/>
      <c r="AI201" s="113"/>
      <c r="AJ201" s="113"/>
      <c r="AK201" s="113"/>
      <c r="AL201" s="113"/>
    </row>
    <row r="202" spans="1:38" ht="15.75" customHeight="1">
      <c r="A202" s="113"/>
      <c r="B202" s="113"/>
      <c r="C202" s="113"/>
      <c r="D202" s="272"/>
      <c r="E202" s="272"/>
      <c r="F202" s="272"/>
      <c r="G202" s="113"/>
      <c r="H202" s="113"/>
      <c r="I202" s="275"/>
      <c r="J202" s="113"/>
      <c r="K202" s="113"/>
      <c r="L202" s="113"/>
      <c r="M202" s="113"/>
      <c r="N202" s="113"/>
      <c r="O202" s="113"/>
      <c r="P202" s="113"/>
      <c r="Q202" s="113"/>
      <c r="R202" s="113"/>
      <c r="S202" s="113"/>
      <c r="T202" s="122"/>
      <c r="W202" s="123"/>
      <c r="X202" s="123"/>
      <c r="Y202" s="123"/>
      <c r="Z202" s="123"/>
      <c r="AA202" s="123"/>
      <c r="AB202" s="123"/>
      <c r="AC202" s="123"/>
      <c r="AD202" s="123"/>
      <c r="AE202" s="113"/>
      <c r="AF202" s="113"/>
      <c r="AG202" s="113"/>
      <c r="AH202" s="113"/>
      <c r="AI202" s="113"/>
      <c r="AJ202" s="113"/>
      <c r="AK202" s="113"/>
      <c r="AL202" s="113"/>
    </row>
    <row r="203" spans="1:38" ht="15.75" customHeight="1">
      <c r="A203" s="113"/>
      <c r="B203" s="113"/>
      <c r="C203" s="113"/>
      <c r="D203" s="272"/>
      <c r="E203" s="272"/>
      <c r="F203" s="272"/>
      <c r="G203" s="113"/>
      <c r="H203" s="113"/>
      <c r="I203" s="275"/>
      <c r="J203" s="113"/>
      <c r="K203" s="113"/>
      <c r="L203" s="113"/>
      <c r="M203" s="113"/>
      <c r="N203" s="113"/>
      <c r="O203" s="113"/>
      <c r="P203" s="113"/>
      <c r="Q203" s="113"/>
      <c r="R203" s="113"/>
      <c r="S203" s="113"/>
      <c r="T203" s="122"/>
      <c r="W203" s="123"/>
      <c r="X203" s="123"/>
      <c r="Y203" s="123"/>
      <c r="Z203" s="123"/>
      <c r="AA203" s="123"/>
      <c r="AB203" s="123"/>
      <c r="AC203" s="123"/>
      <c r="AD203" s="123"/>
      <c r="AE203" s="113"/>
      <c r="AF203" s="113"/>
      <c r="AG203" s="113"/>
      <c r="AH203" s="113"/>
      <c r="AI203" s="113"/>
      <c r="AJ203" s="113"/>
      <c r="AK203" s="113"/>
      <c r="AL203" s="113"/>
    </row>
    <row r="204" spans="1:38" ht="15.75" customHeight="1">
      <c r="A204" s="113"/>
      <c r="B204" s="113"/>
      <c r="C204" s="113"/>
      <c r="D204" s="272"/>
      <c r="E204" s="272"/>
      <c r="F204" s="272"/>
      <c r="G204" s="113"/>
      <c r="H204" s="113"/>
      <c r="I204" s="275"/>
      <c r="J204" s="113"/>
      <c r="K204" s="113"/>
      <c r="L204" s="113"/>
      <c r="M204" s="113"/>
      <c r="N204" s="113"/>
      <c r="O204" s="113"/>
      <c r="P204" s="113"/>
      <c r="Q204" s="113"/>
      <c r="R204" s="113"/>
      <c r="S204" s="113"/>
      <c r="T204" s="122"/>
      <c r="W204" s="123"/>
      <c r="X204" s="123"/>
      <c r="Y204" s="123"/>
      <c r="Z204" s="123"/>
      <c r="AA204" s="123"/>
      <c r="AB204" s="123"/>
      <c r="AC204" s="123"/>
      <c r="AD204" s="123"/>
      <c r="AE204" s="113"/>
      <c r="AF204" s="113"/>
      <c r="AG204" s="113"/>
      <c r="AH204" s="113"/>
      <c r="AI204" s="113"/>
      <c r="AJ204" s="113"/>
      <c r="AK204" s="113"/>
      <c r="AL204" s="113"/>
    </row>
    <row r="205" spans="1:38" ht="15.75" customHeight="1">
      <c r="A205" s="113"/>
      <c r="B205" s="113"/>
      <c r="C205" s="113"/>
      <c r="D205" s="272"/>
      <c r="E205" s="272"/>
      <c r="F205" s="272"/>
      <c r="G205" s="113"/>
      <c r="H205" s="113"/>
      <c r="I205" s="275"/>
      <c r="J205" s="113"/>
      <c r="K205" s="113"/>
      <c r="L205" s="113"/>
      <c r="M205" s="113"/>
      <c r="N205" s="113"/>
      <c r="O205" s="113"/>
      <c r="P205" s="113"/>
      <c r="Q205" s="113"/>
      <c r="R205" s="113"/>
      <c r="S205" s="113"/>
      <c r="T205" s="122"/>
      <c r="W205" s="123"/>
      <c r="X205" s="123"/>
      <c r="Y205" s="123"/>
      <c r="Z205" s="123"/>
      <c r="AA205" s="123"/>
      <c r="AB205" s="123"/>
      <c r="AC205" s="123"/>
      <c r="AD205" s="123"/>
      <c r="AE205" s="113"/>
      <c r="AF205" s="113"/>
      <c r="AG205" s="113"/>
      <c r="AH205" s="113"/>
      <c r="AI205" s="113"/>
      <c r="AJ205" s="113"/>
      <c r="AK205" s="113"/>
      <c r="AL205" s="113"/>
    </row>
    <row r="206" spans="1:38" ht="15.75" customHeight="1">
      <c r="A206" s="113"/>
      <c r="B206" s="113"/>
      <c r="C206" s="113"/>
      <c r="D206" s="272"/>
      <c r="E206" s="272"/>
      <c r="F206" s="272"/>
      <c r="G206" s="113"/>
      <c r="H206" s="113"/>
      <c r="I206" s="275"/>
      <c r="J206" s="113"/>
      <c r="K206" s="113"/>
      <c r="L206" s="113"/>
      <c r="M206" s="113"/>
      <c r="N206" s="113"/>
      <c r="O206" s="113"/>
      <c r="P206" s="113"/>
      <c r="Q206" s="113"/>
      <c r="R206" s="113"/>
      <c r="S206" s="113"/>
      <c r="T206" s="122"/>
      <c r="W206" s="123"/>
      <c r="X206" s="123"/>
      <c r="Y206" s="123"/>
      <c r="Z206" s="123"/>
      <c r="AA206" s="123"/>
      <c r="AB206" s="123"/>
      <c r="AC206" s="123"/>
      <c r="AD206" s="123"/>
      <c r="AE206" s="113"/>
      <c r="AF206" s="113"/>
      <c r="AG206" s="113"/>
      <c r="AH206" s="113"/>
      <c r="AI206" s="113"/>
      <c r="AJ206" s="113"/>
      <c r="AK206" s="113"/>
      <c r="AL206" s="113"/>
    </row>
    <row r="207" spans="1:38" ht="15.75" customHeight="1">
      <c r="A207" s="113"/>
      <c r="B207" s="113"/>
      <c r="C207" s="113"/>
      <c r="D207" s="272"/>
      <c r="E207" s="272"/>
      <c r="F207" s="272"/>
      <c r="G207" s="113"/>
      <c r="H207" s="113"/>
      <c r="I207" s="275"/>
      <c r="J207" s="113"/>
      <c r="K207" s="113"/>
      <c r="L207" s="113"/>
      <c r="M207" s="113"/>
      <c r="N207" s="113"/>
      <c r="O207" s="113"/>
      <c r="P207" s="113"/>
      <c r="Q207" s="113"/>
      <c r="R207" s="113"/>
      <c r="S207" s="113"/>
      <c r="T207" s="122"/>
      <c r="W207" s="123"/>
      <c r="X207" s="123"/>
      <c r="Y207" s="123"/>
      <c r="Z207" s="123"/>
      <c r="AA207" s="123"/>
      <c r="AB207" s="123"/>
      <c r="AC207" s="123"/>
      <c r="AD207" s="123"/>
      <c r="AE207" s="113"/>
      <c r="AF207" s="113"/>
      <c r="AG207" s="113"/>
      <c r="AH207" s="113"/>
      <c r="AI207" s="113"/>
      <c r="AJ207" s="113"/>
      <c r="AK207" s="113"/>
      <c r="AL207" s="113"/>
    </row>
    <row r="208" spans="1:38" ht="15.75" customHeight="1">
      <c r="A208" s="113"/>
      <c r="B208" s="113"/>
      <c r="C208" s="113"/>
      <c r="D208" s="272"/>
      <c r="E208" s="272"/>
      <c r="F208" s="272"/>
      <c r="G208" s="113"/>
      <c r="H208" s="113"/>
      <c r="I208" s="275"/>
      <c r="J208" s="113"/>
      <c r="K208" s="113"/>
      <c r="L208" s="113"/>
      <c r="M208" s="113"/>
      <c r="N208" s="113"/>
      <c r="O208" s="113"/>
      <c r="P208" s="113"/>
      <c r="Q208" s="113"/>
      <c r="R208" s="113"/>
      <c r="S208" s="113"/>
      <c r="T208" s="122"/>
      <c r="W208" s="123"/>
      <c r="X208" s="123"/>
      <c r="Y208" s="123"/>
      <c r="Z208" s="123"/>
      <c r="AA208" s="123"/>
      <c r="AB208" s="123"/>
      <c r="AC208" s="123"/>
      <c r="AD208" s="123"/>
      <c r="AE208" s="113"/>
      <c r="AF208" s="113"/>
      <c r="AG208" s="113"/>
      <c r="AH208" s="113"/>
      <c r="AI208" s="113"/>
      <c r="AJ208" s="113"/>
      <c r="AK208" s="113"/>
      <c r="AL208" s="113"/>
    </row>
    <row r="209" spans="1:38" ht="15.75" customHeight="1">
      <c r="A209" s="113"/>
      <c r="B209" s="113"/>
      <c r="C209" s="113"/>
      <c r="D209" s="272"/>
      <c r="E209" s="272"/>
      <c r="F209" s="272"/>
      <c r="G209" s="113"/>
      <c r="H209" s="113"/>
      <c r="I209" s="275"/>
      <c r="J209" s="113"/>
      <c r="K209" s="113"/>
      <c r="L209" s="113"/>
      <c r="M209" s="113"/>
      <c r="N209" s="113"/>
      <c r="O209" s="113"/>
      <c r="P209" s="113"/>
      <c r="Q209" s="113"/>
      <c r="R209" s="113"/>
      <c r="S209" s="113"/>
      <c r="T209" s="122"/>
      <c r="W209" s="123"/>
      <c r="X209" s="123"/>
      <c r="Y209" s="123"/>
      <c r="Z209" s="123"/>
      <c r="AA209" s="123"/>
      <c r="AB209" s="123"/>
      <c r="AC209" s="123"/>
      <c r="AD209" s="123"/>
      <c r="AE209" s="113"/>
      <c r="AF209" s="113"/>
      <c r="AG209" s="113"/>
      <c r="AH209" s="113"/>
      <c r="AI209" s="113"/>
      <c r="AJ209" s="113"/>
      <c r="AK209" s="113"/>
      <c r="AL209" s="113"/>
    </row>
    <row r="210" spans="1:38" ht="15.75" customHeight="1">
      <c r="A210" s="113"/>
      <c r="B210" s="113"/>
      <c r="C210" s="113"/>
      <c r="D210" s="272"/>
      <c r="E210" s="272"/>
      <c r="F210" s="272"/>
      <c r="G210" s="113"/>
      <c r="H210" s="113"/>
      <c r="I210" s="275"/>
      <c r="J210" s="113"/>
      <c r="K210" s="113"/>
      <c r="L210" s="113"/>
      <c r="M210" s="113"/>
      <c r="N210" s="113"/>
      <c r="O210" s="113"/>
      <c r="P210" s="113"/>
      <c r="Q210" s="113"/>
      <c r="R210" s="113"/>
      <c r="S210" s="113"/>
      <c r="T210" s="122"/>
      <c r="W210" s="123"/>
      <c r="X210" s="123"/>
      <c r="Y210" s="123"/>
      <c r="Z210" s="123"/>
      <c r="AA210" s="123"/>
      <c r="AB210" s="123"/>
      <c r="AC210" s="123"/>
      <c r="AD210" s="123"/>
      <c r="AE210" s="113"/>
      <c r="AF210" s="113"/>
      <c r="AG210" s="113"/>
      <c r="AH210" s="113"/>
      <c r="AI210" s="113"/>
      <c r="AJ210" s="113"/>
      <c r="AK210" s="113"/>
      <c r="AL210" s="113"/>
    </row>
    <row r="211" spans="1:38" ht="15.75" customHeight="1">
      <c r="A211" s="113"/>
      <c r="B211" s="113"/>
      <c r="C211" s="113"/>
      <c r="D211" s="272"/>
      <c r="E211" s="272"/>
      <c r="F211" s="272"/>
      <c r="G211" s="113"/>
      <c r="H211" s="113"/>
      <c r="I211" s="275"/>
      <c r="J211" s="113"/>
      <c r="K211" s="113"/>
      <c r="L211" s="113"/>
      <c r="M211" s="113"/>
      <c r="N211" s="113"/>
      <c r="O211" s="113"/>
      <c r="P211" s="113"/>
      <c r="Q211" s="113"/>
      <c r="R211" s="113"/>
      <c r="S211" s="113"/>
      <c r="T211" s="122"/>
      <c r="W211" s="123"/>
      <c r="X211" s="123"/>
      <c r="Y211" s="123"/>
      <c r="Z211" s="123"/>
      <c r="AA211" s="123"/>
      <c r="AB211" s="123"/>
      <c r="AC211" s="123"/>
      <c r="AD211" s="123"/>
      <c r="AE211" s="113"/>
      <c r="AF211" s="113"/>
      <c r="AG211" s="113"/>
      <c r="AH211" s="113"/>
      <c r="AI211" s="113"/>
      <c r="AJ211" s="113"/>
      <c r="AK211" s="113"/>
      <c r="AL211" s="113"/>
    </row>
    <row r="212" spans="1:38" ht="15.75" customHeight="1">
      <c r="A212" s="113"/>
      <c r="B212" s="113"/>
      <c r="C212" s="113"/>
      <c r="D212" s="272"/>
      <c r="E212" s="272"/>
      <c r="F212" s="272"/>
      <c r="G212" s="113"/>
      <c r="H212" s="113"/>
      <c r="I212" s="275"/>
      <c r="J212" s="113"/>
      <c r="K212" s="113"/>
      <c r="L212" s="113"/>
      <c r="M212" s="113"/>
      <c r="N212" s="113"/>
      <c r="O212" s="113"/>
      <c r="P212" s="113"/>
      <c r="Q212" s="113"/>
      <c r="R212" s="113"/>
      <c r="S212" s="113"/>
      <c r="T212" s="122"/>
      <c r="W212" s="123"/>
      <c r="X212" s="123"/>
      <c r="Y212" s="123"/>
      <c r="Z212" s="123"/>
      <c r="AA212" s="123"/>
      <c r="AB212" s="123"/>
      <c r="AC212" s="123"/>
      <c r="AD212" s="123"/>
      <c r="AE212" s="113"/>
      <c r="AF212" s="113"/>
      <c r="AG212" s="113"/>
      <c r="AH212" s="113"/>
      <c r="AI212" s="113"/>
      <c r="AJ212" s="113"/>
      <c r="AK212" s="113"/>
      <c r="AL212" s="113"/>
    </row>
    <row r="213" spans="1:38" ht="15.75" customHeight="1">
      <c r="A213" s="113"/>
      <c r="B213" s="113"/>
      <c r="C213" s="113"/>
      <c r="D213" s="272"/>
      <c r="E213" s="272"/>
      <c r="F213" s="272"/>
      <c r="G213" s="113"/>
      <c r="H213" s="113"/>
      <c r="I213" s="275"/>
      <c r="J213" s="113"/>
      <c r="K213" s="113"/>
      <c r="L213" s="113"/>
      <c r="M213" s="113"/>
      <c r="N213" s="113"/>
      <c r="O213" s="113"/>
      <c r="P213" s="113"/>
      <c r="Q213" s="113"/>
      <c r="R213" s="113"/>
      <c r="S213" s="113"/>
      <c r="T213" s="122"/>
      <c r="W213" s="123"/>
      <c r="X213" s="123"/>
      <c r="Y213" s="123"/>
      <c r="Z213" s="123"/>
      <c r="AA213" s="123"/>
      <c r="AB213" s="123"/>
      <c r="AC213" s="123"/>
      <c r="AD213" s="123"/>
      <c r="AE213" s="113"/>
      <c r="AF213" s="113"/>
      <c r="AG213" s="113"/>
      <c r="AH213" s="113"/>
      <c r="AI213" s="113"/>
      <c r="AJ213" s="113"/>
      <c r="AK213" s="113"/>
      <c r="AL213" s="113"/>
    </row>
    <row r="214" spans="1:38" ht="15.75" customHeight="1">
      <c r="A214" s="113"/>
      <c r="B214" s="113"/>
      <c r="C214" s="113"/>
      <c r="D214" s="272"/>
      <c r="E214" s="272"/>
      <c r="F214" s="272"/>
      <c r="G214" s="113"/>
      <c r="H214" s="113"/>
      <c r="I214" s="275"/>
      <c r="J214" s="113"/>
      <c r="K214" s="113"/>
      <c r="L214" s="113"/>
      <c r="M214" s="113"/>
      <c r="N214" s="113"/>
      <c r="O214" s="113"/>
      <c r="P214" s="113"/>
      <c r="Q214" s="113"/>
      <c r="R214" s="113"/>
      <c r="S214" s="113"/>
      <c r="T214" s="122"/>
      <c r="W214" s="123"/>
      <c r="X214" s="123"/>
      <c r="Y214" s="123"/>
      <c r="Z214" s="123"/>
      <c r="AA214" s="123"/>
      <c r="AB214" s="123"/>
      <c r="AC214" s="123"/>
      <c r="AD214" s="123"/>
      <c r="AE214" s="113"/>
      <c r="AF214" s="113"/>
      <c r="AG214" s="113"/>
      <c r="AH214" s="113"/>
      <c r="AI214" s="113"/>
      <c r="AJ214" s="113"/>
      <c r="AK214" s="113"/>
      <c r="AL214" s="113"/>
    </row>
    <row r="215" spans="1:38" ht="15.75" customHeight="1">
      <c r="A215" s="113"/>
      <c r="B215" s="113"/>
      <c r="C215" s="113"/>
      <c r="D215" s="272"/>
      <c r="E215" s="272"/>
      <c r="F215" s="272"/>
      <c r="G215" s="113"/>
      <c r="H215" s="113"/>
      <c r="I215" s="275"/>
      <c r="J215" s="113"/>
      <c r="K215" s="113"/>
      <c r="L215" s="113"/>
      <c r="M215" s="113"/>
      <c r="N215" s="113"/>
      <c r="O215" s="113"/>
      <c r="P215" s="113"/>
      <c r="Q215" s="113"/>
      <c r="R215" s="113"/>
      <c r="S215" s="113"/>
      <c r="T215" s="122"/>
      <c r="W215" s="123"/>
      <c r="X215" s="123"/>
      <c r="Y215" s="123"/>
      <c r="Z215" s="123"/>
      <c r="AA215" s="123"/>
      <c r="AB215" s="123"/>
      <c r="AC215" s="123"/>
      <c r="AD215" s="123"/>
      <c r="AE215" s="113"/>
      <c r="AF215" s="113"/>
      <c r="AG215" s="113"/>
      <c r="AH215" s="113"/>
      <c r="AI215" s="113"/>
      <c r="AJ215" s="113"/>
      <c r="AK215" s="113"/>
      <c r="AL215" s="113"/>
    </row>
    <row r="216" spans="1:38" ht="15.75" customHeight="1">
      <c r="A216" s="113"/>
      <c r="B216" s="113"/>
      <c r="C216" s="113"/>
      <c r="D216" s="272"/>
      <c r="E216" s="272"/>
      <c r="F216" s="272"/>
      <c r="G216" s="113"/>
      <c r="H216" s="113"/>
      <c r="I216" s="275"/>
      <c r="J216" s="113"/>
      <c r="K216" s="113"/>
      <c r="L216" s="113"/>
      <c r="M216" s="113"/>
      <c r="N216" s="113"/>
      <c r="O216" s="113"/>
      <c r="P216" s="113"/>
      <c r="Q216" s="113"/>
      <c r="R216" s="113"/>
      <c r="S216" s="113"/>
      <c r="T216" s="122"/>
      <c r="W216" s="123"/>
      <c r="X216" s="123"/>
      <c r="Y216" s="123"/>
      <c r="Z216" s="123"/>
      <c r="AA216" s="123"/>
      <c r="AB216" s="123"/>
      <c r="AC216" s="123"/>
      <c r="AD216" s="123"/>
      <c r="AE216" s="113"/>
      <c r="AF216" s="113"/>
      <c r="AG216" s="113"/>
      <c r="AH216" s="113"/>
      <c r="AI216" s="113"/>
      <c r="AJ216" s="113"/>
      <c r="AK216" s="113"/>
      <c r="AL216" s="113"/>
    </row>
    <row r="217" spans="1:38" ht="15.75" customHeight="1">
      <c r="A217" s="113"/>
      <c r="B217" s="113"/>
      <c r="C217" s="113"/>
      <c r="D217" s="272"/>
      <c r="E217" s="272"/>
      <c r="F217" s="272"/>
      <c r="G217" s="113"/>
      <c r="H217" s="113"/>
      <c r="I217" s="275"/>
      <c r="J217" s="113"/>
      <c r="K217" s="113"/>
      <c r="L217" s="113"/>
      <c r="M217" s="113"/>
      <c r="N217" s="113"/>
      <c r="O217" s="113"/>
      <c r="P217" s="113"/>
      <c r="Q217" s="113"/>
      <c r="R217" s="113"/>
      <c r="S217" s="113"/>
      <c r="T217" s="122"/>
      <c r="W217" s="123"/>
      <c r="X217" s="123"/>
      <c r="Y217" s="123"/>
      <c r="Z217" s="123"/>
      <c r="AA217" s="123"/>
      <c r="AB217" s="123"/>
      <c r="AC217" s="123"/>
      <c r="AD217" s="123"/>
      <c r="AE217" s="113"/>
      <c r="AF217" s="113"/>
      <c r="AG217" s="113"/>
      <c r="AH217" s="113"/>
      <c r="AI217" s="113"/>
      <c r="AJ217" s="113"/>
      <c r="AK217" s="113"/>
      <c r="AL217" s="113"/>
    </row>
    <row r="218" spans="1:38" ht="15.75" customHeight="1">
      <c r="A218" s="113"/>
      <c r="B218" s="113"/>
      <c r="C218" s="113"/>
      <c r="D218" s="272"/>
      <c r="E218" s="272"/>
      <c r="F218" s="272"/>
      <c r="G218" s="113"/>
      <c r="H218" s="113"/>
      <c r="I218" s="275"/>
      <c r="J218" s="113"/>
      <c r="K218" s="113"/>
      <c r="L218" s="113"/>
      <c r="M218" s="113"/>
      <c r="N218" s="113"/>
      <c r="O218" s="113"/>
      <c r="P218" s="113"/>
      <c r="Q218" s="113"/>
      <c r="R218" s="113"/>
      <c r="S218" s="113"/>
      <c r="T218" s="122"/>
      <c r="W218" s="123"/>
      <c r="X218" s="123"/>
      <c r="Y218" s="123"/>
      <c r="Z218" s="123"/>
      <c r="AA218" s="123"/>
      <c r="AB218" s="123"/>
      <c r="AC218" s="123"/>
      <c r="AD218" s="123"/>
      <c r="AE218" s="113"/>
      <c r="AF218" s="113"/>
      <c r="AG218" s="113"/>
      <c r="AH218" s="113"/>
      <c r="AI218" s="113"/>
      <c r="AJ218" s="113"/>
      <c r="AK218" s="113"/>
      <c r="AL218" s="113"/>
    </row>
    <row r="219" spans="1:38" ht="15.75" customHeight="1">
      <c r="A219" s="113"/>
      <c r="B219" s="113"/>
      <c r="C219" s="113"/>
      <c r="D219" s="272"/>
      <c r="E219" s="272"/>
      <c r="F219" s="272"/>
      <c r="G219" s="113"/>
      <c r="H219" s="113"/>
      <c r="I219" s="275"/>
      <c r="J219" s="113"/>
      <c r="K219" s="113"/>
      <c r="L219" s="113"/>
      <c r="M219" s="113"/>
      <c r="N219" s="113"/>
      <c r="O219" s="113"/>
      <c r="P219" s="113"/>
      <c r="Q219" s="113"/>
      <c r="R219" s="113"/>
      <c r="S219" s="113"/>
      <c r="T219" s="122"/>
      <c r="W219" s="123"/>
      <c r="X219" s="123"/>
      <c r="Y219" s="123"/>
      <c r="Z219" s="123"/>
      <c r="AA219" s="123"/>
      <c r="AB219" s="123"/>
      <c r="AC219" s="123"/>
      <c r="AD219" s="123"/>
      <c r="AE219" s="113"/>
      <c r="AF219" s="113"/>
      <c r="AG219" s="113"/>
      <c r="AH219" s="113"/>
      <c r="AI219" s="113"/>
      <c r="AJ219" s="113"/>
      <c r="AK219" s="113"/>
      <c r="AL219" s="113"/>
    </row>
    <row r="220" spans="1:38" ht="15.75" customHeight="1">
      <c r="A220" s="113"/>
      <c r="B220" s="113"/>
      <c r="C220" s="113"/>
      <c r="D220" s="272"/>
      <c r="E220" s="272"/>
      <c r="F220" s="272"/>
      <c r="G220" s="113"/>
      <c r="H220" s="113"/>
      <c r="I220" s="275"/>
      <c r="J220" s="113"/>
      <c r="K220" s="113"/>
      <c r="L220" s="113"/>
      <c r="M220" s="113"/>
      <c r="N220" s="113"/>
      <c r="O220" s="113"/>
      <c r="P220" s="113"/>
      <c r="Q220" s="113"/>
      <c r="R220" s="113"/>
      <c r="S220" s="113"/>
      <c r="T220" s="122"/>
      <c r="W220" s="123"/>
      <c r="X220" s="123"/>
      <c r="Y220" s="123"/>
      <c r="Z220" s="123"/>
      <c r="AA220" s="123"/>
      <c r="AB220" s="123"/>
      <c r="AC220" s="123"/>
      <c r="AD220" s="123"/>
      <c r="AE220" s="113"/>
      <c r="AF220" s="113"/>
      <c r="AG220" s="113"/>
      <c r="AH220" s="113"/>
      <c r="AI220" s="113"/>
      <c r="AJ220" s="113"/>
      <c r="AK220" s="113"/>
      <c r="AL220" s="113"/>
    </row>
    <row r="221" spans="1:38" ht="15.75" customHeight="1">
      <c r="A221" s="113"/>
      <c r="B221" s="113"/>
      <c r="C221" s="113"/>
      <c r="D221" s="272"/>
      <c r="E221" s="272"/>
      <c r="F221" s="272"/>
      <c r="G221" s="113"/>
      <c r="H221" s="113"/>
      <c r="I221" s="275"/>
      <c r="J221" s="113"/>
      <c r="K221" s="113"/>
      <c r="L221" s="113"/>
      <c r="M221" s="113"/>
      <c r="N221" s="113"/>
      <c r="O221" s="113"/>
      <c r="P221" s="113"/>
      <c r="Q221" s="113"/>
      <c r="R221" s="113"/>
      <c r="S221" s="113"/>
      <c r="T221" s="122"/>
      <c r="W221" s="123"/>
      <c r="X221" s="123"/>
      <c r="Y221" s="123"/>
      <c r="Z221" s="123"/>
      <c r="AA221" s="123"/>
      <c r="AB221" s="123"/>
      <c r="AC221" s="123"/>
      <c r="AD221" s="123"/>
      <c r="AE221" s="113"/>
      <c r="AF221" s="113"/>
      <c r="AG221" s="113"/>
      <c r="AH221" s="113"/>
      <c r="AI221" s="113"/>
      <c r="AJ221" s="113"/>
      <c r="AK221" s="113"/>
      <c r="AL221" s="113"/>
    </row>
    <row r="222" spans="1:38" ht="15.75" customHeight="1">
      <c r="A222" s="113"/>
      <c r="B222" s="113"/>
      <c r="C222" s="113"/>
      <c r="D222" s="272"/>
      <c r="E222" s="272"/>
      <c r="F222" s="272"/>
      <c r="G222" s="113"/>
      <c r="H222" s="113"/>
      <c r="I222" s="275"/>
      <c r="J222" s="113"/>
      <c r="K222" s="113"/>
      <c r="L222" s="113"/>
      <c r="M222" s="113"/>
      <c r="N222" s="113"/>
      <c r="O222" s="113"/>
      <c r="P222" s="113"/>
      <c r="Q222" s="113"/>
      <c r="R222" s="113"/>
      <c r="S222" s="113"/>
      <c r="T222" s="122"/>
      <c r="W222" s="123"/>
      <c r="X222" s="123"/>
      <c r="Y222" s="123"/>
      <c r="Z222" s="123"/>
      <c r="AA222" s="123"/>
      <c r="AB222" s="123"/>
      <c r="AC222" s="123"/>
      <c r="AD222" s="123"/>
      <c r="AE222" s="113"/>
      <c r="AF222" s="113"/>
      <c r="AG222" s="113"/>
      <c r="AH222" s="113"/>
      <c r="AI222" s="113"/>
      <c r="AJ222" s="113"/>
      <c r="AK222" s="113"/>
      <c r="AL222" s="113"/>
    </row>
    <row r="223" spans="1:38" ht="15.75" customHeight="1">
      <c r="A223" s="113"/>
      <c r="B223" s="113"/>
      <c r="C223" s="113"/>
      <c r="D223" s="272"/>
      <c r="E223" s="272"/>
      <c r="F223" s="272"/>
      <c r="G223" s="113"/>
      <c r="H223" s="113"/>
      <c r="I223" s="275"/>
      <c r="J223" s="113"/>
      <c r="K223" s="113"/>
      <c r="L223" s="113"/>
      <c r="M223" s="113"/>
      <c r="N223" s="113"/>
      <c r="O223" s="113"/>
      <c r="P223" s="113"/>
      <c r="Q223" s="113"/>
      <c r="R223" s="113"/>
      <c r="S223" s="113"/>
      <c r="T223" s="122"/>
      <c r="W223" s="123"/>
      <c r="X223" s="123"/>
      <c r="Y223" s="123"/>
      <c r="Z223" s="123"/>
      <c r="AA223" s="123"/>
      <c r="AB223" s="123"/>
      <c r="AC223" s="123"/>
      <c r="AD223" s="123"/>
      <c r="AE223" s="113"/>
      <c r="AF223" s="113"/>
      <c r="AG223" s="113"/>
      <c r="AH223" s="113"/>
      <c r="AI223" s="113"/>
      <c r="AJ223" s="113"/>
      <c r="AK223" s="113"/>
      <c r="AL223" s="113"/>
    </row>
    <row r="224" spans="1:38" ht="15.75" customHeight="1">
      <c r="A224" s="113"/>
      <c r="B224" s="113"/>
      <c r="C224" s="113"/>
      <c r="D224" s="272"/>
      <c r="E224" s="272"/>
      <c r="F224" s="272"/>
      <c r="G224" s="113"/>
      <c r="H224" s="113"/>
      <c r="I224" s="275"/>
      <c r="J224" s="113"/>
      <c r="K224" s="113"/>
      <c r="L224" s="113"/>
      <c r="M224" s="113"/>
      <c r="N224" s="113"/>
      <c r="O224" s="113"/>
      <c r="P224" s="113"/>
      <c r="Q224" s="113"/>
      <c r="R224" s="113"/>
      <c r="S224" s="113"/>
      <c r="T224" s="122"/>
      <c r="W224" s="123"/>
      <c r="X224" s="123"/>
      <c r="Y224" s="123"/>
      <c r="Z224" s="123"/>
      <c r="AA224" s="123"/>
      <c r="AB224" s="123"/>
      <c r="AC224" s="123"/>
      <c r="AD224" s="123"/>
      <c r="AE224" s="113"/>
      <c r="AF224" s="113"/>
      <c r="AG224" s="113"/>
      <c r="AH224" s="113"/>
      <c r="AI224" s="113"/>
      <c r="AJ224" s="113"/>
      <c r="AK224" s="113"/>
      <c r="AL224" s="113"/>
    </row>
    <row r="225" spans="1:38" ht="15.75" customHeight="1">
      <c r="A225" s="113"/>
      <c r="B225" s="113"/>
      <c r="C225" s="113"/>
      <c r="D225" s="272"/>
      <c r="E225" s="272"/>
      <c r="F225" s="272"/>
      <c r="G225" s="113"/>
      <c r="H225" s="113"/>
      <c r="I225" s="275"/>
      <c r="J225" s="113"/>
      <c r="K225" s="113"/>
      <c r="L225" s="113"/>
      <c r="M225" s="113"/>
      <c r="N225" s="113"/>
      <c r="O225" s="113"/>
      <c r="P225" s="113"/>
      <c r="Q225" s="113"/>
      <c r="R225" s="113"/>
      <c r="S225" s="113"/>
      <c r="T225" s="122"/>
      <c r="W225" s="123"/>
      <c r="X225" s="123"/>
      <c r="Y225" s="123"/>
      <c r="Z225" s="123"/>
      <c r="AA225" s="123"/>
      <c r="AB225" s="123"/>
      <c r="AC225" s="123"/>
      <c r="AD225" s="123"/>
      <c r="AE225" s="113"/>
      <c r="AF225" s="113"/>
      <c r="AG225" s="113"/>
      <c r="AH225" s="113"/>
      <c r="AI225" s="113"/>
      <c r="AJ225" s="113"/>
      <c r="AK225" s="113"/>
      <c r="AL225" s="113"/>
    </row>
    <row r="226" spans="1:38" ht="15.75" customHeight="1">
      <c r="A226" s="113"/>
      <c r="B226" s="113"/>
      <c r="C226" s="113"/>
      <c r="D226" s="272"/>
      <c r="E226" s="272"/>
      <c r="F226" s="272"/>
      <c r="G226" s="113"/>
      <c r="H226" s="113"/>
      <c r="I226" s="275"/>
      <c r="J226" s="113"/>
      <c r="K226" s="113"/>
      <c r="L226" s="113"/>
      <c r="M226" s="113"/>
      <c r="N226" s="113"/>
      <c r="O226" s="113"/>
      <c r="P226" s="113"/>
      <c r="Q226" s="113"/>
      <c r="R226" s="113"/>
      <c r="S226" s="113"/>
      <c r="T226" s="122"/>
      <c r="W226" s="123"/>
      <c r="X226" s="123"/>
      <c r="Y226" s="123"/>
      <c r="Z226" s="123"/>
      <c r="AA226" s="123"/>
      <c r="AB226" s="123"/>
      <c r="AC226" s="123"/>
      <c r="AD226" s="123"/>
      <c r="AE226" s="113"/>
      <c r="AF226" s="113"/>
      <c r="AG226" s="113"/>
      <c r="AH226" s="113"/>
      <c r="AI226" s="113"/>
      <c r="AJ226" s="113"/>
      <c r="AK226" s="113"/>
      <c r="AL226" s="113"/>
    </row>
    <row r="227" spans="1:38" ht="15.75" customHeight="1">
      <c r="A227" s="113"/>
      <c r="B227" s="113"/>
      <c r="C227" s="113"/>
      <c r="D227" s="272"/>
      <c r="E227" s="272"/>
      <c r="F227" s="272"/>
      <c r="G227" s="113"/>
      <c r="H227" s="113"/>
      <c r="I227" s="275"/>
      <c r="J227" s="113"/>
      <c r="K227" s="113"/>
      <c r="L227" s="113"/>
      <c r="M227" s="113"/>
      <c r="N227" s="113"/>
      <c r="O227" s="113"/>
      <c r="P227" s="113"/>
      <c r="Q227" s="113"/>
      <c r="R227" s="113"/>
      <c r="S227" s="113"/>
      <c r="T227" s="122"/>
      <c r="W227" s="123"/>
      <c r="X227" s="123"/>
      <c r="Y227" s="123"/>
      <c r="Z227" s="123"/>
      <c r="AA227" s="123"/>
      <c r="AB227" s="123"/>
      <c r="AC227" s="123"/>
      <c r="AD227" s="123"/>
      <c r="AE227" s="113"/>
      <c r="AF227" s="113"/>
      <c r="AG227" s="113"/>
      <c r="AH227" s="113"/>
      <c r="AI227" s="113"/>
      <c r="AJ227" s="113"/>
      <c r="AK227" s="113"/>
      <c r="AL227" s="113"/>
    </row>
    <row r="228" spans="1:38" ht="15.75" customHeight="1">
      <c r="A228" s="113"/>
      <c r="B228" s="113"/>
      <c r="C228" s="113"/>
      <c r="D228" s="272"/>
      <c r="E228" s="272"/>
      <c r="F228" s="272"/>
      <c r="G228" s="113"/>
      <c r="H228" s="113"/>
      <c r="I228" s="275"/>
      <c r="J228" s="113"/>
      <c r="K228" s="113"/>
      <c r="L228" s="113"/>
      <c r="M228" s="113"/>
      <c r="N228" s="113"/>
      <c r="O228" s="113"/>
      <c r="P228" s="113"/>
      <c r="Q228" s="113"/>
      <c r="R228" s="113"/>
      <c r="S228" s="113"/>
      <c r="T228" s="122"/>
      <c r="W228" s="123"/>
      <c r="X228" s="123"/>
      <c r="Y228" s="123"/>
      <c r="Z228" s="123"/>
      <c r="AA228" s="123"/>
      <c r="AB228" s="123"/>
      <c r="AC228" s="123"/>
      <c r="AD228" s="123"/>
      <c r="AE228" s="113"/>
      <c r="AF228" s="113"/>
      <c r="AG228" s="113"/>
      <c r="AH228" s="113"/>
      <c r="AI228" s="113"/>
      <c r="AJ228" s="113"/>
      <c r="AK228" s="113"/>
      <c r="AL228" s="113"/>
    </row>
    <row r="229" spans="1:38" ht="15.75" customHeight="1">
      <c r="A229" s="113"/>
      <c r="B229" s="113"/>
      <c r="C229" s="113"/>
      <c r="D229" s="272"/>
      <c r="E229" s="272"/>
      <c r="F229" s="272"/>
      <c r="G229" s="113"/>
      <c r="H229" s="113"/>
      <c r="I229" s="275"/>
      <c r="J229" s="113"/>
      <c r="K229" s="113"/>
      <c r="L229" s="113"/>
      <c r="M229" s="113"/>
      <c r="N229" s="113"/>
      <c r="O229" s="113"/>
      <c r="P229" s="113"/>
      <c r="Q229" s="113"/>
      <c r="R229" s="113"/>
      <c r="S229" s="113"/>
      <c r="T229" s="122"/>
      <c r="W229" s="123"/>
      <c r="X229" s="123"/>
      <c r="Y229" s="123"/>
      <c r="Z229" s="123"/>
      <c r="AA229" s="123"/>
      <c r="AB229" s="123"/>
      <c r="AC229" s="123"/>
      <c r="AD229" s="123"/>
      <c r="AE229" s="113"/>
      <c r="AF229" s="113"/>
      <c r="AG229" s="113"/>
      <c r="AH229" s="113"/>
      <c r="AI229" s="113"/>
      <c r="AJ229" s="113"/>
      <c r="AK229" s="113"/>
      <c r="AL229" s="113"/>
    </row>
    <row r="230" spans="1:38" ht="15.75" customHeight="1">
      <c r="A230" s="113"/>
      <c r="B230" s="113"/>
      <c r="C230" s="113"/>
      <c r="D230" s="272"/>
      <c r="E230" s="272"/>
      <c r="F230" s="272"/>
      <c r="G230" s="113"/>
      <c r="H230" s="113"/>
      <c r="I230" s="275"/>
      <c r="J230" s="113"/>
      <c r="K230" s="113"/>
      <c r="L230" s="113"/>
      <c r="M230" s="113"/>
      <c r="N230" s="113"/>
      <c r="O230" s="113"/>
      <c r="P230" s="113"/>
      <c r="Q230" s="113"/>
      <c r="R230" s="113"/>
      <c r="S230" s="113"/>
      <c r="T230" s="122"/>
      <c r="W230" s="123"/>
      <c r="X230" s="123"/>
      <c r="Y230" s="123"/>
      <c r="Z230" s="123"/>
      <c r="AA230" s="123"/>
      <c r="AB230" s="123"/>
      <c r="AC230" s="123"/>
      <c r="AD230" s="123"/>
      <c r="AE230" s="113"/>
      <c r="AF230" s="113"/>
      <c r="AG230" s="113"/>
      <c r="AH230" s="113"/>
      <c r="AI230" s="113"/>
      <c r="AJ230" s="113"/>
      <c r="AK230" s="113"/>
      <c r="AL230" s="113"/>
    </row>
    <row r="231" spans="1:38" ht="15.75" customHeight="1">
      <c r="A231" s="113"/>
      <c r="B231" s="113"/>
      <c r="C231" s="113"/>
      <c r="D231" s="272"/>
      <c r="E231" s="272"/>
      <c r="F231" s="272"/>
      <c r="G231" s="113"/>
      <c r="H231" s="113"/>
      <c r="I231" s="275"/>
      <c r="J231" s="113"/>
      <c r="K231" s="113"/>
      <c r="L231" s="113"/>
      <c r="M231" s="113"/>
      <c r="N231" s="113"/>
      <c r="O231" s="113"/>
      <c r="P231" s="113"/>
      <c r="Q231" s="113"/>
      <c r="R231" s="113"/>
      <c r="S231" s="113"/>
      <c r="T231" s="122"/>
      <c r="W231" s="123"/>
      <c r="X231" s="123"/>
      <c r="Y231" s="123"/>
      <c r="Z231" s="123"/>
      <c r="AA231" s="123"/>
      <c r="AB231" s="123"/>
      <c r="AC231" s="123"/>
      <c r="AD231" s="123"/>
      <c r="AE231" s="113"/>
      <c r="AF231" s="113"/>
      <c r="AG231" s="113"/>
      <c r="AH231" s="113"/>
      <c r="AI231" s="113"/>
      <c r="AJ231" s="113"/>
      <c r="AK231" s="113"/>
      <c r="AL231" s="113"/>
    </row>
    <row r="232" spans="1:38" ht="15.75" customHeight="1">
      <c r="A232" s="113"/>
      <c r="B232" s="113"/>
      <c r="C232" s="113"/>
      <c r="D232" s="272"/>
      <c r="E232" s="272"/>
      <c r="F232" s="272"/>
      <c r="G232" s="113"/>
      <c r="H232" s="113"/>
      <c r="I232" s="275"/>
      <c r="J232" s="113"/>
      <c r="K232" s="113"/>
      <c r="L232" s="113"/>
      <c r="M232" s="113"/>
      <c r="N232" s="113"/>
      <c r="O232" s="113"/>
      <c r="P232" s="113"/>
      <c r="Q232" s="113"/>
      <c r="R232" s="113"/>
      <c r="S232" s="113"/>
      <c r="T232" s="122"/>
      <c r="W232" s="123"/>
      <c r="X232" s="123"/>
      <c r="Y232" s="123"/>
      <c r="Z232" s="123"/>
      <c r="AA232" s="123"/>
      <c r="AB232" s="123"/>
      <c r="AC232" s="123"/>
      <c r="AD232" s="123"/>
      <c r="AE232" s="113"/>
      <c r="AF232" s="113"/>
      <c r="AG232" s="113"/>
      <c r="AH232" s="113"/>
      <c r="AI232" s="113"/>
      <c r="AJ232" s="113"/>
      <c r="AK232" s="113"/>
      <c r="AL232" s="113"/>
    </row>
    <row r="233" spans="1:38" ht="15.75" customHeight="1">
      <c r="A233" s="113"/>
      <c r="B233" s="113"/>
      <c r="C233" s="113"/>
      <c r="D233" s="272"/>
      <c r="E233" s="272"/>
      <c r="F233" s="272"/>
      <c r="G233" s="113"/>
      <c r="H233" s="113"/>
      <c r="I233" s="275"/>
      <c r="J233" s="113"/>
      <c r="K233" s="113"/>
      <c r="L233" s="113"/>
      <c r="M233" s="113"/>
      <c r="N233" s="113"/>
      <c r="O233" s="113"/>
      <c r="P233" s="113"/>
      <c r="Q233" s="113"/>
      <c r="R233" s="113"/>
      <c r="S233" s="113"/>
      <c r="T233" s="122"/>
      <c r="W233" s="123"/>
      <c r="X233" s="123"/>
      <c r="Y233" s="123"/>
      <c r="Z233" s="123"/>
      <c r="AA233" s="123"/>
      <c r="AB233" s="123"/>
      <c r="AC233" s="123"/>
      <c r="AD233" s="123"/>
      <c r="AE233" s="113"/>
      <c r="AF233" s="113"/>
      <c r="AG233" s="113"/>
      <c r="AH233" s="113"/>
      <c r="AI233" s="113"/>
      <c r="AJ233" s="113"/>
      <c r="AK233" s="113"/>
      <c r="AL233" s="113"/>
    </row>
    <row r="234" spans="1:38" ht="15.75" customHeight="1">
      <c r="A234" s="113"/>
      <c r="B234" s="113"/>
      <c r="C234" s="113"/>
      <c r="D234" s="272"/>
      <c r="E234" s="272"/>
      <c r="F234" s="272"/>
      <c r="G234" s="113"/>
      <c r="H234" s="113"/>
      <c r="I234" s="275"/>
      <c r="J234" s="113"/>
      <c r="K234" s="113"/>
      <c r="L234" s="113"/>
      <c r="M234" s="113"/>
      <c r="N234" s="113"/>
      <c r="O234" s="113"/>
      <c r="P234" s="113"/>
      <c r="Q234" s="113"/>
      <c r="R234" s="113"/>
      <c r="S234" s="113"/>
      <c r="T234" s="122"/>
      <c r="W234" s="123"/>
      <c r="X234" s="123"/>
      <c r="Y234" s="123"/>
      <c r="Z234" s="123"/>
      <c r="AA234" s="123"/>
      <c r="AB234" s="123"/>
      <c r="AC234" s="123"/>
      <c r="AD234" s="123"/>
      <c r="AE234" s="113"/>
      <c r="AF234" s="113"/>
      <c r="AG234" s="113"/>
      <c r="AH234" s="113"/>
      <c r="AI234" s="113"/>
      <c r="AJ234" s="113"/>
      <c r="AK234" s="113"/>
      <c r="AL234" s="113"/>
    </row>
    <row r="235" spans="1:38" ht="15.75" customHeight="1">
      <c r="A235" s="113"/>
      <c r="B235" s="113"/>
      <c r="C235" s="113"/>
      <c r="D235" s="272"/>
      <c r="E235" s="272"/>
      <c r="F235" s="272"/>
      <c r="G235" s="113"/>
      <c r="H235" s="113"/>
      <c r="I235" s="275"/>
      <c r="J235" s="113"/>
      <c r="K235" s="113"/>
      <c r="L235" s="113"/>
      <c r="M235" s="113"/>
      <c r="N235" s="113"/>
      <c r="O235" s="113"/>
      <c r="P235" s="113"/>
      <c r="Q235" s="113"/>
      <c r="R235" s="113"/>
      <c r="S235" s="113"/>
      <c r="T235" s="122"/>
      <c r="W235" s="123"/>
      <c r="X235" s="123"/>
      <c r="Y235" s="123"/>
      <c r="Z235" s="123"/>
      <c r="AA235" s="123"/>
      <c r="AB235" s="123"/>
      <c r="AC235" s="123"/>
      <c r="AD235" s="123"/>
      <c r="AE235" s="113"/>
      <c r="AF235" s="113"/>
      <c r="AG235" s="113"/>
      <c r="AH235" s="113"/>
      <c r="AI235" s="113"/>
      <c r="AJ235" s="113"/>
      <c r="AK235" s="113"/>
      <c r="AL235" s="113"/>
    </row>
    <row r="236" spans="1:38" ht="15.75" customHeight="1">
      <c r="A236" s="113"/>
      <c r="B236" s="113"/>
      <c r="C236" s="113"/>
      <c r="D236" s="272"/>
      <c r="E236" s="272"/>
      <c r="F236" s="272"/>
      <c r="G236" s="113"/>
      <c r="H236" s="113"/>
      <c r="I236" s="275"/>
      <c r="J236" s="113"/>
      <c r="K236" s="113"/>
      <c r="L236" s="113"/>
      <c r="M236" s="113"/>
      <c r="N236" s="113"/>
      <c r="O236" s="113"/>
      <c r="P236" s="113"/>
      <c r="Q236" s="113"/>
      <c r="R236" s="113"/>
      <c r="S236" s="113"/>
      <c r="T236" s="122"/>
      <c r="W236" s="123"/>
      <c r="X236" s="123"/>
      <c r="Y236" s="123"/>
      <c r="Z236" s="123"/>
      <c r="AA236" s="123"/>
      <c r="AB236" s="123"/>
      <c r="AC236" s="123"/>
      <c r="AD236" s="123"/>
      <c r="AE236" s="113"/>
      <c r="AF236" s="113"/>
      <c r="AG236" s="113"/>
      <c r="AH236" s="113"/>
      <c r="AI236" s="113"/>
      <c r="AJ236" s="113"/>
      <c r="AK236" s="113"/>
      <c r="AL236" s="113"/>
    </row>
    <row r="237" spans="1:38" ht="15.75" customHeight="1">
      <c r="A237" s="113"/>
      <c r="B237" s="113"/>
      <c r="C237" s="113"/>
      <c r="D237" s="272"/>
      <c r="E237" s="272"/>
      <c r="F237" s="272"/>
      <c r="G237" s="113"/>
      <c r="H237" s="113"/>
      <c r="I237" s="275"/>
      <c r="J237" s="113"/>
      <c r="K237" s="113"/>
      <c r="L237" s="113"/>
      <c r="M237" s="113"/>
      <c r="N237" s="113"/>
      <c r="O237" s="113"/>
      <c r="P237" s="113"/>
      <c r="Q237" s="113"/>
      <c r="R237" s="113"/>
      <c r="S237" s="113"/>
      <c r="T237" s="122"/>
      <c r="W237" s="123"/>
      <c r="X237" s="123"/>
      <c r="Y237" s="123"/>
      <c r="Z237" s="123"/>
      <c r="AA237" s="123"/>
      <c r="AB237" s="123"/>
      <c r="AC237" s="123"/>
      <c r="AD237" s="123"/>
      <c r="AE237" s="113"/>
      <c r="AF237" s="113"/>
      <c r="AG237" s="113"/>
      <c r="AH237" s="113"/>
      <c r="AI237" s="113"/>
      <c r="AJ237" s="113"/>
      <c r="AK237" s="113"/>
      <c r="AL237" s="113"/>
    </row>
    <row r="238" spans="1:38" ht="15.75" customHeight="1">
      <c r="A238" s="113"/>
      <c r="B238" s="113"/>
      <c r="C238" s="113"/>
      <c r="D238" s="272"/>
      <c r="E238" s="272"/>
      <c r="F238" s="272"/>
      <c r="G238" s="113"/>
      <c r="H238" s="113"/>
      <c r="I238" s="275"/>
      <c r="J238" s="113"/>
      <c r="K238" s="113"/>
      <c r="L238" s="113"/>
      <c r="M238" s="113"/>
      <c r="N238" s="113"/>
      <c r="O238" s="113"/>
      <c r="P238" s="113"/>
      <c r="Q238" s="113"/>
      <c r="R238" s="113"/>
      <c r="S238" s="113"/>
      <c r="T238" s="122"/>
      <c r="W238" s="123"/>
      <c r="X238" s="123"/>
      <c r="Y238" s="123"/>
      <c r="Z238" s="123"/>
      <c r="AA238" s="123"/>
      <c r="AB238" s="123"/>
      <c r="AC238" s="123"/>
      <c r="AD238" s="123"/>
      <c r="AE238" s="113"/>
      <c r="AF238" s="113"/>
      <c r="AG238" s="113"/>
      <c r="AH238" s="113"/>
      <c r="AI238" s="113"/>
      <c r="AJ238" s="113"/>
      <c r="AK238" s="113"/>
      <c r="AL238" s="113"/>
    </row>
    <row r="239" spans="1:38" ht="15.75" customHeight="1">
      <c r="A239" s="113"/>
      <c r="B239" s="113"/>
      <c r="C239" s="113"/>
      <c r="D239" s="272"/>
      <c r="E239" s="272"/>
      <c r="F239" s="272"/>
      <c r="G239" s="113"/>
      <c r="H239" s="113"/>
      <c r="I239" s="275"/>
      <c r="J239" s="113"/>
      <c r="K239" s="113"/>
      <c r="L239" s="113"/>
      <c r="M239" s="113"/>
      <c r="N239" s="113"/>
      <c r="O239" s="113"/>
      <c r="P239" s="113"/>
      <c r="Q239" s="113"/>
      <c r="R239" s="113"/>
      <c r="S239" s="113"/>
      <c r="T239" s="122"/>
      <c r="W239" s="123"/>
      <c r="X239" s="123"/>
      <c r="Y239" s="123"/>
      <c r="Z239" s="123"/>
      <c r="AA239" s="123"/>
      <c r="AB239" s="123"/>
      <c r="AC239" s="123"/>
      <c r="AD239" s="123"/>
      <c r="AE239" s="113"/>
      <c r="AF239" s="113"/>
      <c r="AG239" s="113"/>
      <c r="AH239" s="113"/>
      <c r="AI239" s="113"/>
      <c r="AJ239" s="113"/>
      <c r="AK239" s="113"/>
      <c r="AL239" s="113"/>
    </row>
    <row r="240" spans="1:38" ht="15.75" customHeight="1">
      <c r="A240" s="113"/>
      <c r="B240" s="113"/>
      <c r="C240" s="113"/>
      <c r="D240" s="272"/>
      <c r="E240" s="272"/>
      <c r="F240" s="272"/>
      <c r="G240" s="113"/>
      <c r="H240" s="113"/>
      <c r="I240" s="275"/>
      <c r="J240" s="113"/>
      <c r="K240" s="113"/>
      <c r="L240" s="113"/>
      <c r="M240" s="113"/>
      <c r="N240" s="113"/>
      <c r="O240" s="113"/>
      <c r="P240" s="113"/>
      <c r="Q240" s="113"/>
      <c r="R240" s="113"/>
      <c r="S240" s="113"/>
      <c r="T240" s="122"/>
      <c r="W240" s="123"/>
      <c r="X240" s="123"/>
      <c r="Y240" s="123"/>
      <c r="Z240" s="123"/>
      <c r="AA240" s="123"/>
      <c r="AB240" s="123"/>
      <c r="AC240" s="123"/>
      <c r="AD240" s="123"/>
      <c r="AE240" s="113"/>
      <c r="AF240" s="113"/>
      <c r="AG240" s="113"/>
      <c r="AH240" s="113"/>
      <c r="AI240" s="113"/>
      <c r="AJ240" s="113"/>
      <c r="AK240" s="113"/>
      <c r="AL240" s="113"/>
    </row>
    <row r="241" spans="1:38" ht="15.75" customHeight="1">
      <c r="A241" s="113"/>
      <c r="B241" s="113"/>
      <c r="C241" s="113"/>
      <c r="D241" s="272"/>
      <c r="E241" s="272"/>
      <c r="F241" s="272"/>
      <c r="G241" s="113"/>
      <c r="H241" s="113"/>
      <c r="I241" s="275"/>
      <c r="J241" s="113"/>
      <c r="K241" s="113"/>
      <c r="L241" s="113"/>
      <c r="M241" s="113"/>
      <c r="N241" s="113"/>
      <c r="O241" s="113"/>
      <c r="P241" s="113"/>
      <c r="Q241" s="113"/>
      <c r="R241" s="113"/>
      <c r="S241" s="113"/>
      <c r="T241" s="122"/>
      <c r="W241" s="123"/>
      <c r="X241" s="123"/>
      <c r="Y241" s="123"/>
      <c r="Z241" s="123"/>
      <c r="AA241" s="123"/>
      <c r="AB241" s="123"/>
      <c r="AC241" s="123"/>
      <c r="AD241" s="123"/>
      <c r="AE241" s="113"/>
      <c r="AF241" s="113"/>
      <c r="AG241" s="113"/>
      <c r="AH241" s="113"/>
      <c r="AI241" s="113"/>
      <c r="AJ241" s="113"/>
      <c r="AK241" s="113"/>
      <c r="AL241" s="113"/>
    </row>
    <row r="242" spans="1:38" ht="15.75" customHeight="1">
      <c r="A242" s="113"/>
      <c r="B242" s="113"/>
      <c r="C242" s="113"/>
      <c r="D242" s="272"/>
      <c r="E242" s="272"/>
      <c r="F242" s="272"/>
      <c r="G242" s="113"/>
      <c r="H242" s="113"/>
      <c r="I242" s="275"/>
      <c r="J242" s="113"/>
      <c r="K242" s="113"/>
      <c r="L242" s="113"/>
      <c r="M242" s="113"/>
      <c r="N242" s="113"/>
      <c r="O242" s="113"/>
      <c r="P242" s="113"/>
      <c r="Q242" s="113"/>
      <c r="R242" s="113"/>
      <c r="S242" s="113"/>
      <c r="T242" s="122"/>
      <c r="W242" s="123"/>
      <c r="X242" s="123"/>
      <c r="Y242" s="123"/>
      <c r="Z242" s="123"/>
      <c r="AA242" s="123"/>
      <c r="AB242" s="123"/>
      <c r="AC242" s="123"/>
      <c r="AD242" s="123"/>
      <c r="AE242" s="113"/>
      <c r="AF242" s="113"/>
      <c r="AG242" s="113"/>
      <c r="AH242" s="113"/>
      <c r="AI242" s="113"/>
      <c r="AJ242" s="113"/>
      <c r="AK242" s="113"/>
      <c r="AL242" s="113"/>
    </row>
    <row r="243" spans="1:38" ht="15.75" customHeight="1">
      <c r="A243" s="113"/>
      <c r="B243" s="113"/>
      <c r="C243" s="113"/>
      <c r="D243" s="272"/>
      <c r="E243" s="272"/>
      <c r="F243" s="272"/>
      <c r="G243" s="113"/>
      <c r="H243" s="113"/>
      <c r="I243" s="275"/>
      <c r="J243" s="113"/>
      <c r="K243" s="113"/>
      <c r="L243" s="113"/>
      <c r="M243" s="113"/>
      <c r="N243" s="113"/>
      <c r="O243" s="113"/>
      <c r="P243" s="113"/>
      <c r="Q243" s="113"/>
      <c r="R243" s="113"/>
      <c r="S243" s="113"/>
      <c r="T243" s="122"/>
      <c r="W243" s="123"/>
      <c r="X243" s="123"/>
      <c r="Y243" s="123"/>
      <c r="Z243" s="123"/>
      <c r="AA243" s="123"/>
      <c r="AB243" s="123"/>
      <c r="AC243" s="123"/>
      <c r="AD243" s="123"/>
      <c r="AE243" s="113"/>
      <c r="AF243" s="113"/>
      <c r="AG243" s="113"/>
      <c r="AH243" s="113"/>
      <c r="AI243" s="113"/>
      <c r="AJ243" s="113"/>
      <c r="AK243" s="113"/>
      <c r="AL243" s="113"/>
    </row>
    <row r="244" spans="1:38" ht="15.75" customHeight="1">
      <c r="A244" s="113"/>
      <c r="B244" s="113"/>
      <c r="C244" s="113"/>
      <c r="D244" s="272"/>
      <c r="E244" s="272"/>
      <c r="F244" s="272"/>
      <c r="G244" s="113"/>
      <c r="H244" s="113"/>
      <c r="I244" s="275"/>
      <c r="J244" s="113"/>
      <c r="K244" s="113"/>
      <c r="L244" s="113"/>
      <c r="M244" s="113"/>
      <c r="N244" s="113"/>
      <c r="O244" s="113"/>
      <c r="P244" s="113"/>
      <c r="Q244" s="113"/>
      <c r="R244" s="113"/>
      <c r="S244" s="113"/>
      <c r="T244" s="122"/>
      <c r="W244" s="123"/>
      <c r="X244" s="123"/>
      <c r="Y244" s="123"/>
      <c r="Z244" s="123"/>
      <c r="AA244" s="123"/>
      <c r="AB244" s="123"/>
      <c r="AC244" s="123"/>
      <c r="AD244" s="123"/>
      <c r="AE244" s="113"/>
      <c r="AF244" s="113"/>
      <c r="AG244" s="113"/>
      <c r="AH244" s="113"/>
      <c r="AI244" s="113"/>
      <c r="AJ244" s="113"/>
      <c r="AK244" s="113"/>
      <c r="AL244" s="113"/>
    </row>
    <row r="245" spans="1:38" ht="15.75" customHeight="1">
      <c r="A245" s="113"/>
      <c r="B245" s="113"/>
      <c r="C245" s="113"/>
      <c r="D245" s="272"/>
      <c r="E245" s="272"/>
      <c r="F245" s="272"/>
      <c r="G245" s="113"/>
      <c r="H245" s="113"/>
      <c r="I245" s="275"/>
      <c r="J245" s="113"/>
      <c r="K245" s="113"/>
      <c r="L245" s="113"/>
      <c r="M245" s="113"/>
      <c r="N245" s="113"/>
      <c r="O245" s="113"/>
      <c r="P245" s="113"/>
      <c r="Q245" s="113"/>
      <c r="R245" s="113"/>
      <c r="S245" s="113"/>
      <c r="T245" s="122"/>
      <c r="W245" s="123"/>
      <c r="X245" s="123"/>
      <c r="Y245" s="123"/>
      <c r="Z245" s="123"/>
      <c r="AA245" s="123"/>
      <c r="AB245" s="123"/>
      <c r="AC245" s="123"/>
      <c r="AD245" s="123"/>
      <c r="AE245" s="113"/>
      <c r="AF245" s="113"/>
      <c r="AG245" s="113"/>
      <c r="AH245" s="113"/>
      <c r="AI245" s="113"/>
      <c r="AJ245" s="113"/>
      <c r="AK245" s="113"/>
      <c r="AL245" s="113"/>
    </row>
    <row r="246" spans="1:38" ht="15.75" customHeight="1">
      <c r="A246" s="113"/>
      <c r="B246" s="113"/>
      <c r="C246" s="113"/>
      <c r="D246" s="272"/>
      <c r="E246" s="272"/>
      <c r="F246" s="272"/>
      <c r="G246" s="113"/>
      <c r="H246" s="113"/>
      <c r="I246" s="275"/>
      <c r="J246" s="113"/>
      <c r="K246" s="113"/>
      <c r="L246" s="113"/>
      <c r="M246" s="113"/>
      <c r="N246" s="113"/>
      <c r="O246" s="113"/>
      <c r="P246" s="113"/>
      <c r="Q246" s="113"/>
      <c r="R246" s="113"/>
      <c r="S246" s="113"/>
      <c r="T246" s="122"/>
      <c r="W246" s="123"/>
      <c r="X246" s="123"/>
      <c r="Y246" s="123"/>
      <c r="Z246" s="123"/>
      <c r="AA246" s="123"/>
      <c r="AB246" s="123"/>
      <c r="AC246" s="123"/>
      <c r="AD246" s="123"/>
      <c r="AE246" s="113"/>
      <c r="AF246" s="113"/>
      <c r="AG246" s="113"/>
      <c r="AH246" s="113"/>
      <c r="AI246" s="113"/>
      <c r="AJ246" s="113"/>
      <c r="AK246" s="113"/>
      <c r="AL246" s="113"/>
    </row>
    <row r="247" spans="1:38" ht="15.75" customHeight="1">
      <c r="A247" s="113"/>
      <c r="B247" s="113"/>
      <c r="C247" s="113"/>
      <c r="D247" s="272"/>
      <c r="E247" s="272"/>
      <c r="F247" s="272"/>
      <c r="G247" s="113"/>
      <c r="H247" s="113"/>
      <c r="I247" s="275"/>
      <c r="J247" s="113"/>
      <c r="K247" s="113"/>
      <c r="L247" s="113"/>
      <c r="M247" s="113"/>
      <c r="N247" s="113"/>
      <c r="O247" s="113"/>
      <c r="P247" s="113"/>
      <c r="Q247" s="113"/>
      <c r="R247" s="113"/>
      <c r="S247" s="113"/>
      <c r="T247" s="122"/>
      <c r="W247" s="123"/>
      <c r="X247" s="123"/>
      <c r="Y247" s="123"/>
      <c r="Z247" s="123"/>
      <c r="AA247" s="123"/>
      <c r="AB247" s="123"/>
      <c r="AC247" s="123"/>
      <c r="AD247" s="123"/>
      <c r="AE247" s="113"/>
      <c r="AF247" s="113"/>
      <c r="AG247" s="113"/>
      <c r="AH247" s="113"/>
      <c r="AI247" s="113"/>
      <c r="AJ247" s="113"/>
      <c r="AK247" s="113"/>
      <c r="AL247" s="113"/>
    </row>
    <row r="248" spans="1:38" ht="15.75" customHeight="1">
      <c r="A248" s="113"/>
      <c r="B248" s="113"/>
      <c r="C248" s="113"/>
      <c r="D248" s="272"/>
      <c r="E248" s="272"/>
      <c r="F248" s="272"/>
      <c r="G248" s="113"/>
      <c r="H248" s="113"/>
      <c r="I248" s="275"/>
      <c r="J248" s="113"/>
      <c r="K248" s="113"/>
      <c r="L248" s="113"/>
      <c r="M248" s="113"/>
      <c r="N248" s="113"/>
      <c r="O248" s="113"/>
      <c r="P248" s="113"/>
      <c r="Q248" s="113"/>
      <c r="R248" s="113"/>
      <c r="S248" s="113"/>
      <c r="T248" s="122"/>
      <c r="W248" s="123"/>
      <c r="X248" s="123"/>
      <c r="Y248" s="123"/>
      <c r="Z248" s="123"/>
      <c r="AA248" s="123"/>
      <c r="AB248" s="123"/>
      <c r="AC248" s="123"/>
      <c r="AD248" s="123"/>
      <c r="AE248" s="113"/>
      <c r="AF248" s="113"/>
      <c r="AG248" s="113"/>
      <c r="AH248" s="113"/>
      <c r="AI248" s="113"/>
      <c r="AJ248" s="113"/>
      <c r="AK248" s="113"/>
      <c r="AL248" s="113"/>
    </row>
    <row r="249" spans="1:38" ht="15.75" customHeight="1">
      <c r="A249" s="113"/>
      <c r="B249" s="113"/>
      <c r="C249" s="113"/>
      <c r="D249" s="272"/>
      <c r="E249" s="272"/>
      <c r="F249" s="272"/>
      <c r="G249" s="113"/>
      <c r="H249" s="113"/>
      <c r="I249" s="275"/>
      <c r="J249" s="113"/>
      <c r="K249" s="113"/>
      <c r="L249" s="113"/>
      <c r="M249" s="113"/>
      <c r="N249" s="113"/>
      <c r="O249" s="113"/>
      <c r="P249" s="113"/>
      <c r="Q249" s="113"/>
      <c r="R249" s="113"/>
      <c r="S249" s="113"/>
      <c r="T249" s="122"/>
      <c r="W249" s="123"/>
      <c r="X249" s="123"/>
      <c r="Y249" s="123"/>
      <c r="Z249" s="123"/>
      <c r="AA249" s="123"/>
      <c r="AB249" s="123"/>
      <c r="AC249" s="123"/>
      <c r="AD249" s="123"/>
      <c r="AE249" s="113"/>
      <c r="AF249" s="113"/>
      <c r="AG249" s="113"/>
      <c r="AH249" s="113"/>
      <c r="AI249" s="113"/>
      <c r="AJ249" s="113"/>
      <c r="AK249" s="113"/>
      <c r="AL249" s="113"/>
    </row>
    <row r="250" spans="1:38" ht="15.75" customHeight="1">
      <c r="A250" s="113"/>
      <c r="B250" s="113"/>
      <c r="C250" s="113"/>
      <c r="D250" s="272"/>
      <c r="E250" s="272"/>
      <c r="F250" s="272"/>
      <c r="G250" s="113"/>
      <c r="H250" s="113"/>
      <c r="I250" s="275"/>
      <c r="J250" s="113"/>
      <c r="K250" s="113"/>
      <c r="L250" s="113"/>
      <c r="M250" s="113"/>
      <c r="N250" s="113"/>
      <c r="O250" s="113"/>
      <c r="P250" s="113"/>
      <c r="Q250" s="113"/>
      <c r="R250" s="113"/>
      <c r="S250" s="113"/>
      <c r="T250" s="122"/>
      <c r="W250" s="123"/>
      <c r="X250" s="123"/>
      <c r="Y250" s="123"/>
      <c r="Z250" s="123"/>
      <c r="AA250" s="123"/>
      <c r="AB250" s="123"/>
      <c r="AC250" s="123"/>
      <c r="AD250" s="123"/>
      <c r="AE250" s="113"/>
      <c r="AF250" s="113"/>
      <c r="AG250" s="113"/>
      <c r="AH250" s="113"/>
      <c r="AI250" s="113"/>
      <c r="AJ250" s="113"/>
      <c r="AK250" s="113"/>
      <c r="AL250" s="113"/>
    </row>
    <row r="251" spans="1:38" ht="15.75" customHeight="1">
      <c r="A251" s="113"/>
      <c r="B251" s="113"/>
      <c r="C251" s="113"/>
      <c r="D251" s="272"/>
      <c r="E251" s="272"/>
      <c r="F251" s="272"/>
      <c r="G251" s="113"/>
      <c r="H251" s="113"/>
      <c r="I251" s="275"/>
      <c r="J251" s="113"/>
      <c r="K251" s="113"/>
      <c r="L251" s="113"/>
      <c r="M251" s="113"/>
      <c r="N251" s="113"/>
      <c r="O251" s="113"/>
      <c r="P251" s="113"/>
      <c r="Q251" s="113"/>
      <c r="R251" s="113"/>
      <c r="S251" s="113"/>
      <c r="T251" s="122"/>
      <c r="W251" s="123"/>
      <c r="X251" s="123"/>
      <c r="Y251" s="123"/>
      <c r="Z251" s="123"/>
      <c r="AA251" s="123"/>
      <c r="AB251" s="123"/>
      <c r="AC251" s="123"/>
      <c r="AD251" s="123"/>
      <c r="AE251" s="113"/>
      <c r="AF251" s="113"/>
      <c r="AG251" s="113"/>
      <c r="AH251" s="113"/>
      <c r="AI251" s="113"/>
      <c r="AJ251" s="113"/>
      <c r="AK251" s="113"/>
      <c r="AL251" s="113"/>
    </row>
    <row r="252" spans="1:38" ht="15.75" customHeight="1">
      <c r="A252" s="113"/>
      <c r="B252" s="113"/>
      <c r="C252" s="113"/>
      <c r="D252" s="272"/>
      <c r="E252" s="272"/>
      <c r="F252" s="272"/>
      <c r="G252" s="113"/>
      <c r="H252" s="113"/>
      <c r="I252" s="275"/>
      <c r="J252" s="113"/>
      <c r="K252" s="113"/>
      <c r="L252" s="113"/>
      <c r="M252" s="113"/>
      <c r="N252" s="113"/>
      <c r="O252" s="113"/>
      <c r="P252" s="113"/>
      <c r="Q252" s="113"/>
      <c r="R252" s="113"/>
      <c r="S252" s="113"/>
      <c r="T252" s="122"/>
      <c r="W252" s="123"/>
      <c r="X252" s="123"/>
      <c r="Y252" s="123"/>
      <c r="Z252" s="123"/>
      <c r="AA252" s="123"/>
      <c r="AB252" s="123"/>
      <c r="AC252" s="123"/>
      <c r="AD252" s="123"/>
      <c r="AE252" s="113"/>
      <c r="AF252" s="113"/>
      <c r="AG252" s="113"/>
      <c r="AH252" s="113"/>
      <c r="AI252" s="113"/>
      <c r="AJ252" s="113"/>
      <c r="AK252" s="113"/>
      <c r="AL252" s="113"/>
    </row>
    <row r="253" spans="1:38" ht="15.75" customHeight="1">
      <c r="A253" s="113"/>
      <c r="B253" s="113"/>
      <c r="C253" s="113"/>
      <c r="D253" s="272"/>
      <c r="E253" s="272"/>
      <c r="F253" s="272"/>
      <c r="G253" s="113"/>
      <c r="H253" s="113"/>
      <c r="I253" s="275"/>
      <c r="J253" s="113"/>
      <c r="K253" s="113"/>
      <c r="L253" s="113"/>
      <c r="M253" s="113"/>
      <c r="N253" s="113"/>
      <c r="O253" s="113"/>
      <c r="P253" s="113"/>
      <c r="Q253" s="113"/>
      <c r="R253" s="113"/>
      <c r="S253" s="113"/>
      <c r="T253" s="122"/>
      <c r="W253" s="123"/>
      <c r="X253" s="123"/>
      <c r="Y253" s="123"/>
      <c r="Z253" s="123"/>
      <c r="AA253" s="123"/>
      <c r="AB253" s="123"/>
      <c r="AC253" s="123"/>
      <c r="AD253" s="123"/>
      <c r="AE253" s="113"/>
      <c r="AF253" s="113"/>
      <c r="AG253" s="113"/>
      <c r="AH253" s="113"/>
      <c r="AI253" s="113"/>
      <c r="AJ253" s="113"/>
      <c r="AK253" s="113"/>
      <c r="AL253" s="113"/>
    </row>
    <row r="254" spans="1:38" ht="15.75" customHeight="1">
      <c r="A254" s="113"/>
      <c r="B254" s="113"/>
      <c r="C254" s="113"/>
      <c r="D254" s="272"/>
      <c r="E254" s="272"/>
      <c r="F254" s="272"/>
      <c r="G254" s="113"/>
      <c r="H254" s="113"/>
      <c r="I254" s="275"/>
      <c r="J254" s="113"/>
      <c r="K254" s="113"/>
      <c r="L254" s="113"/>
      <c r="M254" s="113"/>
      <c r="N254" s="113"/>
      <c r="O254" s="113"/>
      <c r="P254" s="113"/>
      <c r="Q254" s="113"/>
      <c r="R254" s="113"/>
      <c r="S254" s="113"/>
      <c r="T254" s="122"/>
      <c r="W254" s="123"/>
      <c r="X254" s="123"/>
      <c r="Y254" s="123"/>
      <c r="Z254" s="123"/>
      <c r="AA254" s="123"/>
      <c r="AB254" s="123"/>
      <c r="AC254" s="123"/>
      <c r="AD254" s="123"/>
      <c r="AE254" s="113"/>
      <c r="AF254" s="113"/>
      <c r="AG254" s="113"/>
      <c r="AH254" s="113"/>
      <c r="AI254" s="113"/>
      <c r="AJ254" s="113"/>
      <c r="AK254" s="113"/>
      <c r="AL254" s="113"/>
    </row>
    <row r="255" spans="1:38" ht="15.75" customHeight="1">
      <c r="A255" s="113"/>
      <c r="B255" s="113"/>
      <c r="C255" s="113"/>
      <c r="D255" s="272"/>
      <c r="E255" s="272"/>
      <c r="F255" s="272"/>
      <c r="G255" s="113"/>
      <c r="H255" s="113"/>
      <c r="I255" s="275"/>
      <c r="J255" s="113"/>
      <c r="K255" s="113"/>
      <c r="L255" s="113"/>
      <c r="M255" s="113"/>
      <c r="N255" s="113"/>
      <c r="O255" s="113"/>
      <c r="P255" s="113"/>
      <c r="Q255" s="113"/>
      <c r="R255" s="113"/>
      <c r="S255" s="113"/>
      <c r="T255" s="122"/>
      <c r="W255" s="123"/>
      <c r="X255" s="123"/>
      <c r="Y255" s="123"/>
      <c r="Z255" s="123"/>
      <c r="AA255" s="123"/>
      <c r="AB255" s="123"/>
      <c r="AC255" s="123"/>
      <c r="AD255" s="123"/>
      <c r="AE255" s="113"/>
      <c r="AF255" s="113"/>
      <c r="AG255" s="113"/>
      <c r="AH255" s="113"/>
      <c r="AI255" s="113"/>
      <c r="AJ255" s="113"/>
      <c r="AK255" s="113"/>
      <c r="AL255" s="113"/>
    </row>
    <row r="256" spans="1:3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51:B55"/>
    <mergeCell ref="AB1:AG1"/>
    <mergeCell ref="W3:X3"/>
    <mergeCell ref="AB3:AC3"/>
    <mergeCell ref="B6:B10"/>
    <mergeCell ref="B11:B15"/>
    <mergeCell ref="B16:B20"/>
    <mergeCell ref="B21:B25"/>
    <mergeCell ref="B26:B30"/>
    <mergeCell ref="B31:B35"/>
    <mergeCell ref="B36:B40"/>
    <mergeCell ref="B41:B45"/>
    <mergeCell ref="B46:B50"/>
  </mergeCells>
  <pageMargins left="0.31496062992125984" right="0.31496062992125984" top="0.74803149606299213" bottom="0.74803149606299213" header="0" footer="0"/>
  <pageSetup orientation="landscape"/>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1000"/>
  <sheetViews>
    <sheetView showGridLines="0" workbookViewId="0">
      <pane ySplit="14" topLeftCell="A18" activePane="bottomLeft" state="frozen"/>
      <selection pane="bottomLeft" activeCell="C46" sqref="C4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9.42578125" customWidth="1"/>
    <col min="7" max="7" width="9.28515625" customWidth="1"/>
    <col min="8" max="8" width="12.28515625" customWidth="1"/>
    <col min="9" max="9" width="1.42578125" customWidth="1"/>
    <col min="10" max="11" width="9.28515625" customWidth="1"/>
    <col min="12" max="12" width="12.28515625" customWidth="1"/>
    <col min="13" max="13" width="1.42578125" customWidth="1"/>
    <col min="14" max="14" width="11" customWidth="1"/>
    <col min="15" max="15" width="10" customWidth="1"/>
    <col min="16" max="16" width="1.7109375" customWidth="1"/>
    <col min="17" max="18" width="9.28515625" customWidth="1"/>
    <col min="19" max="19" width="12.28515625" customWidth="1"/>
    <col min="20" max="20" width="0.42578125" customWidth="1"/>
    <col min="21" max="21" width="11" customWidth="1"/>
    <col min="22" max="22" width="10" customWidth="1"/>
    <col min="23" max="23" width="0.42578125" customWidth="1"/>
    <col min="24" max="25" width="9.28515625" customWidth="1"/>
    <col min="26" max="26" width="12.28515625" customWidth="1"/>
    <col min="27" max="27" width="0.42578125" customWidth="1"/>
    <col min="28" max="28" width="9.42578125" customWidth="1"/>
    <col min="29" max="29" width="10" customWidth="1"/>
    <col min="30" max="30" width="2.1406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1.28515625" customWidth="1"/>
    <col min="45" max="47" width="12.42578125" customWidth="1"/>
  </cols>
  <sheetData>
    <row r="1" spans="1:47" ht="12" customHeight="1">
      <c r="A1" s="52"/>
      <c r="B1" s="52"/>
      <c r="C1" s="52"/>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3"/>
      <c r="AT1" s="3"/>
      <c r="AU1" s="3"/>
    </row>
    <row r="2" spans="1:47" ht="12" customHeight="1">
      <c r="A2" s="52"/>
      <c r="B2" s="52"/>
      <c r="C2" s="379"/>
      <c r="D2" s="379"/>
      <c r="E2" s="379"/>
      <c r="F2" s="379" t="s">
        <v>291</v>
      </c>
      <c r="G2" s="379"/>
      <c r="H2" s="379"/>
      <c r="I2" s="379"/>
      <c r="J2" s="379"/>
      <c r="K2" s="379"/>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3"/>
      <c r="AT2" s="3"/>
      <c r="AU2" s="3"/>
    </row>
    <row r="3" spans="1:47" ht="12" customHeight="1">
      <c r="A3" s="52"/>
      <c r="B3" s="52"/>
      <c r="C3" s="379"/>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c r="AU3" s="3"/>
    </row>
    <row r="4" spans="1:47" ht="12" customHeight="1">
      <c r="A4" s="52"/>
      <c r="B4" s="52"/>
      <c r="C4" s="52"/>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c r="AU4" s="3"/>
    </row>
    <row r="5" spans="1:47" ht="12" customHeight="1">
      <c r="A5" s="52"/>
      <c r="B5" s="52"/>
      <c r="C5" s="52"/>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c r="AU5" s="3"/>
    </row>
    <row r="6" spans="1:47" ht="12" customHeight="1">
      <c r="A6" s="52"/>
      <c r="B6" s="319" t="s">
        <v>294</v>
      </c>
      <c r="C6" s="52"/>
      <c r="D6" s="505" t="s">
        <v>221</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row>
    <row r="7" spans="1:47"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row>
    <row r="8" spans="1:47" ht="12" customHeight="1">
      <c r="A8" s="52"/>
      <c r="B8" s="319" t="s">
        <v>295</v>
      </c>
      <c r="C8" s="52"/>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3"/>
      <c r="AT8" s="3"/>
      <c r="AU8" s="3"/>
    </row>
    <row r="9" spans="1:47" ht="12" customHeight="1">
      <c r="A9" s="52"/>
      <c r="B9" s="383"/>
      <c r="C9" s="52"/>
      <c r="D9" s="306" t="s">
        <v>297</v>
      </c>
      <c r="E9" s="306"/>
      <c r="F9" s="386">
        <v>255500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3"/>
      <c r="AT9" s="3"/>
      <c r="AU9" s="3"/>
    </row>
    <row r="10" spans="1:47" ht="12" customHeight="1">
      <c r="A10" s="52"/>
      <c r="B10" s="52"/>
      <c r="C10" s="52"/>
      <c r="D10" s="52"/>
      <c r="E10" s="52"/>
      <c r="F10" s="386">
        <v>1000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3"/>
      <c r="AT10" s="3"/>
      <c r="AU10" s="3"/>
    </row>
    <row r="11" spans="1:47" ht="12" customHeight="1">
      <c r="A11" s="52"/>
      <c r="B11" s="52"/>
      <c r="C11" s="52"/>
      <c r="D11" s="3"/>
      <c r="E11" s="3"/>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
      <c r="AT11" s="3"/>
      <c r="AU11" s="3"/>
    </row>
    <row r="12" spans="1:47" ht="12" customHeight="1">
      <c r="A12" s="52"/>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
      <c r="AT12" s="3"/>
      <c r="AU12" s="3"/>
    </row>
    <row r="13" spans="1:47" ht="12" customHeight="1">
      <c r="A13" s="52"/>
      <c r="B13" s="52"/>
      <c r="C13" s="52"/>
      <c r="D13" s="640" t="s">
        <v>299</v>
      </c>
      <c r="E13" s="309"/>
      <c r="F13" s="389" t="s">
        <v>300</v>
      </c>
      <c r="G13" s="389" t="s">
        <v>301</v>
      </c>
      <c r="H13" s="391" t="s">
        <v>302</v>
      </c>
      <c r="I13" s="52"/>
      <c r="J13" s="389" t="s">
        <v>300</v>
      </c>
      <c r="K13" s="390" t="s">
        <v>301</v>
      </c>
      <c r="L13" s="391" t="s">
        <v>302</v>
      </c>
      <c r="M13" s="52"/>
      <c r="N13" s="637" t="s">
        <v>303</v>
      </c>
      <c r="O13" s="638" t="s">
        <v>304</v>
      </c>
      <c r="P13" s="52"/>
      <c r="Q13" s="389" t="s">
        <v>300</v>
      </c>
      <c r="R13" s="390" t="s">
        <v>301</v>
      </c>
      <c r="S13" s="391" t="s">
        <v>302</v>
      </c>
      <c r="T13" s="52"/>
      <c r="U13" s="637" t="s">
        <v>303</v>
      </c>
      <c r="V13" s="638" t="s">
        <v>304</v>
      </c>
      <c r="W13" s="52"/>
      <c r="X13" s="389" t="s">
        <v>300</v>
      </c>
      <c r="Y13" s="390" t="s">
        <v>301</v>
      </c>
      <c r="Z13" s="391" t="s">
        <v>302</v>
      </c>
      <c r="AA13" s="52"/>
      <c r="AB13" s="637" t="s">
        <v>303</v>
      </c>
      <c r="AC13" s="638" t="s">
        <v>304</v>
      </c>
      <c r="AD13" s="52"/>
      <c r="AE13" s="389" t="s">
        <v>300</v>
      </c>
      <c r="AF13" s="390" t="s">
        <v>301</v>
      </c>
      <c r="AG13" s="391" t="s">
        <v>302</v>
      </c>
      <c r="AH13" s="52"/>
      <c r="AI13" s="637" t="s">
        <v>303</v>
      </c>
      <c r="AJ13" s="638" t="s">
        <v>304</v>
      </c>
      <c r="AK13" s="52"/>
      <c r="AL13" s="389" t="s">
        <v>300</v>
      </c>
      <c r="AM13" s="390" t="s">
        <v>301</v>
      </c>
      <c r="AN13" s="391" t="s">
        <v>302</v>
      </c>
      <c r="AO13" s="52"/>
      <c r="AP13" s="637" t="s">
        <v>303</v>
      </c>
      <c r="AQ13" s="638" t="s">
        <v>304</v>
      </c>
      <c r="AR13" s="309"/>
      <c r="AS13" s="3"/>
      <c r="AT13" s="3"/>
      <c r="AU13" s="3"/>
    </row>
    <row r="14" spans="1:47" ht="12" customHeight="1">
      <c r="A14" s="52"/>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09"/>
      <c r="AS14" s="3"/>
      <c r="AT14" s="3"/>
      <c r="AU14" s="3"/>
    </row>
    <row r="15" spans="1:47" ht="12" customHeight="1">
      <c r="A15" s="52"/>
      <c r="B15" s="320" t="s">
        <v>218</v>
      </c>
      <c r="C15" s="395" t="str">
        <f t="shared" ref="C15:C28" si="0">D$6&amp;"."&amp;B15</f>
        <v>General Service 50 to 1,499 KW.Monthly Service Charge</v>
      </c>
      <c r="D15" s="396" t="s">
        <v>306</v>
      </c>
      <c r="E15" s="320"/>
      <c r="F15" s="397">
        <f>VLOOKUP($C15,'Proposed Rates'!$B:$J,F$11,FALSE)</f>
        <v>200</v>
      </c>
      <c r="G15" s="415">
        <f t="shared" ref="G15:G28" si="1">IF($D15="Monthly",1,IF($D15="per KW",$F$10,IF($D15="per kWh",$F$9,0)))</f>
        <v>1</v>
      </c>
      <c r="H15" s="400">
        <f t="shared" ref="H15:H28" si="2">G15*F15</f>
        <v>200</v>
      </c>
      <c r="I15" s="128"/>
      <c r="J15" s="397">
        <f>VLOOKUP($C15,'Proposed Rates'!$B:$J,J$11,FALSE)</f>
        <v>200</v>
      </c>
      <c r="K15" s="415">
        <f t="shared" ref="K15:K28" si="3">IF($D15="Monthly",1,IF($D15="per KW",$F$10,IF($D15="per kWh",$F$9,0)))</f>
        <v>1</v>
      </c>
      <c r="L15" s="400">
        <f t="shared" ref="L15:L28" si="4">K15*J15</f>
        <v>200</v>
      </c>
      <c r="M15" s="128"/>
      <c r="N15" s="401">
        <f t="shared" ref="N15:N46" si="5">L15-H15</f>
        <v>0</v>
      </c>
      <c r="O15" s="402">
        <f t="shared" ref="O15:O46" si="6">IF((H15)=0,"",(N15/H15))</f>
        <v>0</v>
      </c>
      <c r="P15" s="52"/>
      <c r="Q15" s="397">
        <f>VLOOKUP($C15,'Proposed Rates'!$B:$J,Q$11,FALSE)</f>
        <v>200</v>
      </c>
      <c r="R15" s="415">
        <f t="shared" ref="R15:R28" si="7">IF($D15="Monthly",1,IF($D15="per KW",$F$10,IF($D15="per kWh",$F$9,0)))</f>
        <v>1</v>
      </c>
      <c r="S15" s="400">
        <f t="shared" ref="S15:S28" si="8">R15*Q15</f>
        <v>200</v>
      </c>
      <c r="T15" s="128"/>
      <c r="U15" s="401">
        <f t="shared" ref="U15:U46" si="9">S15-L15</f>
        <v>0</v>
      </c>
      <c r="V15" s="402">
        <f t="shared" ref="V15:V46" si="10">IF((L15)=0,"",(U15/L15))</f>
        <v>0</v>
      </c>
      <c r="W15" s="52"/>
      <c r="X15" s="397">
        <f>VLOOKUP($C15,'Proposed Rates'!$B:$J,X$11,FALSE)</f>
        <v>200</v>
      </c>
      <c r="Y15" s="415">
        <f t="shared" ref="Y15:Y28" si="11">IF($D15="Monthly",1,IF($D15="per KW",$F$10,IF($D15="per kWh",$F$9,0)))</f>
        <v>1</v>
      </c>
      <c r="Z15" s="400">
        <f t="shared" ref="Z15:Z28" si="12">Y15*X15</f>
        <v>200</v>
      </c>
      <c r="AA15" s="128"/>
      <c r="AB15" s="401">
        <f t="shared" ref="AB15:AB46" si="13">Z15-S15</f>
        <v>0</v>
      </c>
      <c r="AC15" s="402">
        <f t="shared" ref="AC15:AC46" si="14">IF((S15)=0,"",(AB15/S15))</f>
        <v>0</v>
      </c>
      <c r="AD15" s="52"/>
      <c r="AE15" s="397">
        <f>VLOOKUP($C15,'Proposed Rates'!$B:$J,AE$11,FALSE)</f>
        <v>200</v>
      </c>
      <c r="AF15" s="415">
        <f t="shared" ref="AF15:AF28" si="15">IF($D15="Monthly",1,IF($D15="per KW",$F$10,IF($D15="per kWh",$F$9,0)))</f>
        <v>1</v>
      </c>
      <c r="AG15" s="400">
        <f t="shared" ref="AG15:AG28" si="16">AF15*AE15</f>
        <v>200</v>
      </c>
      <c r="AH15" s="128"/>
      <c r="AI15" s="401">
        <f t="shared" ref="AI15:AI46" si="17">AG15-Z15</f>
        <v>0</v>
      </c>
      <c r="AJ15" s="402">
        <f t="shared" ref="AJ15:AJ46" si="18">IF((Z15)=0,"",(AI15/Z15))</f>
        <v>0</v>
      </c>
      <c r="AK15" s="52"/>
      <c r="AL15" s="397">
        <f>VLOOKUP($C15,'Proposed Rates'!$B:$J,AL$11,FALSE)</f>
        <v>200</v>
      </c>
      <c r="AM15" s="415">
        <f t="shared" ref="AM15:AM28" si="19">IF($D15="Monthly",1,IF($D15="per KW",$F$10,IF($D15="per kWh",$F$9,0)))</f>
        <v>1</v>
      </c>
      <c r="AN15" s="400">
        <f t="shared" ref="AN15:AN28" si="20">AM15*AL15</f>
        <v>200</v>
      </c>
      <c r="AO15" s="128"/>
      <c r="AP15" s="401">
        <f t="shared" ref="AP15:AP46" si="21">AN15-AG15</f>
        <v>0</v>
      </c>
      <c r="AQ15" s="402">
        <f t="shared" ref="AQ15:AQ46" si="22">IF((AG15)=0,"",(AP15/AG15))</f>
        <v>0</v>
      </c>
      <c r="AR15" s="403"/>
      <c r="AS15" s="3"/>
      <c r="AT15" s="3"/>
      <c r="AU15" s="3"/>
    </row>
    <row r="16" spans="1:47" ht="12" customHeight="1">
      <c r="A16" s="52"/>
      <c r="B16" s="320" t="s">
        <v>307</v>
      </c>
      <c r="C16" s="395" t="str">
        <f t="shared" si="0"/>
        <v>General Service 50 to 1,499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c r="AS16" s="3"/>
      <c r="AT16" s="3"/>
      <c r="AU16" s="3"/>
    </row>
    <row r="17" spans="1:47" ht="12" customHeight="1">
      <c r="A17" s="52"/>
      <c r="B17" s="404" t="str">
        <f>'Proposed Rates'!C115</f>
        <v>Rate Rider Calculation for PILs</v>
      </c>
      <c r="C17" s="395" t="str">
        <f t="shared" si="0"/>
        <v>General Service 50 to 1,499 KW.Rate Rider Calculation for PILs</v>
      </c>
      <c r="D17" s="396" t="s">
        <v>377</v>
      </c>
      <c r="E17" s="320"/>
      <c r="F17" s="397">
        <f>IFERROR(VLOOKUP($C17,'Proposed Rates'!$B:$J,F$11,FALSE),0)</f>
        <v>0</v>
      </c>
      <c r="G17" s="415">
        <f t="shared" si="1"/>
        <v>1000</v>
      </c>
      <c r="H17" s="400">
        <f t="shared" si="2"/>
        <v>0</v>
      </c>
      <c r="I17" s="128"/>
      <c r="J17" s="397">
        <f>IFERROR(VLOOKUP($C17,'Proposed Rates'!$B:$J,J$11,FALSE),0)</f>
        <v>0</v>
      </c>
      <c r="K17" s="415">
        <f t="shared" si="3"/>
        <v>1000</v>
      </c>
      <c r="L17" s="400">
        <f t="shared" si="4"/>
        <v>0</v>
      </c>
      <c r="M17" s="128"/>
      <c r="N17" s="401">
        <f t="shared" si="5"/>
        <v>0</v>
      </c>
      <c r="O17" s="402" t="str">
        <f t="shared" si="6"/>
        <v/>
      </c>
      <c r="P17" s="52"/>
      <c r="Q17" s="397">
        <f>IFERROR(VLOOKUP($C17,'Proposed Rates'!$B:$J,Q$11,FALSE),0)</f>
        <v>0</v>
      </c>
      <c r="R17" s="415">
        <f t="shared" si="7"/>
        <v>1000</v>
      </c>
      <c r="S17" s="400">
        <f t="shared" si="8"/>
        <v>0</v>
      </c>
      <c r="T17" s="128"/>
      <c r="U17" s="401">
        <f t="shared" si="9"/>
        <v>0</v>
      </c>
      <c r="V17" s="402" t="str">
        <f t="shared" si="10"/>
        <v/>
      </c>
      <c r="W17" s="52"/>
      <c r="X17" s="397">
        <f>IFERROR(VLOOKUP($C17,'Proposed Rates'!$B:$J,X$11,FALSE),0)</f>
        <v>0</v>
      </c>
      <c r="Y17" s="415">
        <f t="shared" si="11"/>
        <v>1000</v>
      </c>
      <c r="Z17" s="400">
        <f t="shared" si="12"/>
        <v>0</v>
      </c>
      <c r="AA17" s="128"/>
      <c r="AB17" s="401">
        <f t="shared" si="13"/>
        <v>0</v>
      </c>
      <c r="AC17" s="402" t="str">
        <f t="shared" si="14"/>
        <v/>
      </c>
      <c r="AD17" s="52"/>
      <c r="AE17" s="397">
        <f>IFERROR(VLOOKUP($C17,'Proposed Rates'!$B:$J,AE$11,FALSE),0)</f>
        <v>0</v>
      </c>
      <c r="AF17" s="415">
        <f t="shared" si="15"/>
        <v>1000</v>
      </c>
      <c r="AG17" s="400">
        <f t="shared" si="16"/>
        <v>0</v>
      </c>
      <c r="AH17" s="128"/>
      <c r="AI17" s="401">
        <f t="shared" si="17"/>
        <v>0</v>
      </c>
      <c r="AJ17" s="402" t="str">
        <f t="shared" si="18"/>
        <v/>
      </c>
      <c r="AK17" s="52"/>
      <c r="AL17" s="397">
        <f>IFERROR(VLOOKUP($C17,'Proposed Rates'!$B:$J,AL$11,FALSE),0)</f>
        <v>0</v>
      </c>
      <c r="AM17" s="415">
        <f t="shared" si="19"/>
        <v>1000</v>
      </c>
      <c r="AN17" s="400">
        <f t="shared" si="20"/>
        <v>0</v>
      </c>
      <c r="AO17" s="128"/>
      <c r="AP17" s="401">
        <f t="shared" si="21"/>
        <v>0</v>
      </c>
      <c r="AQ17" s="402" t="str">
        <f t="shared" si="22"/>
        <v/>
      </c>
      <c r="AR17" s="403"/>
      <c r="AS17" s="3"/>
      <c r="AT17" s="3"/>
      <c r="AU17" s="3"/>
    </row>
    <row r="18" spans="1:47" ht="12" customHeight="1">
      <c r="A18" s="52"/>
      <c r="B18" s="404" t="str">
        <f>'Proposed Rates'!C128</f>
        <v>Rate Rider Calculation for Generic</v>
      </c>
      <c r="C18" s="395" t="str">
        <f t="shared" si="0"/>
        <v>General Service 50 to 1,499 KW.Rate Rider Calculation for Generic</v>
      </c>
      <c r="D18" s="396" t="s">
        <v>377</v>
      </c>
      <c r="E18" s="320"/>
      <c r="F18" s="397">
        <f>IFERROR(VLOOKUP($C18,'Proposed Rates'!$B:$J,F$11,FALSE),0)</f>
        <v>0</v>
      </c>
      <c r="G18" s="415">
        <f t="shared" si="1"/>
        <v>1000</v>
      </c>
      <c r="H18" s="400">
        <f t="shared" si="2"/>
        <v>0</v>
      </c>
      <c r="I18" s="128"/>
      <c r="J18" s="397">
        <f>IFERROR(VLOOKUP($C18,'Proposed Rates'!$B:$J,J$11,FALSE),0)</f>
        <v>0</v>
      </c>
      <c r="K18" s="415">
        <f t="shared" si="3"/>
        <v>1000</v>
      </c>
      <c r="L18" s="400">
        <f t="shared" si="4"/>
        <v>0</v>
      </c>
      <c r="M18" s="128"/>
      <c r="N18" s="401">
        <f t="shared" si="5"/>
        <v>0</v>
      </c>
      <c r="O18" s="402" t="str">
        <f t="shared" si="6"/>
        <v/>
      </c>
      <c r="P18" s="52"/>
      <c r="Q18" s="397">
        <f>IFERROR(VLOOKUP($C18,'Proposed Rates'!$B:$J,Q$11,FALSE),0)</f>
        <v>0</v>
      </c>
      <c r="R18" s="415">
        <f t="shared" si="7"/>
        <v>1000</v>
      </c>
      <c r="S18" s="400">
        <f t="shared" si="8"/>
        <v>0</v>
      </c>
      <c r="T18" s="128"/>
      <c r="U18" s="401">
        <f t="shared" si="9"/>
        <v>0</v>
      </c>
      <c r="V18" s="402" t="str">
        <f t="shared" si="10"/>
        <v/>
      </c>
      <c r="W18" s="52"/>
      <c r="X18" s="397">
        <f>IFERROR(VLOOKUP($C18,'Proposed Rates'!$B:$J,X$11,FALSE),0)</f>
        <v>0</v>
      </c>
      <c r="Y18" s="415">
        <f t="shared" si="11"/>
        <v>1000</v>
      </c>
      <c r="Z18" s="400">
        <f t="shared" si="12"/>
        <v>0</v>
      </c>
      <c r="AA18" s="128"/>
      <c r="AB18" s="401">
        <f t="shared" si="13"/>
        <v>0</v>
      </c>
      <c r="AC18" s="402" t="str">
        <f t="shared" si="14"/>
        <v/>
      </c>
      <c r="AD18" s="52"/>
      <c r="AE18" s="397">
        <f>IFERROR(VLOOKUP($C18,'Proposed Rates'!$B:$J,AE$11,FALSE),0)</f>
        <v>0</v>
      </c>
      <c r="AF18" s="415">
        <f t="shared" si="15"/>
        <v>1000</v>
      </c>
      <c r="AG18" s="400">
        <f t="shared" si="16"/>
        <v>0</v>
      </c>
      <c r="AH18" s="128"/>
      <c r="AI18" s="401">
        <f t="shared" si="17"/>
        <v>0</v>
      </c>
      <c r="AJ18" s="402" t="str">
        <f t="shared" si="18"/>
        <v/>
      </c>
      <c r="AK18" s="52"/>
      <c r="AL18" s="397">
        <f>IFERROR(VLOOKUP($C18,'Proposed Rates'!$B:$J,AL$11,FALSE),0)</f>
        <v>0</v>
      </c>
      <c r="AM18" s="415">
        <f t="shared" si="19"/>
        <v>1000</v>
      </c>
      <c r="AN18" s="400">
        <f t="shared" si="20"/>
        <v>0</v>
      </c>
      <c r="AO18" s="128"/>
      <c r="AP18" s="401">
        <f t="shared" si="21"/>
        <v>0</v>
      </c>
      <c r="AQ18" s="402" t="str">
        <f t="shared" si="22"/>
        <v/>
      </c>
      <c r="AR18" s="403"/>
      <c r="AS18" s="3"/>
      <c r="AT18" s="3"/>
      <c r="AU18" s="3"/>
    </row>
    <row r="19" spans="1:47" ht="12" customHeight="1">
      <c r="A19" s="52"/>
      <c r="B19" s="320" t="s">
        <v>59</v>
      </c>
      <c r="C19" s="395" t="str">
        <f t="shared" si="0"/>
        <v>General Service 50 to 1,499 KW.Distribution Volumetric Rate</v>
      </c>
      <c r="D19" s="396" t="s">
        <v>377</v>
      </c>
      <c r="E19" s="320"/>
      <c r="F19" s="414">
        <f>IFERROR(VLOOKUP($C19,'Proposed Rates'!$B:$J,F$11,FALSE),0)</f>
        <v>6.5552999999999999</v>
      </c>
      <c r="G19" s="415">
        <f t="shared" si="1"/>
        <v>1000</v>
      </c>
      <c r="H19" s="400">
        <f t="shared" si="2"/>
        <v>6555.3</v>
      </c>
      <c r="I19" s="128"/>
      <c r="J19" s="414">
        <f>IFERROR(VLOOKUP($C19,'Proposed Rates'!$B:$J,J$11,FALSE),0)</f>
        <v>8.0635999999999992</v>
      </c>
      <c r="K19" s="415">
        <f t="shared" si="3"/>
        <v>1000</v>
      </c>
      <c r="L19" s="400">
        <f t="shared" si="4"/>
        <v>8063.5999999999995</v>
      </c>
      <c r="M19" s="128"/>
      <c r="N19" s="401">
        <f t="shared" si="5"/>
        <v>1508.2999999999993</v>
      </c>
      <c r="O19" s="402">
        <f t="shared" si="6"/>
        <v>0.2300886305737341</v>
      </c>
      <c r="P19" s="52"/>
      <c r="Q19" s="414">
        <f>IFERROR(VLOOKUP($C19,'Proposed Rates'!$B:$J,Q$11,FALSE),0)</f>
        <v>8.7552000000000003</v>
      </c>
      <c r="R19" s="415">
        <f t="shared" si="7"/>
        <v>1000</v>
      </c>
      <c r="S19" s="400">
        <f t="shared" si="8"/>
        <v>8755.2000000000007</v>
      </c>
      <c r="T19" s="128"/>
      <c r="U19" s="401">
        <f t="shared" si="9"/>
        <v>691.60000000000127</v>
      </c>
      <c r="V19" s="402">
        <f t="shared" si="10"/>
        <v>8.5768143261074625E-2</v>
      </c>
      <c r="W19" s="52"/>
      <c r="X19" s="414">
        <f>IFERROR(VLOOKUP($C19,'Proposed Rates'!$B:$J,X$11,FALSE),0)</f>
        <v>9.6349999999999998</v>
      </c>
      <c r="Y19" s="415">
        <f t="shared" si="11"/>
        <v>1000</v>
      </c>
      <c r="Z19" s="400">
        <f t="shared" si="12"/>
        <v>9635</v>
      </c>
      <c r="AA19" s="128"/>
      <c r="AB19" s="401">
        <f t="shared" si="13"/>
        <v>879.79999999999927</v>
      </c>
      <c r="AC19" s="402">
        <f t="shared" si="14"/>
        <v>0.1004888523391812</v>
      </c>
      <c r="AD19" s="52"/>
      <c r="AE19" s="414">
        <f>IFERROR(VLOOKUP($C19,'Proposed Rates'!$B:$J,AE$11,FALSE),0)</f>
        <v>10.3217</v>
      </c>
      <c r="AF19" s="415">
        <f t="shared" si="15"/>
        <v>1000</v>
      </c>
      <c r="AG19" s="400">
        <f t="shared" si="16"/>
        <v>10321.700000000001</v>
      </c>
      <c r="AH19" s="128"/>
      <c r="AI19" s="401">
        <f t="shared" si="17"/>
        <v>686.70000000000073</v>
      </c>
      <c r="AJ19" s="402">
        <f t="shared" si="18"/>
        <v>7.1271406331084669E-2</v>
      </c>
      <c r="AK19" s="52"/>
      <c r="AL19" s="414">
        <f>IFERROR(VLOOKUP($C19,'Proposed Rates'!$B:$J,AL$11,FALSE),0)</f>
        <v>10.9739</v>
      </c>
      <c r="AM19" s="415">
        <f t="shared" si="19"/>
        <v>1000</v>
      </c>
      <c r="AN19" s="400">
        <f t="shared" si="20"/>
        <v>10973.9</v>
      </c>
      <c r="AO19" s="128"/>
      <c r="AP19" s="401">
        <f t="shared" si="21"/>
        <v>652.19999999999891</v>
      </c>
      <c r="AQ19" s="402">
        <f t="shared" si="22"/>
        <v>6.3187265663601819E-2</v>
      </c>
      <c r="AR19" s="403"/>
      <c r="AS19" s="3"/>
      <c r="AT19" s="3"/>
      <c r="AU19" s="3"/>
    </row>
    <row r="20" spans="1:47" ht="12" customHeight="1">
      <c r="A20" s="52"/>
      <c r="B20" s="320" t="s">
        <v>309</v>
      </c>
      <c r="C20" s="395" t="str">
        <f t="shared" si="0"/>
        <v>General Service 50 to 1,499 KW.Smart Meter Disposition Rider</v>
      </c>
      <c r="D20" s="396" t="s">
        <v>308</v>
      </c>
      <c r="E20" s="320"/>
      <c r="F20" s="397">
        <f>IFERROR(VLOOKUP($C20,'Proposed Rates'!$B:$J,F$11,FALSE),0)</f>
        <v>0</v>
      </c>
      <c r="G20" s="415">
        <f t="shared" si="1"/>
        <v>255500</v>
      </c>
      <c r="H20" s="400">
        <f t="shared" si="2"/>
        <v>0</v>
      </c>
      <c r="I20" s="128"/>
      <c r="J20" s="397">
        <f>IFERROR(VLOOKUP($C20,'Proposed Rates'!$B:$J,J$11,FALSE),0)</f>
        <v>0</v>
      </c>
      <c r="K20" s="415">
        <f t="shared" si="3"/>
        <v>255500</v>
      </c>
      <c r="L20" s="400">
        <f t="shared" si="4"/>
        <v>0</v>
      </c>
      <c r="M20" s="128"/>
      <c r="N20" s="401">
        <f t="shared" si="5"/>
        <v>0</v>
      </c>
      <c r="O20" s="402" t="str">
        <f t="shared" si="6"/>
        <v/>
      </c>
      <c r="P20" s="52"/>
      <c r="Q20" s="397">
        <f>IFERROR(VLOOKUP($C20,'Proposed Rates'!$B:$J,Q$11,FALSE),0)</f>
        <v>0</v>
      </c>
      <c r="R20" s="415">
        <f t="shared" si="7"/>
        <v>255500</v>
      </c>
      <c r="S20" s="400">
        <f t="shared" si="8"/>
        <v>0</v>
      </c>
      <c r="T20" s="128"/>
      <c r="U20" s="401">
        <f t="shared" si="9"/>
        <v>0</v>
      </c>
      <c r="V20" s="402" t="str">
        <f t="shared" si="10"/>
        <v/>
      </c>
      <c r="W20" s="52"/>
      <c r="X20" s="397">
        <f>IFERROR(VLOOKUP($C20,'Proposed Rates'!$B:$J,X$11,FALSE),0)</f>
        <v>0</v>
      </c>
      <c r="Y20" s="415">
        <f t="shared" si="11"/>
        <v>255500</v>
      </c>
      <c r="Z20" s="400">
        <f t="shared" si="12"/>
        <v>0</v>
      </c>
      <c r="AA20" s="128"/>
      <c r="AB20" s="401">
        <f t="shared" si="13"/>
        <v>0</v>
      </c>
      <c r="AC20" s="402" t="str">
        <f t="shared" si="14"/>
        <v/>
      </c>
      <c r="AD20" s="52"/>
      <c r="AE20" s="397">
        <f>IFERROR(VLOOKUP($C20,'Proposed Rates'!$B:$J,AE$11,FALSE),0)</f>
        <v>0</v>
      </c>
      <c r="AF20" s="415">
        <f t="shared" si="15"/>
        <v>255500</v>
      </c>
      <c r="AG20" s="400">
        <f t="shared" si="16"/>
        <v>0</v>
      </c>
      <c r="AH20" s="128"/>
      <c r="AI20" s="401">
        <f t="shared" si="17"/>
        <v>0</v>
      </c>
      <c r="AJ20" s="402" t="str">
        <f t="shared" si="18"/>
        <v/>
      </c>
      <c r="AK20" s="52"/>
      <c r="AL20" s="397">
        <f>IFERROR(VLOOKUP($C20,'Proposed Rates'!$B:$J,AL$11,FALSE),0)</f>
        <v>0</v>
      </c>
      <c r="AM20" s="415">
        <f t="shared" si="19"/>
        <v>255500</v>
      </c>
      <c r="AN20" s="400">
        <f t="shared" si="20"/>
        <v>0</v>
      </c>
      <c r="AO20" s="128"/>
      <c r="AP20" s="401">
        <f t="shared" si="21"/>
        <v>0</v>
      </c>
      <c r="AQ20" s="402" t="str">
        <f t="shared" si="22"/>
        <v/>
      </c>
      <c r="AR20" s="403"/>
      <c r="AS20" s="3"/>
      <c r="AT20" s="3"/>
      <c r="AU20" s="3"/>
    </row>
    <row r="21" spans="1:47" ht="12" customHeight="1">
      <c r="A21" s="52"/>
      <c r="B21" s="320" t="s">
        <v>241</v>
      </c>
      <c r="C21" s="395" t="str">
        <f t="shared" si="0"/>
        <v>General Service 50 to 1,499 KW.LRAM Rate Rider</v>
      </c>
      <c r="D21" s="396" t="s">
        <v>377</v>
      </c>
      <c r="E21" s="320"/>
      <c r="F21" s="414">
        <f>'Proposed Rates'!E79+'Proposed Rates'!E92</f>
        <v>-0.2477</v>
      </c>
      <c r="G21" s="415">
        <f t="shared" si="1"/>
        <v>1000</v>
      </c>
      <c r="H21" s="400">
        <f t="shared" si="2"/>
        <v>-247.70000000000002</v>
      </c>
      <c r="I21" s="128"/>
      <c r="J21" s="414">
        <f>'Proposed Rates'!F79+'Proposed Rates'!F92</f>
        <v>0</v>
      </c>
      <c r="K21" s="415">
        <f t="shared" si="3"/>
        <v>1000</v>
      </c>
      <c r="L21" s="400">
        <f t="shared" si="4"/>
        <v>0</v>
      </c>
      <c r="M21" s="128"/>
      <c r="N21" s="401">
        <f t="shared" si="5"/>
        <v>247.70000000000002</v>
      </c>
      <c r="O21" s="402">
        <f t="shared" si="6"/>
        <v>-1</v>
      </c>
      <c r="P21" s="52"/>
      <c r="Q21" s="414">
        <f>'Proposed Rates'!G79+'Proposed Rates'!G92</f>
        <v>2.9499999999999998E-2</v>
      </c>
      <c r="R21" s="415">
        <f t="shared" si="7"/>
        <v>1000</v>
      </c>
      <c r="S21" s="400">
        <f t="shared" si="8"/>
        <v>29.5</v>
      </c>
      <c r="T21" s="128"/>
      <c r="U21" s="401">
        <f t="shared" si="9"/>
        <v>29.5</v>
      </c>
      <c r="V21" s="402" t="str">
        <f t="shared" si="10"/>
        <v/>
      </c>
      <c r="W21" s="52"/>
      <c r="X21" s="414">
        <f>IFERROR(VLOOKUP($C21,'Proposed Rates'!$B:$J,X$11,FALSE),0)</f>
        <v>0</v>
      </c>
      <c r="Y21" s="415">
        <f t="shared" si="11"/>
        <v>1000</v>
      </c>
      <c r="Z21" s="400">
        <f t="shared" si="12"/>
        <v>0</v>
      </c>
      <c r="AA21" s="128"/>
      <c r="AB21" s="401">
        <f t="shared" si="13"/>
        <v>-29.5</v>
      </c>
      <c r="AC21" s="402">
        <f t="shared" si="14"/>
        <v>-1</v>
      </c>
      <c r="AD21" s="52"/>
      <c r="AE21" s="414">
        <f>IFERROR(VLOOKUP($C21,'Proposed Rates'!$B:$J,AE$11,FALSE),0)</f>
        <v>0</v>
      </c>
      <c r="AF21" s="415">
        <f t="shared" si="15"/>
        <v>1000</v>
      </c>
      <c r="AG21" s="400">
        <f t="shared" si="16"/>
        <v>0</v>
      </c>
      <c r="AH21" s="128"/>
      <c r="AI21" s="401">
        <f t="shared" si="17"/>
        <v>0</v>
      </c>
      <c r="AJ21" s="402" t="str">
        <f t="shared" si="18"/>
        <v/>
      </c>
      <c r="AK21" s="52"/>
      <c r="AL21" s="414">
        <f>IFERROR(VLOOKUP($C21,'Proposed Rates'!$B:$J,AL$11,FALSE),0)</f>
        <v>0</v>
      </c>
      <c r="AM21" s="415">
        <f t="shared" si="19"/>
        <v>1000</v>
      </c>
      <c r="AN21" s="400">
        <f t="shared" si="20"/>
        <v>0</v>
      </c>
      <c r="AO21" s="128"/>
      <c r="AP21" s="401">
        <f t="shared" si="21"/>
        <v>0</v>
      </c>
      <c r="AQ21" s="402" t="str">
        <f t="shared" si="22"/>
        <v/>
      </c>
      <c r="AR21" s="403"/>
      <c r="AS21" s="3"/>
      <c r="AT21" s="3"/>
      <c r="AU21" s="3"/>
    </row>
    <row r="22" spans="1:47" ht="12" customHeight="1">
      <c r="A22" s="52"/>
      <c r="B22" s="404" t="s">
        <v>237</v>
      </c>
      <c r="C22" s="395" t="str">
        <f t="shared" si="0"/>
        <v>General Service 50 to 1,499 KW.Deferral/Variance Account Disposition Rate Rider Group 2</v>
      </c>
      <c r="D22" s="396" t="s">
        <v>377</v>
      </c>
      <c r="E22" s="320"/>
      <c r="F22" s="397">
        <f>IFERROR(VLOOKUP($C22,'Proposed Rates'!$B:$J,F$11,FALSE),0)</f>
        <v>0</v>
      </c>
      <c r="G22" s="415">
        <f t="shared" si="1"/>
        <v>1000</v>
      </c>
      <c r="H22" s="400">
        <f t="shared" si="2"/>
        <v>0</v>
      </c>
      <c r="I22" s="128"/>
      <c r="J22" s="397">
        <f>IFERROR(VLOOKUP($C22,'Proposed Rates'!$B:$J,J$11,FALSE),0)</f>
        <v>-0.1202</v>
      </c>
      <c r="K22" s="415">
        <f t="shared" si="3"/>
        <v>1000</v>
      </c>
      <c r="L22" s="400">
        <f t="shared" si="4"/>
        <v>-120.2</v>
      </c>
      <c r="M22" s="128"/>
      <c r="N22" s="401">
        <f t="shared" si="5"/>
        <v>-120.2</v>
      </c>
      <c r="O22" s="402" t="str">
        <f t="shared" si="6"/>
        <v/>
      </c>
      <c r="P22" s="52"/>
      <c r="Q22" s="397">
        <f>IFERROR(VLOOKUP($C22,'Proposed Rates'!$B:$J,Q$11,FALSE),0)</f>
        <v>0</v>
      </c>
      <c r="R22" s="415">
        <f t="shared" si="7"/>
        <v>1000</v>
      </c>
      <c r="S22" s="400">
        <f t="shared" si="8"/>
        <v>0</v>
      </c>
      <c r="T22" s="128"/>
      <c r="U22" s="401">
        <f t="shared" si="9"/>
        <v>120.2</v>
      </c>
      <c r="V22" s="402">
        <f t="shared" si="10"/>
        <v>-1</v>
      </c>
      <c r="W22" s="52"/>
      <c r="X22" s="397">
        <f>IFERROR(VLOOKUP($C22,'Proposed Rates'!$B:$J,X$11,FALSE),0)</f>
        <v>0</v>
      </c>
      <c r="Y22" s="415">
        <f t="shared" si="11"/>
        <v>1000</v>
      </c>
      <c r="Z22" s="400">
        <f t="shared" si="12"/>
        <v>0</v>
      </c>
      <c r="AA22" s="128"/>
      <c r="AB22" s="401">
        <f t="shared" si="13"/>
        <v>0</v>
      </c>
      <c r="AC22" s="402" t="str">
        <f t="shared" si="14"/>
        <v/>
      </c>
      <c r="AD22" s="52"/>
      <c r="AE22" s="397">
        <f>IFERROR(VLOOKUP($C22,'Proposed Rates'!$B:$J,AE$11,FALSE),0)</f>
        <v>0</v>
      </c>
      <c r="AF22" s="415">
        <f t="shared" si="15"/>
        <v>1000</v>
      </c>
      <c r="AG22" s="400">
        <f t="shared" si="16"/>
        <v>0</v>
      </c>
      <c r="AH22" s="128"/>
      <c r="AI22" s="401">
        <f t="shared" si="17"/>
        <v>0</v>
      </c>
      <c r="AJ22" s="402" t="str">
        <f t="shared" si="18"/>
        <v/>
      </c>
      <c r="AK22" s="52"/>
      <c r="AL22" s="397">
        <f>IFERROR(VLOOKUP($C22,'Proposed Rates'!$B:$J,AL$11,FALSE),0)</f>
        <v>0</v>
      </c>
      <c r="AM22" s="415">
        <f t="shared" si="19"/>
        <v>1000</v>
      </c>
      <c r="AN22" s="400">
        <f t="shared" si="20"/>
        <v>0</v>
      </c>
      <c r="AO22" s="128"/>
      <c r="AP22" s="401">
        <f t="shared" si="21"/>
        <v>0</v>
      </c>
      <c r="AQ22" s="402" t="str">
        <f t="shared" si="22"/>
        <v/>
      </c>
      <c r="AR22" s="403"/>
      <c r="AS22" s="3"/>
      <c r="AT22" s="3"/>
      <c r="AU22" s="3"/>
    </row>
    <row r="23" spans="1:47" ht="12" customHeight="1">
      <c r="A23" s="52"/>
      <c r="B23" s="404"/>
      <c r="C23" s="395" t="str">
        <f t="shared" si="0"/>
        <v>General Service 50 to 1,499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3"/>
      <c r="AT23" s="3"/>
      <c r="AU23" s="3"/>
    </row>
    <row r="24" spans="1:47" ht="12" customHeight="1">
      <c r="A24" s="52"/>
      <c r="B24" s="404"/>
      <c r="C24" s="395" t="str">
        <f t="shared" si="0"/>
        <v>General Service 50 to 1,499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3"/>
      <c r="AT24" s="3"/>
      <c r="AU24" s="3"/>
    </row>
    <row r="25" spans="1:47" ht="12" customHeight="1">
      <c r="A25" s="52"/>
      <c r="B25" s="404"/>
      <c r="C25" s="395" t="str">
        <f t="shared" si="0"/>
        <v>General Service 50 to 1,499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3"/>
      <c r="AT25" s="3"/>
      <c r="AU25" s="3"/>
    </row>
    <row r="26" spans="1:47" ht="12" customHeight="1">
      <c r="A26" s="52"/>
      <c r="B26" s="404"/>
      <c r="C26" s="395" t="str">
        <f t="shared" si="0"/>
        <v>General Service 50 to 1,499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3"/>
      <c r="AT26" s="3"/>
      <c r="AU26" s="3"/>
    </row>
    <row r="27" spans="1:47" ht="12" customHeight="1">
      <c r="A27" s="52"/>
      <c r="B27" s="404"/>
      <c r="C27" s="395" t="str">
        <f t="shared" si="0"/>
        <v>General Service 50 to 1,499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3"/>
      <c r="AT27" s="3"/>
      <c r="AU27" s="3"/>
    </row>
    <row r="28" spans="1:47" ht="12" customHeight="1">
      <c r="A28" s="52"/>
      <c r="B28" s="404"/>
      <c r="C28" s="395" t="str">
        <f t="shared" si="0"/>
        <v>General Service 50 to 1,499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3"/>
      <c r="AT28" s="3"/>
      <c r="AU28" s="3"/>
    </row>
    <row r="29" spans="1:47" ht="12" customHeight="1">
      <c r="A29" s="306"/>
      <c r="B29" s="405" t="s">
        <v>310</v>
      </c>
      <c r="C29" s="406"/>
      <c r="D29" s="406"/>
      <c r="E29" s="406"/>
      <c r="F29" s="407"/>
      <c r="G29" s="500"/>
      <c r="H29" s="409">
        <f>SUM(H15:H28)</f>
        <v>6507.6</v>
      </c>
      <c r="I29" s="410"/>
      <c r="J29" s="407"/>
      <c r="K29" s="500"/>
      <c r="L29" s="409">
        <f>SUM(L15:L28)</f>
        <v>8143.3999999999987</v>
      </c>
      <c r="M29" s="410"/>
      <c r="N29" s="411">
        <f t="shared" si="5"/>
        <v>1635.7999999999984</v>
      </c>
      <c r="O29" s="412">
        <f t="shared" si="6"/>
        <v>0.25136763169217502</v>
      </c>
      <c r="P29" s="306"/>
      <c r="Q29" s="407"/>
      <c r="R29" s="500"/>
      <c r="S29" s="409">
        <f>SUM(S15:S28)</f>
        <v>8984.7000000000007</v>
      </c>
      <c r="T29" s="410"/>
      <c r="U29" s="411">
        <f t="shared" si="9"/>
        <v>841.300000000002</v>
      </c>
      <c r="V29" s="412">
        <f t="shared" si="10"/>
        <v>0.10331065648255054</v>
      </c>
      <c r="W29" s="306"/>
      <c r="X29" s="407"/>
      <c r="Y29" s="500"/>
      <c r="Z29" s="409">
        <f>SUM(Z15:Z28)</f>
        <v>9835</v>
      </c>
      <c r="AA29" s="410"/>
      <c r="AB29" s="411">
        <f t="shared" si="13"/>
        <v>850.29999999999927</v>
      </c>
      <c r="AC29" s="412">
        <f t="shared" si="14"/>
        <v>9.463866350573745E-2</v>
      </c>
      <c r="AD29" s="306"/>
      <c r="AE29" s="407"/>
      <c r="AF29" s="500"/>
      <c r="AG29" s="409">
        <f>SUM(AG15:AG28)</f>
        <v>10521.7</v>
      </c>
      <c r="AH29" s="410"/>
      <c r="AI29" s="411">
        <f t="shared" si="17"/>
        <v>686.70000000000073</v>
      </c>
      <c r="AJ29" s="412">
        <f t="shared" si="18"/>
        <v>6.9822064056939581E-2</v>
      </c>
      <c r="AK29" s="306"/>
      <c r="AL29" s="407"/>
      <c r="AM29" s="500"/>
      <c r="AN29" s="409">
        <f>SUM(AN15:AN28)</f>
        <v>11173.9</v>
      </c>
      <c r="AO29" s="410"/>
      <c r="AP29" s="411">
        <f t="shared" si="21"/>
        <v>652.19999999999891</v>
      </c>
      <c r="AQ29" s="412">
        <f t="shared" si="22"/>
        <v>6.198618094034223E-2</v>
      </c>
      <c r="AR29" s="413"/>
      <c r="AS29" s="3"/>
      <c r="AT29" s="3"/>
      <c r="AU29" s="3"/>
    </row>
    <row r="30" spans="1:47" ht="12" customHeight="1">
      <c r="A30" s="52"/>
      <c r="B30" s="404" t="s">
        <v>234</v>
      </c>
      <c r="C30" s="395" t="str">
        <f t="shared" ref="C30:C38" si="23">D$6&amp;"."&amp;B30</f>
        <v>General Service 50 to 1,499 KW.DVA Disposition Rate Rider Group 1 -2025</v>
      </c>
      <c r="D30" s="396" t="s">
        <v>377</v>
      </c>
      <c r="E30" s="320"/>
      <c r="F30" s="414">
        <f>IFERROR(VLOOKUP($C30,'Proposed Rates'!$B:$J,F$11,FALSE),0)</f>
        <v>0.35310000000000002</v>
      </c>
      <c r="G30" s="415">
        <f t="shared" ref="G30:G36" si="24">IF($D30="Monthly",1,IF($D30="per KW",$F$10,IF($D30="per kWh",$F$9,0)))</f>
        <v>1000</v>
      </c>
      <c r="H30" s="400">
        <f t="shared" ref="H30:H38" si="25">G30*F30</f>
        <v>353.1</v>
      </c>
      <c r="I30" s="128"/>
      <c r="J30" s="414">
        <f>IFERROR(VLOOKUP($C30,'Proposed Rates'!$B:$J,J$11,FALSE),0)</f>
        <v>7.1999999999999998E-3</v>
      </c>
      <c r="K30" s="415">
        <f t="shared" ref="K30:K36" si="26">IF($D30="Monthly",1,IF($D30="per KW",$F$10,IF($D30="per kWh",$F$9,0)))</f>
        <v>1000</v>
      </c>
      <c r="L30" s="400">
        <f t="shared" ref="L30:L38" si="27">K30*J30</f>
        <v>7.2</v>
      </c>
      <c r="M30" s="128"/>
      <c r="N30" s="401">
        <f t="shared" si="5"/>
        <v>-345.90000000000003</v>
      </c>
      <c r="O30" s="402">
        <f t="shared" si="6"/>
        <v>-0.97960917587085816</v>
      </c>
      <c r="P30" s="52"/>
      <c r="Q30" s="414">
        <f>IFERROR(VLOOKUP($C30,'Proposed Rates'!$B:$J,Q$11,FALSE),0)</f>
        <v>0</v>
      </c>
      <c r="R30" s="415">
        <f t="shared" ref="R30:R36" si="28">IF($D30="Monthly",1,IF($D30="per KW",$F$10,IF($D30="per kWh",$F$9,0)))</f>
        <v>1000</v>
      </c>
      <c r="S30" s="400">
        <f t="shared" ref="S30:S38" si="29">R30*Q30</f>
        <v>0</v>
      </c>
      <c r="T30" s="128"/>
      <c r="U30" s="401">
        <f t="shared" si="9"/>
        <v>-7.2</v>
      </c>
      <c r="V30" s="402">
        <f t="shared" si="10"/>
        <v>-1</v>
      </c>
      <c r="W30" s="52"/>
      <c r="X30" s="414">
        <f>IFERROR(VLOOKUP($C30,'Proposed Rates'!$B:$J,X$11,FALSE),0)</f>
        <v>0</v>
      </c>
      <c r="Y30" s="415">
        <f t="shared" ref="Y30:Y36" si="30">IF($D30="Monthly",1,IF($D30="per KW",$F$10,IF($D30="per kWh",$F$9,0)))</f>
        <v>1000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1000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1000</v>
      </c>
      <c r="AN30" s="400">
        <f t="shared" ref="AN30:AN38" si="35">AM30*AL30</f>
        <v>0</v>
      </c>
      <c r="AO30" s="128"/>
      <c r="AP30" s="401">
        <f t="shared" si="21"/>
        <v>0</v>
      </c>
      <c r="AQ30" s="402" t="str">
        <f t="shared" si="22"/>
        <v/>
      </c>
      <c r="AR30" s="403"/>
      <c r="AS30" s="3"/>
      <c r="AT30" s="3"/>
      <c r="AU30" s="3"/>
    </row>
    <row r="31" spans="1:47" ht="12" customHeight="1">
      <c r="A31" s="52"/>
      <c r="B31" s="404" t="s">
        <v>236</v>
      </c>
      <c r="C31" s="395" t="str">
        <f t="shared" si="23"/>
        <v>General Service 50 to 1,499 KW.DVA Disposition Rate Rider Group 1 - 2024</v>
      </c>
      <c r="D31" s="396" t="s">
        <v>377</v>
      </c>
      <c r="E31" s="320"/>
      <c r="F31" s="414">
        <f>IFERROR(VLOOKUP($C31,'Proposed Rates'!$B:$J,F$11,FALSE),0)</f>
        <v>0</v>
      </c>
      <c r="G31" s="415">
        <f t="shared" si="24"/>
        <v>1000</v>
      </c>
      <c r="H31" s="400">
        <f t="shared" si="25"/>
        <v>0</v>
      </c>
      <c r="I31" s="128"/>
      <c r="J31" s="414">
        <f>IFERROR(VLOOKUP($C31,'Proposed Rates'!$B:$J,J$11,FALSE),0)</f>
        <v>0</v>
      </c>
      <c r="K31" s="415">
        <f t="shared" si="26"/>
        <v>1000</v>
      </c>
      <c r="L31" s="400">
        <f t="shared" si="27"/>
        <v>0</v>
      </c>
      <c r="M31" s="128"/>
      <c r="N31" s="401">
        <f t="shared" si="5"/>
        <v>0</v>
      </c>
      <c r="O31" s="402" t="str">
        <f t="shared" si="6"/>
        <v/>
      </c>
      <c r="P31" s="52"/>
      <c r="Q31" s="414">
        <f>IFERROR(VLOOKUP($C31,'Proposed Rates'!$B:$J,Q$11,FALSE),0)</f>
        <v>0</v>
      </c>
      <c r="R31" s="415">
        <f t="shared" si="28"/>
        <v>1000</v>
      </c>
      <c r="S31" s="400">
        <f t="shared" si="29"/>
        <v>0</v>
      </c>
      <c r="T31" s="128"/>
      <c r="U31" s="401">
        <f t="shared" si="9"/>
        <v>0</v>
      </c>
      <c r="V31" s="402" t="str">
        <f t="shared" si="10"/>
        <v/>
      </c>
      <c r="W31" s="52"/>
      <c r="X31" s="414">
        <f>IFERROR(VLOOKUP($C31,'Proposed Rates'!$B:$J,X$11,FALSE),0)</f>
        <v>0</v>
      </c>
      <c r="Y31" s="415">
        <f t="shared" si="30"/>
        <v>1000</v>
      </c>
      <c r="Z31" s="400">
        <f t="shared" si="31"/>
        <v>0</v>
      </c>
      <c r="AA31" s="128"/>
      <c r="AB31" s="401">
        <f t="shared" si="13"/>
        <v>0</v>
      </c>
      <c r="AC31" s="402" t="str">
        <f t="shared" si="14"/>
        <v/>
      </c>
      <c r="AD31" s="52"/>
      <c r="AE31" s="414">
        <f>IFERROR(VLOOKUP($C31,'Proposed Rates'!$B:$J,AE$11,FALSE),0)</f>
        <v>0</v>
      </c>
      <c r="AF31" s="415">
        <f t="shared" si="32"/>
        <v>1000</v>
      </c>
      <c r="AG31" s="400">
        <f t="shared" si="33"/>
        <v>0</v>
      </c>
      <c r="AH31" s="128"/>
      <c r="AI31" s="401">
        <f t="shared" si="17"/>
        <v>0</v>
      </c>
      <c r="AJ31" s="402" t="str">
        <f t="shared" si="18"/>
        <v/>
      </c>
      <c r="AK31" s="52"/>
      <c r="AL31" s="414">
        <f>IFERROR(VLOOKUP($C31,'Proposed Rates'!$B:$J,AL$11,FALSE),0)</f>
        <v>0</v>
      </c>
      <c r="AM31" s="415">
        <f t="shared" si="34"/>
        <v>1000</v>
      </c>
      <c r="AN31" s="400">
        <f t="shared" si="35"/>
        <v>0</v>
      </c>
      <c r="AO31" s="128"/>
      <c r="AP31" s="401">
        <f t="shared" si="21"/>
        <v>0</v>
      </c>
      <c r="AQ31" s="402" t="str">
        <f t="shared" si="22"/>
        <v/>
      </c>
      <c r="AR31" s="403"/>
      <c r="AS31" s="3"/>
      <c r="AT31" s="3"/>
      <c r="AU31" s="3"/>
    </row>
    <row r="32" spans="1:47" ht="12" customHeight="1">
      <c r="A32" s="52"/>
      <c r="B32" s="404" t="s">
        <v>244</v>
      </c>
      <c r="C32" s="395" t="str">
        <f t="shared" si="23"/>
        <v>General Service 50 to 1,499 KW.CBR Class B Rate Riders</v>
      </c>
      <c r="D32" s="396" t="s">
        <v>308</v>
      </c>
      <c r="E32" s="320"/>
      <c r="F32" s="414">
        <f>IFERROR(VLOOKUP($C32,'Proposed Rates'!$B:$J,F$11,FALSE),0)</f>
        <v>2.0000000000000001E-4</v>
      </c>
      <c r="G32" s="415">
        <f t="shared" si="24"/>
        <v>255500</v>
      </c>
      <c r="H32" s="400">
        <f t="shared" si="25"/>
        <v>51.1</v>
      </c>
      <c r="I32" s="485"/>
      <c r="J32" s="414">
        <f>IFERROR(VLOOKUP($C32,'Proposed Rates'!$B:$J,J$11,FALSE),0)</f>
        <v>4.0000000000000002E-4</v>
      </c>
      <c r="K32" s="415">
        <f t="shared" si="26"/>
        <v>255500</v>
      </c>
      <c r="L32" s="400">
        <f t="shared" si="27"/>
        <v>102.2</v>
      </c>
      <c r="M32" s="417"/>
      <c r="N32" s="401">
        <f t="shared" si="5"/>
        <v>51.1</v>
      </c>
      <c r="O32" s="402">
        <f t="shared" si="6"/>
        <v>1</v>
      </c>
      <c r="P32" s="52"/>
      <c r="Q32" s="414">
        <f>IFERROR(VLOOKUP($C32,'Proposed Rates'!$B:$J,Q$11,FALSE),0)</f>
        <v>0</v>
      </c>
      <c r="R32" s="415">
        <f t="shared" si="28"/>
        <v>255500</v>
      </c>
      <c r="S32" s="400">
        <f t="shared" si="29"/>
        <v>0</v>
      </c>
      <c r="T32" s="417"/>
      <c r="U32" s="401">
        <f t="shared" si="9"/>
        <v>-102.2</v>
      </c>
      <c r="V32" s="402">
        <f t="shared" si="10"/>
        <v>-1</v>
      </c>
      <c r="W32" s="52"/>
      <c r="X32" s="414">
        <f>IFERROR(VLOOKUP($C32,'Proposed Rates'!$B:$J,X$11,FALSE),0)</f>
        <v>0</v>
      </c>
      <c r="Y32" s="415">
        <f t="shared" si="30"/>
        <v>255500</v>
      </c>
      <c r="Z32" s="400">
        <f t="shared" si="31"/>
        <v>0</v>
      </c>
      <c r="AA32" s="128"/>
      <c r="AB32" s="401">
        <f t="shared" si="13"/>
        <v>0</v>
      </c>
      <c r="AC32" s="402" t="str">
        <f t="shared" si="14"/>
        <v/>
      </c>
      <c r="AD32" s="52"/>
      <c r="AE32" s="414">
        <f>IFERROR(VLOOKUP($C32,'Proposed Rates'!$B:$J,AE$11,FALSE),0)</f>
        <v>0</v>
      </c>
      <c r="AF32" s="415">
        <f t="shared" si="32"/>
        <v>255500</v>
      </c>
      <c r="AG32" s="400">
        <f t="shared" si="33"/>
        <v>0</v>
      </c>
      <c r="AH32" s="128"/>
      <c r="AI32" s="401">
        <f t="shared" si="17"/>
        <v>0</v>
      </c>
      <c r="AJ32" s="402" t="str">
        <f t="shared" si="18"/>
        <v/>
      </c>
      <c r="AK32" s="52"/>
      <c r="AL32" s="414">
        <f>IFERROR(VLOOKUP($C32,'Proposed Rates'!$B:$J,AL$11,FALSE),0)</f>
        <v>0</v>
      </c>
      <c r="AM32" s="415">
        <f t="shared" si="34"/>
        <v>255500</v>
      </c>
      <c r="AN32" s="400">
        <f t="shared" si="35"/>
        <v>0</v>
      </c>
      <c r="AO32" s="417"/>
      <c r="AP32" s="401">
        <f t="shared" si="21"/>
        <v>0</v>
      </c>
      <c r="AQ32" s="402" t="str">
        <f t="shared" si="22"/>
        <v/>
      </c>
      <c r="AR32" s="403"/>
      <c r="AS32" s="3"/>
      <c r="AT32" s="3"/>
      <c r="AU32" s="3"/>
    </row>
    <row r="33" spans="1:47" ht="12" customHeight="1">
      <c r="A33" s="52"/>
      <c r="B33" s="404" t="s">
        <v>249</v>
      </c>
      <c r="C33" s="395" t="str">
        <f t="shared" si="23"/>
        <v>General Service 50 to 1,499 KW.GA Rate Riders</v>
      </c>
      <c r="D33" s="396" t="s">
        <v>308</v>
      </c>
      <c r="E33" s="320"/>
      <c r="F33" s="414">
        <f>IFERROR(VLOOKUP($C33,'Proposed Rates'!$B:$J,F$11,FALSE),0)</f>
        <v>3.8999999999999998E-3</v>
      </c>
      <c r="G33" s="415">
        <f t="shared" si="24"/>
        <v>255500</v>
      </c>
      <c r="H33" s="400">
        <f t="shared" si="25"/>
        <v>996.44999999999993</v>
      </c>
      <c r="I33" s="485"/>
      <c r="J33" s="414">
        <f>IFERROR(VLOOKUP($C33,'Proposed Rates'!$B:$J,J$11,FALSE),0)</f>
        <v>4.4999999999999997E-3</v>
      </c>
      <c r="K33" s="415">
        <f t="shared" si="26"/>
        <v>255500</v>
      </c>
      <c r="L33" s="400">
        <f t="shared" si="27"/>
        <v>1149.75</v>
      </c>
      <c r="M33" s="417"/>
      <c r="N33" s="401">
        <f t="shared" si="5"/>
        <v>153.30000000000007</v>
      </c>
      <c r="O33" s="402">
        <f t="shared" si="6"/>
        <v>0.15384615384615394</v>
      </c>
      <c r="P33" s="52"/>
      <c r="Q33" s="414">
        <f>IFERROR(VLOOKUP($C33,'Proposed Rates'!$B:$J,Q$11,FALSE),0)</f>
        <v>0</v>
      </c>
      <c r="R33" s="415">
        <f t="shared" si="28"/>
        <v>255500</v>
      </c>
      <c r="S33" s="400">
        <f t="shared" si="29"/>
        <v>0</v>
      </c>
      <c r="T33" s="417"/>
      <c r="U33" s="401">
        <f t="shared" si="9"/>
        <v>-1149.75</v>
      </c>
      <c r="V33" s="402">
        <f t="shared" si="10"/>
        <v>-1</v>
      </c>
      <c r="W33" s="52"/>
      <c r="X33" s="414">
        <f>IFERROR(VLOOKUP($C33,'Proposed Rates'!$B:$J,X$11,FALSE),0)</f>
        <v>0</v>
      </c>
      <c r="Y33" s="415">
        <f t="shared" si="30"/>
        <v>255500</v>
      </c>
      <c r="Z33" s="400">
        <f t="shared" si="31"/>
        <v>0</v>
      </c>
      <c r="AA33" s="417"/>
      <c r="AB33" s="401">
        <f t="shared" si="13"/>
        <v>0</v>
      </c>
      <c r="AC33" s="402" t="str">
        <f t="shared" si="14"/>
        <v/>
      </c>
      <c r="AD33" s="52"/>
      <c r="AE33" s="414">
        <f>IFERROR(VLOOKUP($C33,'Proposed Rates'!$B:$J,AE$11,FALSE),0)</f>
        <v>0</v>
      </c>
      <c r="AF33" s="415">
        <f t="shared" si="32"/>
        <v>255500</v>
      </c>
      <c r="AG33" s="400">
        <f t="shared" si="33"/>
        <v>0</v>
      </c>
      <c r="AH33" s="417"/>
      <c r="AI33" s="401">
        <f t="shared" si="17"/>
        <v>0</v>
      </c>
      <c r="AJ33" s="402" t="str">
        <f t="shared" si="18"/>
        <v/>
      </c>
      <c r="AK33" s="52"/>
      <c r="AL33" s="414">
        <f>IFERROR(VLOOKUP($C33,'Proposed Rates'!$B:$J,AL$11,FALSE),0)</f>
        <v>0</v>
      </c>
      <c r="AM33" s="415">
        <f t="shared" si="34"/>
        <v>255500</v>
      </c>
      <c r="AN33" s="400">
        <f t="shared" si="35"/>
        <v>0</v>
      </c>
      <c r="AO33" s="417"/>
      <c r="AP33" s="401">
        <f t="shared" si="21"/>
        <v>0</v>
      </c>
      <c r="AQ33" s="402" t="str">
        <f t="shared" si="22"/>
        <v/>
      </c>
      <c r="AR33" s="403"/>
      <c r="AS33" s="3"/>
      <c r="AT33" s="3"/>
      <c r="AU33" s="3"/>
    </row>
    <row r="34" spans="1:47" ht="12" customHeight="1">
      <c r="A34" s="52"/>
      <c r="B34" s="404" t="s">
        <v>252</v>
      </c>
      <c r="C34" s="395" t="str">
        <f t="shared" si="23"/>
        <v>General Service 50 to 1,499 KW.Total Deferral/Variance Account Rate RidersYr2</v>
      </c>
      <c r="D34" s="396" t="s">
        <v>377</v>
      </c>
      <c r="E34" s="320"/>
      <c r="F34" s="414">
        <f>IFERROR(VLOOKUP($C34,'Proposed Rates'!$B:$J,F$11,FALSE),0)</f>
        <v>-0.30499999999999999</v>
      </c>
      <c r="G34" s="415">
        <f t="shared" si="24"/>
        <v>1000</v>
      </c>
      <c r="H34" s="400">
        <f t="shared" si="25"/>
        <v>-305</v>
      </c>
      <c r="I34" s="485"/>
      <c r="J34" s="414">
        <f>IFERROR(VLOOKUP($C34,'Proposed Rates'!$B:$J,J$11,FALSE),0)</f>
        <v>-0.21920000000000001</v>
      </c>
      <c r="K34" s="415">
        <f t="shared" si="26"/>
        <v>1000</v>
      </c>
      <c r="L34" s="400">
        <f t="shared" si="27"/>
        <v>-219.20000000000002</v>
      </c>
      <c r="M34" s="417"/>
      <c r="N34" s="401">
        <f t="shared" si="5"/>
        <v>85.799999999999983</v>
      </c>
      <c r="O34" s="402">
        <f t="shared" si="6"/>
        <v>-0.28131147540983603</v>
      </c>
      <c r="P34" s="52"/>
      <c r="Q34" s="414">
        <f>IFERROR(VLOOKUP($C34,'Proposed Rates'!$B:$J,Q$11,FALSE),0)</f>
        <v>0</v>
      </c>
      <c r="R34" s="415">
        <f t="shared" si="28"/>
        <v>1000</v>
      </c>
      <c r="S34" s="400">
        <f t="shared" si="29"/>
        <v>0</v>
      </c>
      <c r="T34" s="417"/>
      <c r="U34" s="401">
        <f t="shared" si="9"/>
        <v>219.20000000000002</v>
      </c>
      <c r="V34" s="402">
        <f t="shared" si="10"/>
        <v>-1</v>
      </c>
      <c r="W34" s="52"/>
      <c r="X34" s="414">
        <f>IFERROR(VLOOKUP($C34,'Proposed Rates'!$B:$J,X$11,FALSE),0)</f>
        <v>0</v>
      </c>
      <c r="Y34" s="415">
        <f t="shared" si="30"/>
        <v>1000</v>
      </c>
      <c r="Z34" s="400">
        <f t="shared" si="31"/>
        <v>0</v>
      </c>
      <c r="AA34" s="417"/>
      <c r="AB34" s="401">
        <f t="shared" si="13"/>
        <v>0</v>
      </c>
      <c r="AC34" s="402" t="str">
        <f t="shared" si="14"/>
        <v/>
      </c>
      <c r="AD34" s="52"/>
      <c r="AE34" s="414">
        <f>IFERROR(VLOOKUP($C34,'Proposed Rates'!$B:$J,AE$11,FALSE),0)</f>
        <v>0</v>
      </c>
      <c r="AF34" s="415">
        <f t="shared" si="32"/>
        <v>1000</v>
      </c>
      <c r="AG34" s="400">
        <f t="shared" si="33"/>
        <v>0</v>
      </c>
      <c r="AH34" s="417"/>
      <c r="AI34" s="401">
        <f t="shared" si="17"/>
        <v>0</v>
      </c>
      <c r="AJ34" s="402" t="str">
        <f t="shared" si="18"/>
        <v/>
      </c>
      <c r="AK34" s="52"/>
      <c r="AL34" s="414">
        <f>IFERROR(VLOOKUP($C34,'Proposed Rates'!$B:$J,AL$11,FALSE),0)</f>
        <v>0</v>
      </c>
      <c r="AM34" s="415">
        <f t="shared" si="34"/>
        <v>1000</v>
      </c>
      <c r="AN34" s="400">
        <f t="shared" si="35"/>
        <v>0</v>
      </c>
      <c r="AO34" s="417"/>
      <c r="AP34" s="401">
        <f t="shared" si="21"/>
        <v>0</v>
      </c>
      <c r="AQ34" s="402" t="str">
        <f t="shared" si="22"/>
        <v/>
      </c>
      <c r="AR34" s="403"/>
      <c r="AS34" s="3"/>
      <c r="AT34" s="3"/>
      <c r="AU34" s="3"/>
    </row>
    <row r="35" spans="1:47" ht="12" customHeight="1">
      <c r="A35" s="52"/>
      <c r="B35" s="404" t="s">
        <v>254</v>
      </c>
      <c r="C35" s="395" t="str">
        <f t="shared" si="23"/>
        <v>General Service 50 to 1,499 KW.Total Deferral/Variance Account Rate Riders</v>
      </c>
      <c r="D35" s="396" t="s">
        <v>377</v>
      </c>
      <c r="E35" s="320"/>
      <c r="F35" s="414">
        <f>IFERROR(VLOOKUP($C35,'Proposed Rates'!$B:$J,F$11,FALSE),0)</f>
        <v>0</v>
      </c>
      <c r="G35" s="415">
        <f t="shared" si="24"/>
        <v>1000</v>
      </c>
      <c r="H35" s="400">
        <f t="shared" si="25"/>
        <v>0</v>
      </c>
      <c r="I35" s="128"/>
      <c r="J35" s="414">
        <f>IFERROR(VLOOKUP($C35,'Proposed Rates'!$B:$J,J$11,FALSE),0)</f>
        <v>0</v>
      </c>
      <c r="K35" s="415">
        <f t="shared" si="26"/>
        <v>1000</v>
      </c>
      <c r="L35" s="400">
        <f t="shared" si="27"/>
        <v>0</v>
      </c>
      <c r="M35" s="128"/>
      <c r="N35" s="401">
        <f t="shared" si="5"/>
        <v>0</v>
      </c>
      <c r="O35" s="402" t="str">
        <f t="shared" si="6"/>
        <v/>
      </c>
      <c r="P35" s="52"/>
      <c r="Q35" s="414">
        <f>IFERROR(VLOOKUP($C35,'Proposed Rates'!$B:$J,Q$11,FALSE),0)</f>
        <v>0</v>
      </c>
      <c r="R35" s="415">
        <f t="shared" si="28"/>
        <v>1000</v>
      </c>
      <c r="S35" s="400">
        <f t="shared" si="29"/>
        <v>0</v>
      </c>
      <c r="T35" s="128"/>
      <c r="U35" s="401">
        <f t="shared" si="9"/>
        <v>0</v>
      </c>
      <c r="V35" s="402" t="str">
        <f t="shared" si="10"/>
        <v/>
      </c>
      <c r="W35" s="52"/>
      <c r="X35" s="414">
        <f>IFERROR(VLOOKUP($C35,'Proposed Rates'!$B:$J,X$11,FALSE),0)</f>
        <v>0</v>
      </c>
      <c r="Y35" s="415">
        <f t="shared" si="30"/>
        <v>1000</v>
      </c>
      <c r="Z35" s="400">
        <f t="shared" si="31"/>
        <v>0</v>
      </c>
      <c r="AA35" s="128"/>
      <c r="AB35" s="401">
        <f t="shared" si="13"/>
        <v>0</v>
      </c>
      <c r="AC35" s="402" t="str">
        <f t="shared" si="14"/>
        <v/>
      </c>
      <c r="AD35" s="52"/>
      <c r="AE35" s="414">
        <f>IFERROR(VLOOKUP($C35,'Proposed Rates'!$B:$J,AE$11,FALSE),0)</f>
        <v>0</v>
      </c>
      <c r="AF35" s="415">
        <f t="shared" si="32"/>
        <v>1000</v>
      </c>
      <c r="AG35" s="400">
        <f t="shared" si="33"/>
        <v>0</v>
      </c>
      <c r="AH35" s="128"/>
      <c r="AI35" s="401">
        <f t="shared" si="17"/>
        <v>0</v>
      </c>
      <c r="AJ35" s="402" t="str">
        <f t="shared" si="18"/>
        <v/>
      </c>
      <c r="AK35" s="52"/>
      <c r="AL35" s="414">
        <f>IFERROR(VLOOKUP($C35,'Proposed Rates'!$B:$J,AL$11,FALSE),0)</f>
        <v>0</v>
      </c>
      <c r="AM35" s="415">
        <f t="shared" si="34"/>
        <v>1000</v>
      </c>
      <c r="AN35" s="400">
        <f t="shared" si="35"/>
        <v>0</v>
      </c>
      <c r="AO35" s="128"/>
      <c r="AP35" s="401">
        <f t="shared" si="21"/>
        <v>0</v>
      </c>
      <c r="AQ35" s="402" t="str">
        <f t="shared" si="22"/>
        <v/>
      </c>
      <c r="AR35" s="403"/>
      <c r="AS35" s="3"/>
      <c r="AT35" s="3"/>
      <c r="AU35" s="3"/>
    </row>
    <row r="36" spans="1:47" ht="12" customHeight="1">
      <c r="A36" s="52"/>
      <c r="B36" s="320" t="s">
        <v>269</v>
      </c>
      <c r="C36" s="395" t="str">
        <f t="shared" si="23"/>
        <v>General Service 50 to 1,499 KW.Low Voltage Service Charge</v>
      </c>
      <c r="D36" s="396" t="s">
        <v>377</v>
      </c>
      <c r="E36" s="320"/>
      <c r="F36" s="414">
        <f>IFERROR(VLOOKUP($C36,'Proposed Rates'!$B:$J,F$11,FALSE),0)</f>
        <v>2.0629999999999999E-2</v>
      </c>
      <c r="G36" s="415">
        <f t="shared" si="24"/>
        <v>1000</v>
      </c>
      <c r="H36" s="400">
        <f t="shared" si="25"/>
        <v>20.63</v>
      </c>
      <c r="I36" s="128"/>
      <c r="J36" s="414">
        <f>IFERROR(VLOOKUP($C36,'Proposed Rates'!$B:$J,J$11,FALSE),0)</f>
        <v>2.334E-2</v>
      </c>
      <c r="K36" s="415">
        <f t="shared" si="26"/>
        <v>1000</v>
      </c>
      <c r="L36" s="400">
        <f t="shared" si="27"/>
        <v>23.34</v>
      </c>
      <c r="M36" s="128"/>
      <c r="N36" s="401">
        <f t="shared" si="5"/>
        <v>2.7100000000000009</v>
      </c>
      <c r="O36" s="402">
        <f t="shared" si="6"/>
        <v>0.13136209403780907</v>
      </c>
      <c r="P36" s="52"/>
      <c r="Q36" s="414">
        <f>IFERROR(VLOOKUP($C36,'Proposed Rates'!$B:$J,Q$11,FALSE),0)</f>
        <v>2.3939999999999999E-2</v>
      </c>
      <c r="R36" s="415">
        <f t="shared" si="28"/>
        <v>1000</v>
      </c>
      <c r="S36" s="400">
        <f t="shared" si="29"/>
        <v>23.939999999999998</v>
      </c>
      <c r="T36" s="128"/>
      <c r="U36" s="401">
        <f t="shared" si="9"/>
        <v>0.59999999999999787</v>
      </c>
      <c r="V36" s="402">
        <f t="shared" si="10"/>
        <v>2.57069408740359E-2</v>
      </c>
      <c r="W36" s="52"/>
      <c r="X36" s="414">
        <f>IFERROR(VLOOKUP($C36,'Proposed Rates'!$B:$J,X$11,FALSE),0)</f>
        <v>2.4250000000000001E-2</v>
      </c>
      <c r="Y36" s="415">
        <f t="shared" si="30"/>
        <v>1000</v>
      </c>
      <c r="Z36" s="400">
        <f t="shared" si="31"/>
        <v>24.25</v>
      </c>
      <c r="AA36" s="128"/>
      <c r="AB36" s="401">
        <f t="shared" si="13"/>
        <v>0.31000000000000227</v>
      </c>
      <c r="AC36" s="402">
        <f t="shared" si="14"/>
        <v>1.2949039264828835E-2</v>
      </c>
      <c r="AD36" s="52"/>
      <c r="AE36" s="414">
        <f>IFERROR(VLOOKUP($C36,'Proposed Rates'!$B:$J,AE$11,FALSE),0)</f>
        <v>2.4649999999999998E-2</v>
      </c>
      <c r="AF36" s="415">
        <f t="shared" si="32"/>
        <v>1000</v>
      </c>
      <c r="AG36" s="400">
        <f t="shared" si="33"/>
        <v>24.65</v>
      </c>
      <c r="AH36" s="128"/>
      <c r="AI36" s="401">
        <f t="shared" si="17"/>
        <v>0.39999999999999858</v>
      </c>
      <c r="AJ36" s="402">
        <f t="shared" si="18"/>
        <v>1.6494845360824684E-2</v>
      </c>
      <c r="AK36" s="52"/>
      <c r="AL36" s="414">
        <f>IFERROR(VLOOKUP($C36,'Proposed Rates'!$B:$J,AL$11,FALSE),0)</f>
        <v>2.5080000000000002E-2</v>
      </c>
      <c r="AM36" s="415">
        <f t="shared" si="34"/>
        <v>1000</v>
      </c>
      <c r="AN36" s="400">
        <f t="shared" si="35"/>
        <v>25.080000000000002</v>
      </c>
      <c r="AO36" s="128"/>
      <c r="AP36" s="401">
        <f t="shared" si="21"/>
        <v>0.43000000000000327</v>
      </c>
      <c r="AQ36" s="402">
        <f t="shared" si="22"/>
        <v>1.7444219066937255E-2</v>
      </c>
      <c r="AR36" s="403"/>
      <c r="AS36" s="3"/>
      <c r="AT36" s="3"/>
      <c r="AU36" s="3"/>
    </row>
    <row r="37" spans="1:47" ht="12" customHeight="1">
      <c r="A37" s="52"/>
      <c r="B37" s="320" t="s">
        <v>312</v>
      </c>
      <c r="C37" s="395" t="str">
        <f t="shared" si="23"/>
        <v>General Service 50 to 1,499 KW.Line Losses on Cost of Power</v>
      </c>
      <c r="D37" s="396" t="s">
        <v>308</v>
      </c>
      <c r="E37" s="320"/>
      <c r="F37" s="430"/>
      <c r="G37" s="421">
        <f>$F$9*(1+F$65)-$F$9</f>
        <v>8635.9000000000233</v>
      </c>
      <c r="H37" s="400">
        <f t="shared" si="25"/>
        <v>0</v>
      </c>
      <c r="I37" s="128"/>
      <c r="J37" s="430"/>
      <c r="K37" s="421">
        <f>$F$9*(1+J$65)-$F$9</f>
        <v>8482.5999999999767</v>
      </c>
      <c r="L37" s="400">
        <f t="shared" si="27"/>
        <v>0</v>
      </c>
      <c r="M37" s="128"/>
      <c r="N37" s="401">
        <f t="shared" si="5"/>
        <v>0</v>
      </c>
      <c r="O37" s="402" t="str">
        <f t="shared" si="6"/>
        <v/>
      </c>
      <c r="P37" s="52"/>
      <c r="Q37" s="430"/>
      <c r="R37" s="421">
        <f>$F$9*(1+Q$65)-$F$9</f>
        <v>8482.5999999999767</v>
      </c>
      <c r="S37" s="400">
        <f t="shared" si="29"/>
        <v>0</v>
      </c>
      <c r="T37" s="128"/>
      <c r="U37" s="401">
        <f t="shared" si="9"/>
        <v>0</v>
      </c>
      <c r="V37" s="402" t="str">
        <f t="shared" si="10"/>
        <v/>
      </c>
      <c r="W37" s="52"/>
      <c r="X37" s="430"/>
      <c r="Y37" s="421">
        <f>$F$9*(1+X$65)-$F$9</f>
        <v>8482.5999999999767</v>
      </c>
      <c r="Z37" s="400">
        <f t="shared" si="31"/>
        <v>0</v>
      </c>
      <c r="AA37" s="128"/>
      <c r="AB37" s="401">
        <f t="shared" si="13"/>
        <v>0</v>
      </c>
      <c r="AC37" s="402" t="str">
        <f t="shared" si="14"/>
        <v/>
      </c>
      <c r="AD37" s="52"/>
      <c r="AE37" s="430"/>
      <c r="AF37" s="421">
        <f>$F$9*(1+AE$65)-$F$9</f>
        <v>8482.5999999999767</v>
      </c>
      <c r="AG37" s="400">
        <f t="shared" si="33"/>
        <v>0</v>
      </c>
      <c r="AH37" s="128"/>
      <c r="AI37" s="401">
        <f t="shared" si="17"/>
        <v>0</v>
      </c>
      <c r="AJ37" s="402" t="str">
        <f t="shared" si="18"/>
        <v/>
      </c>
      <c r="AK37" s="52"/>
      <c r="AL37" s="430"/>
      <c r="AM37" s="421">
        <f>$F$9*(1+AL$65)-$F$9</f>
        <v>8482.5999999999767</v>
      </c>
      <c r="AN37" s="400">
        <f t="shared" si="35"/>
        <v>0</v>
      </c>
      <c r="AO37" s="128"/>
      <c r="AP37" s="401">
        <f t="shared" si="21"/>
        <v>0</v>
      </c>
      <c r="AQ37" s="402" t="str">
        <f t="shared" si="22"/>
        <v/>
      </c>
      <c r="AR37" s="403"/>
      <c r="AS37" s="3"/>
      <c r="AT37" s="3"/>
      <c r="AU37" s="3"/>
    </row>
    <row r="38" spans="1:47" ht="12" customHeight="1">
      <c r="A38" s="52"/>
      <c r="B38" s="320" t="s">
        <v>271</v>
      </c>
      <c r="C38" s="395" t="str">
        <f t="shared" si="23"/>
        <v>General Service 50 to 1,499 KW.Smart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13"/>
        <v>0</v>
      </c>
      <c r="AC38" s="402" t="str">
        <f t="shared" si="14"/>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c r="AS38" s="3"/>
      <c r="AT38" s="3"/>
      <c r="AU38" s="3"/>
    </row>
    <row r="39" spans="1:47" ht="12" customHeight="1">
      <c r="A39" s="52"/>
      <c r="B39" s="405" t="s">
        <v>313</v>
      </c>
      <c r="C39" s="422"/>
      <c r="D39" s="422"/>
      <c r="E39" s="422"/>
      <c r="F39" s="423"/>
      <c r="G39" s="501"/>
      <c r="H39" s="409">
        <f>SUM(H30:H38)+H29</f>
        <v>7623.880000000001</v>
      </c>
      <c r="I39" s="425"/>
      <c r="J39" s="423"/>
      <c r="K39" s="501"/>
      <c r="L39" s="409">
        <f>SUM(L30:L38)+L29</f>
        <v>9206.6899999999987</v>
      </c>
      <c r="M39" s="425"/>
      <c r="N39" s="411">
        <f t="shared" si="5"/>
        <v>1582.8099999999977</v>
      </c>
      <c r="O39" s="412">
        <f t="shared" si="6"/>
        <v>0.2076121345036907</v>
      </c>
      <c r="P39" s="52"/>
      <c r="Q39" s="423"/>
      <c r="R39" s="501"/>
      <c r="S39" s="409">
        <f>SUM(S30:S38)+S29</f>
        <v>9008.6400000000012</v>
      </c>
      <c r="T39" s="425"/>
      <c r="U39" s="411">
        <f t="shared" si="9"/>
        <v>-198.04999999999745</v>
      </c>
      <c r="V39" s="412">
        <f t="shared" si="10"/>
        <v>-2.1511531288660471E-2</v>
      </c>
      <c r="W39" s="52"/>
      <c r="X39" s="423"/>
      <c r="Y39" s="501"/>
      <c r="Z39" s="409">
        <f>SUM(Z30:Z38)+Z29</f>
        <v>9859.25</v>
      </c>
      <c r="AA39" s="425"/>
      <c r="AB39" s="411">
        <f t="shared" si="13"/>
        <v>850.60999999999876</v>
      </c>
      <c r="AC39" s="412">
        <f t="shared" si="14"/>
        <v>9.4421577507814575E-2</v>
      </c>
      <c r="AD39" s="52"/>
      <c r="AE39" s="423"/>
      <c r="AF39" s="501"/>
      <c r="AG39" s="409">
        <f>SUM(AG30:AG38)+AG29</f>
        <v>10546.35</v>
      </c>
      <c r="AH39" s="425"/>
      <c r="AI39" s="411">
        <f t="shared" si="17"/>
        <v>687.10000000000036</v>
      </c>
      <c r="AJ39" s="412">
        <f t="shared" si="18"/>
        <v>6.9690899409184312E-2</v>
      </c>
      <c r="AK39" s="52"/>
      <c r="AL39" s="423"/>
      <c r="AM39" s="501"/>
      <c r="AN39" s="409">
        <f>SUM(AN30:AN38)+AN29</f>
        <v>11198.98</v>
      </c>
      <c r="AO39" s="425"/>
      <c r="AP39" s="411">
        <f t="shared" si="21"/>
        <v>652.6299999999992</v>
      </c>
      <c r="AQ39" s="412">
        <f t="shared" si="22"/>
        <v>6.1882072944667979E-2</v>
      </c>
      <c r="AR39" s="413"/>
      <c r="AS39" s="3"/>
      <c r="AT39" s="3"/>
      <c r="AU39" s="3"/>
    </row>
    <row r="40" spans="1:47" ht="12" customHeight="1">
      <c r="A40" s="52"/>
      <c r="B40" s="128" t="s">
        <v>255</v>
      </c>
      <c r="C40" s="395" t="str">
        <f t="shared" ref="C40:C41" si="36">D$6&amp;"."&amp;B40</f>
        <v>General Service 50 to 1,499 KW.RTSR - Network</v>
      </c>
      <c r="D40" s="426" t="s">
        <v>377</v>
      </c>
      <c r="E40" s="128"/>
      <c r="F40" s="414">
        <f>IFERROR(VLOOKUP($C40,'Proposed Rates'!$B:$J,F$11,FALSE),0)</f>
        <v>4.8479999999999999</v>
      </c>
      <c r="G40" s="415">
        <f t="shared" ref="G40:G41" si="37">IF($D40="Monthly",1,IF($D40="per KW",$F$10,IF($D40="per kWh",$F$9,0)))</f>
        <v>1000</v>
      </c>
      <c r="H40" s="400">
        <f t="shared" ref="H40:H41" si="38">G40*F40</f>
        <v>4848</v>
      </c>
      <c r="I40" s="128"/>
      <c r="J40" s="414">
        <f>IFERROR(VLOOKUP($C40,'Proposed Rates'!$B:$J,J$11,FALSE),0)</f>
        <v>4.5787000000000004</v>
      </c>
      <c r="K40" s="415">
        <f t="shared" ref="K40:K41" si="39">IF($D40="Monthly",1,IF($D40="per KW",$F$10,IF($D40="per kWh",$F$9,0)))</f>
        <v>1000</v>
      </c>
      <c r="L40" s="400">
        <f t="shared" ref="L40:L41" si="40">K40*J40</f>
        <v>4578.7000000000007</v>
      </c>
      <c r="M40" s="128"/>
      <c r="N40" s="401">
        <f t="shared" si="5"/>
        <v>-269.29999999999927</v>
      </c>
      <c r="O40" s="402">
        <f t="shared" si="6"/>
        <v>-5.5548679867986651E-2</v>
      </c>
      <c r="P40" s="52"/>
      <c r="Q40" s="414">
        <f>IFERROR(VLOOKUP($C40,'Proposed Rates'!$B:$J,Q$11,FALSE),0)</f>
        <v>4.5787000000000004</v>
      </c>
      <c r="R40" s="415">
        <f t="shared" ref="R40:R41" si="41">IF($D40="Monthly",1,IF($D40="per KW",$F$10,IF($D40="per kWh",$F$9,0)))</f>
        <v>1000</v>
      </c>
      <c r="S40" s="400">
        <f t="shared" ref="S40:S41" si="42">R40*Q40</f>
        <v>4578.7000000000007</v>
      </c>
      <c r="T40" s="128"/>
      <c r="U40" s="401">
        <f t="shared" si="9"/>
        <v>0</v>
      </c>
      <c r="V40" s="402">
        <f t="shared" si="10"/>
        <v>0</v>
      </c>
      <c r="W40" s="52"/>
      <c r="X40" s="414">
        <f>IFERROR(VLOOKUP($C40,'Proposed Rates'!$B:$J,X$11,FALSE),0)</f>
        <v>4.5787000000000004</v>
      </c>
      <c r="Y40" s="415">
        <f t="shared" ref="Y40:Y41" si="43">IF($D40="Monthly",1,IF($D40="per KW",$F$10,IF($D40="per kWh",$F$9,0)))</f>
        <v>1000</v>
      </c>
      <c r="Z40" s="400">
        <f t="shared" ref="Z40:Z41" si="44">Y40*X40</f>
        <v>4578.7000000000007</v>
      </c>
      <c r="AA40" s="128"/>
      <c r="AB40" s="401">
        <f t="shared" si="13"/>
        <v>0</v>
      </c>
      <c r="AC40" s="402">
        <f t="shared" si="14"/>
        <v>0</v>
      </c>
      <c r="AD40" s="52"/>
      <c r="AE40" s="414">
        <f>IFERROR(VLOOKUP($C40,'Proposed Rates'!$B:$J,AE$11,FALSE),0)</f>
        <v>4.5787000000000004</v>
      </c>
      <c r="AF40" s="415">
        <f t="shared" ref="AF40:AF41" si="45">IF($D40="Monthly",1,IF($D40="per KW",$F$10,IF($D40="per kWh",$F$9,0)))</f>
        <v>1000</v>
      </c>
      <c r="AG40" s="400">
        <f t="shared" ref="AG40:AG41" si="46">AF40*AE40</f>
        <v>4578.7000000000007</v>
      </c>
      <c r="AH40" s="128"/>
      <c r="AI40" s="401">
        <f t="shared" si="17"/>
        <v>0</v>
      </c>
      <c r="AJ40" s="402">
        <f t="shared" si="18"/>
        <v>0</v>
      </c>
      <c r="AK40" s="52"/>
      <c r="AL40" s="414">
        <f>IFERROR(VLOOKUP($C40,'Proposed Rates'!$B:$J,AL$11,FALSE),0)</f>
        <v>4.5787000000000004</v>
      </c>
      <c r="AM40" s="415">
        <f t="shared" ref="AM40:AM41" si="47">IF($D40="Monthly",1,IF($D40="per KW",$F$10,IF($D40="per kWh",$F$9,0)))</f>
        <v>1000</v>
      </c>
      <c r="AN40" s="400">
        <f t="shared" ref="AN40:AN41" si="48">AM40*AL40</f>
        <v>4578.7000000000007</v>
      </c>
      <c r="AO40" s="128"/>
      <c r="AP40" s="401">
        <f t="shared" si="21"/>
        <v>0</v>
      </c>
      <c r="AQ40" s="402">
        <f t="shared" si="22"/>
        <v>0</v>
      </c>
      <c r="AR40" s="403"/>
      <c r="AS40" s="3"/>
      <c r="AT40" s="3"/>
      <c r="AU40" s="3"/>
    </row>
    <row r="41" spans="1:47" ht="12" customHeight="1">
      <c r="A41" s="52"/>
      <c r="B41" s="128" t="s">
        <v>256</v>
      </c>
      <c r="C41" s="395" t="str">
        <f t="shared" si="36"/>
        <v>General Service 50 to 1,499 KW.RTSR - Line and Transformation Connection</v>
      </c>
      <c r="D41" s="426" t="s">
        <v>377</v>
      </c>
      <c r="E41" s="128"/>
      <c r="F41" s="414">
        <f>IFERROR(VLOOKUP($C41,'Proposed Rates'!$B:$J,F$11,FALSE),0)</f>
        <v>2.8187000000000002</v>
      </c>
      <c r="G41" s="415">
        <f t="shared" si="37"/>
        <v>1000</v>
      </c>
      <c r="H41" s="400">
        <f t="shared" si="38"/>
        <v>2818.7000000000003</v>
      </c>
      <c r="I41" s="128"/>
      <c r="J41" s="414">
        <f>IFERROR(VLOOKUP($C41,'Proposed Rates'!$B:$J,J$11,FALSE),0)</f>
        <v>2.5918000000000001</v>
      </c>
      <c r="K41" s="415">
        <f t="shared" si="39"/>
        <v>1000</v>
      </c>
      <c r="L41" s="400">
        <f t="shared" si="40"/>
        <v>2591.8000000000002</v>
      </c>
      <c r="M41" s="128"/>
      <c r="N41" s="401">
        <f t="shared" si="5"/>
        <v>-226.90000000000009</v>
      </c>
      <c r="O41" s="402">
        <f t="shared" si="6"/>
        <v>-8.0498101961897356E-2</v>
      </c>
      <c r="P41" s="52"/>
      <c r="Q41" s="414">
        <f>IFERROR(VLOOKUP($C41,'Proposed Rates'!$B:$J,Q$11,FALSE),0)</f>
        <v>2.5918000000000001</v>
      </c>
      <c r="R41" s="415">
        <f t="shared" si="41"/>
        <v>1000</v>
      </c>
      <c r="S41" s="400">
        <f t="shared" si="42"/>
        <v>2591.8000000000002</v>
      </c>
      <c r="T41" s="128"/>
      <c r="U41" s="401">
        <f t="shared" si="9"/>
        <v>0</v>
      </c>
      <c r="V41" s="402">
        <f t="shared" si="10"/>
        <v>0</v>
      </c>
      <c r="W41" s="52"/>
      <c r="X41" s="414">
        <f>IFERROR(VLOOKUP($C41,'Proposed Rates'!$B:$J,X$11,FALSE),0)</f>
        <v>2.5918000000000001</v>
      </c>
      <c r="Y41" s="415">
        <f t="shared" si="43"/>
        <v>1000</v>
      </c>
      <c r="Z41" s="400">
        <f t="shared" si="44"/>
        <v>2591.8000000000002</v>
      </c>
      <c r="AA41" s="128"/>
      <c r="AB41" s="401">
        <f t="shared" si="13"/>
        <v>0</v>
      </c>
      <c r="AC41" s="402">
        <f t="shared" si="14"/>
        <v>0</v>
      </c>
      <c r="AD41" s="52"/>
      <c r="AE41" s="414">
        <f>IFERROR(VLOOKUP($C41,'Proposed Rates'!$B:$J,AE$11,FALSE),0)</f>
        <v>2.5918000000000001</v>
      </c>
      <c r="AF41" s="415">
        <f t="shared" si="45"/>
        <v>1000</v>
      </c>
      <c r="AG41" s="400">
        <f t="shared" si="46"/>
        <v>2591.8000000000002</v>
      </c>
      <c r="AH41" s="128"/>
      <c r="AI41" s="401">
        <f t="shared" si="17"/>
        <v>0</v>
      </c>
      <c r="AJ41" s="402">
        <f t="shared" si="18"/>
        <v>0</v>
      </c>
      <c r="AK41" s="52"/>
      <c r="AL41" s="414">
        <f>IFERROR(VLOOKUP($C41,'Proposed Rates'!$B:$J,AL$11,FALSE),0)</f>
        <v>2.5918000000000001</v>
      </c>
      <c r="AM41" s="415">
        <f t="shared" si="47"/>
        <v>1000</v>
      </c>
      <c r="AN41" s="400">
        <f t="shared" si="48"/>
        <v>2591.8000000000002</v>
      </c>
      <c r="AO41" s="128"/>
      <c r="AP41" s="401">
        <f t="shared" si="21"/>
        <v>0</v>
      </c>
      <c r="AQ41" s="402">
        <f t="shared" si="22"/>
        <v>0</v>
      </c>
      <c r="AR41" s="403"/>
      <c r="AS41" s="3"/>
      <c r="AT41" s="3"/>
      <c r="AU41" s="3"/>
    </row>
    <row r="42" spans="1:47" ht="12" customHeight="1">
      <c r="A42" s="52"/>
      <c r="B42" s="405" t="s">
        <v>314</v>
      </c>
      <c r="C42" s="427"/>
      <c r="D42" s="427"/>
      <c r="E42" s="427"/>
      <c r="F42" s="428"/>
      <c r="G42" s="501"/>
      <c r="H42" s="409">
        <f>SUM(H39:H41)</f>
        <v>15290.580000000002</v>
      </c>
      <c r="I42" s="410"/>
      <c r="J42" s="428"/>
      <c r="K42" s="501"/>
      <c r="L42" s="409">
        <f>SUM(L39:L41)</f>
        <v>16377.189999999999</v>
      </c>
      <c r="M42" s="410"/>
      <c r="N42" s="411">
        <f t="shared" si="5"/>
        <v>1086.6099999999969</v>
      </c>
      <c r="O42" s="412">
        <f t="shared" si="6"/>
        <v>7.1064014576294479E-2</v>
      </c>
      <c r="P42" s="52"/>
      <c r="Q42" s="428"/>
      <c r="R42" s="501"/>
      <c r="S42" s="409">
        <f>SUM(S39:S41)</f>
        <v>16179.140000000003</v>
      </c>
      <c r="T42" s="410"/>
      <c r="U42" s="411">
        <f t="shared" si="9"/>
        <v>-198.04999999999563</v>
      </c>
      <c r="V42" s="412">
        <f t="shared" si="10"/>
        <v>-1.2093039159953304E-2</v>
      </c>
      <c r="W42" s="52"/>
      <c r="X42" s="428"/>
      <c r="Y42" s="501"/>
      <c r="Z42" s="409">
        <f>SUM(Z39:Z41)</f>
        <v>17029.75</v>
      </c>
      <c r="AA42" s="410"/>
      <c r="AB42" s="411">
        <f t="shared" si="13"/>
        <v>850.60999999999694</v>
      </c>
      <c r="AC42" s="412">
        <f t="shared" si="14"/>
        <v>5.2574487889961816E-2</v>
      </c>
      <c r="AD42" s="52"/>
      <c r="AE42" s="428"/>
      <c r="AF42" s="501"/>
      <c r="AG42" s="409">
        <f>SUM(AG39:AG41)</f>
        <v>17716.850000000002</v>
      </c>
      <c r="AH42" s="410"/>
      <c r="AI42" s="411">
        <f t="shared" si="17"/>
        <v>687.10000000000218</v>
      </c>
      <c r="AJ42" s="412">
        <f t="shared" si="18"/>
        <v>4.0347039739279916E-2</v>
      </c>
      <c r="AK42" s="52"/>
      <c r="AL42" s="428"/>
      <c r="AM42" s="501"/>
      <c r="AN42" s="409">
        <f>SUM(AN39:AN41)</f>
        <v>18369.48</v>
      </c>
      <c r="AO42" s="410"/>
      <c r="AP42" s="411">
        <f t="shared" si="21"/>
        <v>652.62999999999738</v>
      </c>
      <c r="AQ42" s="412">
        <f t="shared" si="22"/>
        <v>3.6836683721993314E-2</v>
      </c>
      <c r="AR42" s="413"/>
      <c r="AS42" s="3"/>
      <c r="AT42" s="3"/>
      <c r="AU42" s="3"/>
    </row>
    <row r="43" spans="1:47" ht="12" customHeight="1">
      <c r="A43" s="52"/>
      <c r="B43" s="320" t="s">
        <v>257</v>
      </c>
      <c r="C43" s="395" t="str">
        <f t="shared" ref="C43:C45" si="49">D$6&amp;"."&amp;B43</f>
        <v>General Service 50 to 1,499 KW.Wholesale Market Service Charge (WMSC)</v>
      </c>
      <c r="D43" s="396" t="s">
        <v>308</v>
      </c>
      <c r="E43" s="320"/>
      <c r="F43" s="414">
        <f>IFERROR(VLOOKUP($C43,'Proposed Rates'!$B:$J,F$11,FALSE),0)</f>
        <v>4.4999999999999997E-3</v>
      </c>
      <c r="G43" s="421">
        <f t="shared" ref="G43:G44" si="50">$F$9+G$37</f>
        <v>264135.90000000002</v>
      </c>
      <c r="H43" s="400">
        <f t="shared" ref="H43:H46" si="51">G43*F43</f>
        <v>1188.6115500000001</v>
      </c>
      <c r="I43" s="128"/>
      <c r="J43" s="414">
        <f>IFERROR(VLOOKUP($C43,'Proposed Rates'!$B:$J,J$11,FALSE),0)</f>
        <v>4.4999999999999997E-3</v>
      </c>
      <c r="K43" s="421">
        <f t="shared" ref="K43:K44" si="52">$F$9+K$37</f>
        <v>263982.59999999998</v>
      </c>
      <c r="L43" s="400">
        <f t="shared" ref="L43:L46" si="53">K43*J43</f>
        <v>1187.9216999999999</v>
      </c>
      <c r="M43" s="128"/>
      <c r="N43" s="401">
        <f t="shared" si="5"/>
        <v>-0.68985000000020591</v>
      </c>
      <c r="O43" s="402">
        <f t="shared" si="6"/>
        <v>-5.8038305281503096E-4</v>
      </c>
      <c r="P43" s="52"/>
      <c r="Q43" s="414">
        <f>IFERROR(VLOOKUP($C43,'Proposed Rates'!$B:$J,Q$11,FALSE),0)</f>
        <v>4.4999999999999997E-3</v>
      </c>
      <c r="R43" s="421">
        <f t="shared" ref="R43:R44" si="54">$F$9+R$37</f>
        <v>263982.59999999998</v>
      </c>
      <c r="S43" s="400">
        <f t="shared" ref="S43:S46" si="55">R43*Q43</f>
        <v>1187.9216999999999</v>
      </c>
      <c r="T43" s="128"/>
      <c r="U43" s="401">
        <f t="shared" si="9"/>
        <v>0</v>
      </c>
      <c r="V43" s="402">
        <f t="shared" si="10"/>
        <v>0</v>
      </c>
      <c r="W43" s="52"/>
      <c r="X43" s="414">
        <f>IFERROR(VLOOKUP($C43,'Proposed Rates'!$B:$J,X$11,FALSE),0)</f>
        <v>4.4999999999999997E-3</v>
      </c>
      <c r="Y43" s="421">
        <f t="shared" ref="Y43:Y44" si="56">$F$9+Y$37</f>
        <v>263982.59999999998</v>
      </c>
      <c r="Z43" s="400">
        <f t="shared" ref="Z43:Z46" si="57">Y43*X43</f>
        <v>1187.9216999999999</v>
      </c>
      <c r="AA43" s="128"/>
      <c r="AB43" s="401">
        <f t="shared" si="13"/>
        <v>0</v>
      </c>
      <c r="AC43" s="402">
        <f t="shared" si="14"/>
        <v>0</v>
      </c>
      <c r="AD43" s="52"/>
      <c r="AE43" s="414">
        <f>IFERROR(VLOOKUP($C43,'Proposed Rates'!$B:$J,AE$11,FALSE),0)</f>
        <v>4.4999999999999997E-3</v>
      </c>
      <c r="AF43" s="421">
        <f t="shared" ref="AF43:AF44" si="58">$F$9+AF$37</f>
        <v>263982.59999999998</v>
      </c>
      <c r="AG43" s="400">
        <f t="shared" ref="AG43:AG46" si="59">AF43*AE43</f>
        <v>1187.9216999999999</v>
      </c>
      <c r="AH43" s="128"/>
      <c r="AI43" s="401">
        <f t="shared" si="17"/>
        <v>0</v>
      </c>
      <c r="AJ43" s="402">
        <f t="shared" si="18"/>
        <v>0</v>
      </c>
      <c r="AK43" s="52"/>
      <c r="AL43" s="414">
        <f>IFERROR(VLOOKUP($C43,'Proposed Rates'!$B:$J,AL$11,FALSE),0)</f>
        <v>4.4999999999999997E-3</v>
      </c>
      <c r="AM43" s="421">
        <f t="shared" ref="AM43:AM44" si="60">$F$9+AM$37</f>
        <v>263982.59999999998</v>
      </c>
      <c r="AN43" s="400">
        <f t="shared" ref="AN43:AN46" si="61">AM43*AL43</f>
        <v>1187.9216999999999</v>
      </c>
      <c r="AO43" s="128"/>
      <c r="AP43" s="401">
        <f t="shared" si="21"/>
        <v>0</v>
      </c>
      <c r="AQ43" s="402">
        <f t="shared" si="22"/>
        <v>0</v>
      </c>
      <c r="AR43" s="403"/>
      <c r="AS43" s="3"/>
      <c r="AT43" s="3"/>
      <c r="AU43" s="3"/>
    </row>
    <row r="44" spans="1:47" ht="12" customHeight="1">
      <c r="A44" s="52"/>
      <c r="B44" s="320" t="s">
        <v>258</v>
      </c>
      <c r="C44" s="395" t="str">
        <f t="shared" si="49"/>
        <v>General Service 50 to 1,499 KW.Rural and Remote Rate Protection (RRRP)</v>
      </c>
      <c r="D44" s="396" t="s">
        <v>308</v>
      </c>
      <c r="E44" s="320"/>
      <c r="F44" s="414">
        <f>IFERROR(VLOOKUP($C44,'Proposed Rates'!$B:$J,F$11,FALSE),0)</f>
        <v>1.5E-3</v>
      </c>
      <c r="G44" s="421">
        <f t="shared" si="50"/>
        <v>264135.90000000002</v>
      </c>
      <c r="H44" s="400">
        <f t="shared" si="51"/>
        <v>396.20385000000005</v>
      </c>
      <c r="I44" s="128"/>
      <c r="J44" s="414">
        <f>IFERROR(VLOOKUP($C44,'Proposed Rates'!$B:$J,J$11,FALSE),0)</f>
        <v>1.5E-3</v>
      </c>
      <c r="K44" s="421">
        <f t="shared" si="52"/>
        <v>263982.59999999998</v>
      </c>
      <c r="L44" s="400">
        <f t="shared" si="53"/>
        <v>395.97389999999996</v>
      </c>
      <c r="M44" s="128"/>
      <c r="N44" s="401">
        <f t="shared" si="5"/>
        <v>-0.22995000000008758</v>
      </c>
      <c r="O44" s="402">
        <f t="shared" si="6"/>
        <v>-5.8038305281507877E-4</v>
      </c>
      <c r="P44" s="52"/>
      <c r="Q44" s="414">
        <f>IFERROR(VLOOKUP($C44,'Proposed Rates'!$B:$J,Q$11,FALSE),0)</f>
        <v>1.5E-3</v>
      </c>
      <c r="R44" s="421">
        <f t="shared" si="54"/>
        <v>263982.59999999998</v>
      </c>
      <c r="S44" s="400">
        <f t="shared" si="55"/>
        <v>395.97389999999996</v>
      </c>
      <c r="T44" s="128"/>
      <c r="U44" s="401">
        <f t="shared" si="9"/>
        <v>0</v>
      </c>
      <c r="V44" s="402">
        <f t="shared" si="10"/>
        <v>0</v>
      </c>
      <c r="W44" s="52"/>
      <c r="X44" s="414">
        <f>IFERROR(VLOOKUP($C44,'Proposed Rates'!$B:$J,X$11,FALSE),0)</f>
        <v>1.5E-3</v>
      </c>
      <c r="Y44" s="421">
        <f t="shared" si="56"/>
        <v>263982.59999999998</v>
      </c>
      <c r="Z44" s="400">
        <f t="shared" si="57"/>
        <v>395.97389999999996</v>
      </c>
      <c r="AA44" s="128"/>
      <c r="AB44" s="401">
        <f t="shared" si="13"/>
        <v>0</v>
      </c>
      <c r="AC44" s="402">
        <f t="shared" si="14"/>
        <v>0</v>
      </c>
      <c r="AD44" s="52"/>
      <c r="AE44" s="414">
        <f>IFERROR(VLOOKUP($C44,'Proposed Rates'!$B:$J,AE$11,FALSE),0)</f>
        <v>1.5E-3</v>
      </c>
      <c r="AF44" s="421">
        <f t="shared" si="58"/>
        <v>263982.59999999998</v>
      </c>
      <c r="AG44" s="400">
        <f t="shared" si="59"/>
        <v>395.97389999999996</v>
      </c>
      <c r="AH44" s="128"/>
      <c r="AI44" s="401">
        <f t="shared" si="17"/>
        <v>0</v>
      </c>
      <c r="AJ44" s="402">
        <f t="shared" si="18"/>
        <v>0</v>
      </c>
      <c r="AK44" s="52"/>
      <c r="AL44" s="414">
        <f>IFERROR(VLOOKUP($C44,'Proposed Rates'!$B:$J,AL$11,FALSE),0)</f>
        <v>1.5E-3</v>
      </c>
      <c r="AM44" s="421">
        <f t="shared" si="60"/>
        <v>263982.59999999998</v>
      </c>
      <c r="AN44" s="400">
        <f t="shared" si="61"/>
        <v>395.97389999999996</v>
      </c>
      <c r="AO44" s="128"/>
      <c r="AP44" s="401">
        <f t="shared" si="21"/>
        <v>0</v>
      </c>
      <c r="AQ44" s="402">
        <f t="shared" si="22"/>
        <v>0</v>
      </c>
      <c r="AR44" s="403"/>
      <c r="AS44" s="3"/>
      <c r="AT44" s="3"/>
      <c r="AU44" s="3"/>
    </row>
    <row r="45" spans="1:47" ht="12" customHeight="1">
      <c r="A45" s="52"/>
      <c r="B45" s="320" t="s">
        <v>260</v>
      </c>
      <c r="C45" s="395" t="str">
        <f t="shared" si="49"/>
        <v>General Service 50 to 1,499 KW.Standard Supply Service Charge</v>
      </c>
      <c r="D45" s="396" t="s">
        <v>306</v>
      </c>
      <c r="E45" s="320"/>
      <c r="F45" s="397">
        <f>IFERROR(VLOOKUP($C45,'Proposed Rates'!$B:$J,F$11,FALSE),0)</f>
        <v>0.25</v>
      </c>
      <c r="G45" s="415">
        <f>IF($D45="Monthly",1,IF($D45="per KW",$F$10,IF($D45="per kWh",$F$9,0)))</f>
        <v>1</v>
      </c>
      <c r="H45" s="400">
        <f t="shared" si="51"/>
        <v>0.25</v>
      </c>
      <c r="I45" s="128"/>
      <c r="J45" s="397">
        <f>IFERROR(VLOOKUP($C45,'Proposed Rates'!$B:$J,J$11,FALSE),0)</f>
        <v>1.51</v>
      </c>
      <c r="K45" s="415">
        <f>IF($D45="Monthly",1,IF($D45="per KW",$F$10,IF($D45="per kWh",$F$9,0)))</f>
        <v>1</v>
      </c>
      <c r="L45" s="400">
        <f t="shared" si="53"/>
        <v>1.51</v>
      </c>
      <c r="M45" s="128"/>
      <c r="N45" s="401">
        <f t="shared" si="5"/>
        <v>1.26</v>
      </c>
      <c r="O45" s="402">
        <f t="shared" si="6"/>
        <v>5.04</v>
      </c>
      <c r="P45" s="52"/>
      <c r="Q45" s="397">
        <f>IFERROR(VLOOKUP($C45,'Proposed Rates'!$B:$J,Q$11,FALSE),0)</f>
        <v>1.54</v>
      </c>
      <c r="R45" s="415">
        <f>IF($D45="Monthly",1,IF($D45="per KW",$F$10,IF($D45="per kWh",$F$9,0)))</f>
        <v>1</v>
      </c>
      <c r="S45" s="400">
        <f t="shared" si="55"/>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7"/>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9"/>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1"/>
        <v>1.63</v>
      </c>
      <c r="AO45" s="128"/>
      <c r="AP45" s="401">
        <f t="shared" si="21"/>
        <v>2.9999999999999805E-2</v>
      </c>
      <c r="AQ45" s="402">
        <f t="shared" si="22"/>
        <v>1.8749999999999878E-2</v>
      </c>
      <c r="AR45" s="403"/>
      <c r="AS45" s="3"/>
      <c r="AT45" s="3"/>
      <c r="AU45" s="3"/>
    </row>
    <row r="46" spans="1:47" ht="12" customHeight="1">
      <c r="A46" s="52"/>
      <c r="B46" s="320" t="s">
        <v>267</v>
      </c>
      <c r="C46" s="395" t="str">
        <f>B46</f>
        <v>Average IESO Wholesale Market Price</v>
      </c>
      <c r="D46" s="396" t="s">
        <v>308</v>
      </c>
      <c r="E46" s="320"/>
      <c r="F46" s="414">
        <f>IFERROR(VLOOKUP($C46,'Proposed Rates'!$B:$J,F$11,FALSE),0)</f>
        <v>0.1045</v>
      </c>
      <c r="G46" s="421">
        <f>$F$9+G$37</f>
        <v>264135.90000000002</v>
      </c>
      <c r="H46" s="400">
        <f t="shared" si="51"/>
        <v>27602.201550000002</v>
      </c>
      <c r="I46" s="128"/>
      <c r="J46" s="414">
        <f>IFERROR(VLOOKUP($C46,'Proposed Rates'!$B:$J,J$11,FALSE),0)</f>
        <v>0.1045</v>
      </c>
      <c r="K46" s="421">
        <f>$F$9+K$37</f>
        <v>263982.59999999998</v>
      </c>
      <c r="L46" s="400">
        <f t="shared" si="53"/>
        <v>27586.181699999997</v>
      </c>
      <c r="M46" s="128"/>
      <c r="N46" s="401">
        <f t="shared" si="5"/>
        <v>-16.019850000004226</v>
      </c>
      <c r="O46" s="402">
        <f t="shared" si="6"/>
        <v>-5.803830528150109E-4</v>
      </c>
      <c r="P46" s="52"/>
      <c r="Q46" s="414">
        <f>IFERROR(VLOOKUP($C46,'Proposed Rates'!$B:$J,Q$11,FALSE),0)</f>
        <v>0.1045</v>
      </c>
      <c r="R46" s="421">
        <f>$F$9+R$37</f>
        <v>263982.59999999998</v>
      </c>
      <c r="S46" s="400">
        <f t="shared" si="55"/>
        <v>27586.181699999997</v>
      </c>
      <c r="T46" s="128"/>
      <c r="U46" s="401">
        <f t="shared" si="9"/>
        <v>0</v>
      </c>
      <c r="V46" s="402">
        <f t="shared" si="10"/>
        <v>0</v>
      </c>
      <c r="W46" s="52"/>
      <c r="X46" s="414">
        <f>IFERROR(VLOOKUP($C46,'Proposed Rates'!$B:$J,X$11,FALSE),0)</f>
        <v>0.1045</v>
      </c>
      <c r="Y46" s="421">
        <f>$F$9+Y$37</f>
        <v>263982.59999999998</v>
      </c>
      <c r="Z46" s="400">
        <f t="shared" si="57"/>
        <v>27586.181699999997</v>
      </c>
      <c r="AA46" s="128"/>
      <c r="AB46" s="401">
        <f t="shared" si="13"/>
        <v>0</v>
      </c>
      <c r="AC46" s="402">
        <f t="shared" si="14"/>
        <v>0</v>
      </c>
      <c r="AD46" s="52"/>
      <c r="AE46" s="414">
        <f>IFERROR(VLOOKUP($C46,'Proposed Rates'!$B:$J,AE$11,FALSE),0)</f>
        <v>0.1045</v>
      </c>
      <c r="AF46" s="421">
        <f>$F$9+AF$37</f>
        <v>263982.59999999998</v>
      </c>
      <c r="AG46" s="400">
        <f t="shared" si="59"/>
        <v>27586.181699999997</v>
      </c>
      <c r="AH46" s="128"/>
      <c r="AI46" s="401">
        <f t="shared" si="17"/>
        <v>0</v>
      </c>
      <c r="AJ46" s="402">
        <f t="shared" si="18"/>
        <v>0</v>
      </c>
      <c r="AK46" s="52"/>
      <c r="AL46" s="414">
        <f>IFERROR(VLOOKUP($C46,'Proposed Rates'!$B:$J,AL$11,FALSE),0)</f>
        <v>0.1045</v>
      </c>
      <c r="AM46" s="421">
        <f>$F$9+AM$37</f>
        <v>263982.59999999998</v>
      </c>
      <c r="AN46" s="400">
        <f t="shared" si="61"/>
        <v>27586.181699999997</v>
      </c>
      <c r="AO46" s="128"/>
      <c r="AP46" s="401">
        <f t="shared" si="21"/>
        <v>0</v>
      </c>
      <c r="AQ46" s="402">
        <f t="shared" si="22"/>
        <v>0</v>
      </c>
      <c r="AR46" s="403"/>
      <c r="AS46" s="3"/>
      <c r="AT46" s="3"/>
      <c r="AU46" s="3"/>
    </row>
    <row r="47" spans="1:47" ht="12" customHeight="1">
      <c r="A47" s="52"/>
      <c r="B47" s="320"/>
      <c r="C47" s="395" t="str">
        <f t="shared" ref="C47:C50" si="62">D$6&amp;"."&amp;B47</f>
        <v>General Service 50 to 1,499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c r="AS47" s="3"/>
      <c r="AT47" s="3"/>
      <c r="AU47" s="3"/>
    </row>
    <row r="48" spans="1:47" ht="12" customHeight="1">
      <c r="A48" s="52"/>
      <c r="B48" s="52"/>
      <c r="C48" s="395" t="str">
        <f t="shared" si="62"/>
        <v>General Service 50 to 1,499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c r="AS48" s="3"/>
      <c r="AT48" s="3"/>
      <c r="AU48" s="3"/>
    </row>
    <row r="49" spans="1:47" ht="12" customHeight="1">
      <c r="A49" s="52"/>
      <c r="B49" s="320"/>
      <c r="C49" s="395" t="str">
        <f t="shared" si="62"/>
        <v>General Service 50 to 1,499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c r="AS49" s="3"/>
      <c r="AT49" s="3"/>
      <c r="AU49" s="3"/>
    </row>
    <row r="50" spans="1:47" ht="12" customHeight="1">
      <c r="A50" s="52"/>
      <c r="B50" s="320"/>
      <c r="C50" s="395" t="str">
        <f t="shared" si="62"/>
        <v>General Service 50 to 1,499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c r="AS50" s="3"/>
      <c r="AT50" s="3"/>
      <c r="AU50" s="3"/>
    </row>
    <row r="51" spans="1:47" ht="12" customHeight="1">
      <c r="A51" s="52"/>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3"/>
      <c r="AT51" s="3"/>
      <c r="AU51" s="3"/>
    </row>
    <row r="52" spans="1:47" ht="12" customHeight="1">
      <c r="A52" s="52"/>
      <c r="B52" s="444" t="s">
        <v>315</v>
      </c>
      <c r="C52" s="320"/>
      <c r="D52" s="320"/>
      <c r="E52" s="320"/>
      <c r="F52" s="445"/>
      <c r="G52" s="489"/>
      <c r="H52" s="447">
        <f>SUM(H43:H48,H42)</f>
        <v>44477.846950000006</v>
      </c>
      <c r="I52" s="482"/>
      <c r="J52" s="446"/>
      <c r="K52" s="446"/>
      <c r="L52" s="447">
        <f>SUM(L43:L48,L42)</f>
        <v>45548.777299999994</v>
      </c>
      <c r="M52" s="449"/>
      <c r="N52" s="448">
        <f t="shared" ref="N52:N56" si="63">L52-H52</f>
        <v>1070.9303499999878</v>
      </c>
      <c r="O52" s="450">
        <f t="shared" ref="O52:O56" si="64">IF((H52)=0,"",(N52/H52))</f>
        <v>2.407783702308881E-2</v>
      </c>
      <c r="P52" s="52"/>
      <c r="Q52" s="446"/>
      <c r="R52" s="446"/>
      <c r="S52" s="447">
        <f>SUM(S43:S48,S42)</f>
        <v>45350.757299999997</v>
      </c>
      <c r="T52" s="449"/>
      <c r="U52" s="448">
        <f t="shared" ref="U52:U56" si="65">S52-L52</f>
        <v>-198.0199999999968</v>
      </c>
      <c r="V52" s="450">
        <f t="shared" ref="V52:V56" si="66">IF((L52)=0,"",(U52/L52))</f>
        <v>-4.3474273457609763E-3</v>
      </c>
      <c r="W52" s="52"/>
      <c r="X52" s="446"/>
      <c r="Y52" s="446"/>
      <c r="Z52" s="447">
        <f>SUM(Z43:Z48,Z42)</f>
        <v>46201.397299999997</v>
      </c>
      <c r="AA52" s="449"/>
      <c r="AB52" s="448">
        <f t="shared" ref="AB52:AB56" si="67">Z52-S52</f>
        <v>850.63999999999942</v>
      </c>
      <c r="AC52" s="450">
        <f t="shared" ref="AC52:AC56" si="68">IF((S52)=0,"",(AB52/S52))</f>
        <v>1.8756908387944374E-2</v>
      </c>
      <c r="AD52" s="52"/>
      <c r="AE52" s="446"/>
      <c r="AF52" s="446"/>
      <c r="AG52" s="447">
        <f>SUM(AG43:AG48,AG42)</f>
        <v>46888.527300000002</v>
      </c>
      <c r="AH52" s="449"/>
      <c r="AI52" s="448">
        <f t="shared" ref="AI52:AI56" si="69">AG52-Z52</f>
        <v>687.13000000000466</v>
      </c>
      <c r="AJ52" s="450">
        <f t="shared" ref="AJ52:AJ56" si="70">IF((Z52)=0,"",(AI52/Z52))</f>
        <v>1.4872493910481895E-2</v>
      </c>
      <c r="AK52" s="52"/>
      <c r="AL52" s="446"/>
      <c r="AM52" s="446"/>
      <c r="AN52" s="447">
        <f>SUM(AN43:AN48,AN42)</f>
        <v>47541.187299999998</v>
      </c>
      <c r="AO52" s="449"/>
      <c r="AP52" s="448">
        <f t="shared" ref="AP52:AP56" si="71">AN52-AG52</f>
        <v>652.65999999999622</v>
      </c>
      <c r="AQ52" s="450">
        <f t="shared" ref="AQ52:AQ56" si="72">IF((AG52)=0,"",(AP52/AG52))</f>
        <v>1.3919396440501901E-2</v>
      </c>
      <c r="AR52" s="451"/>
      <c r="AS52" s="3"/>
      <c r="AT52" s="3"/>
      <c r="AU52" s="3"/>
    </row>
    <row r="53" spans="1:47" ht="12" customHeight="1">
      <c r="A53" s="52"/>
      <c r="B53" s="452" t="s">
        <v>316</v>
      </c>
      <c r="C53" s="320"/>
      <c r="D53" s="320"/>
      <c r="E53" s="320"/>
      <c r="F53" s="445">
        <v>0.13</v>
      </c>
      <c r="G53" s="128"/>
      <c r="H53" s="490">
        <f>H52*F53</f>
        <v>5782.1201035000013</v>
      </c>
      <c r="I53" s="417"/>
      <c r="J53" s="453">
        <v>0.13</v>
      </c>
      <c r="K53" s="417"/>
      <c r="L53" s="400">
        <f>L52*J53</f>
        <v>5921.3410489999997</v>
      </c>
      <c r="M53" s="128"/>
      <c r="N53" s="401">
        <f t="shared" si="63"/>
        <v>139.22094549999838</v>
      </c>
      <c r="O53" s="402">
        <f t="shared" si="64"/>
        <v>2.4077837023088799E-2</v>
      </c>
      <c r="P53" s="52"/>
      <c r="Q53" s="453">
        <v>0.13</v>
      </c>
      <c r="R53" s="417"/>
      <c r="S53" s="400">
        <f>S52*Q53</f>
        <v>5895.5984490000001</v>
      </c>
      <c r="T53" s="128"/>
      <c r="U53" s="401">
        <f t="shared" si="65"/>
        <v>-25.742599999999584</v>
      </c>
      <c r="V53" s="402">
        <f t="shared" si="66"/>
        <v>-4.3474273457609763E-3</v>
      </c>
      <c r="W53" s="52"/>
      <c r="X53" s="453">
        <v>0.13</v>
      </c>
      <c r="Y53" s="417"/>
      <c r="Z53" s="400">
        <f>Z52*X53</f>
        <v>6006.1816490000001</v>
      </c>
      <c r="AA53" s="128"/>
      <c r="AB53" s="401">
        <f t="shared" si="67"/>
        <v>110.58320000000003</v>
      </c>
      <c r="AC53" s="402">
        <f t="shared" si="68"/>
        <v>1.8756908387944388E-2</v>
      </c>
      <c r="AD53" s="52"/>
      <c r="AE53" s="453">
        <v>0.13</v>
      </c>
      <c r="AF53" s="417"/>
      <c r="AG53" s="400">
        <f>AG52*AE53</f>
        <v>6095.5085490000001</v>
      </c>
      <c r="AH53" s="128"/>
      <c r="AI53" s="401">
        <f t="shared" si="69"/>
        <v>89.326900000000023</v>
      </c>
      <c r="AJ53" s="402">
        <f t="shared" si="70"/>
        <v>1.4872493910481798E-2</v>
      </c>
      <c r="AK53" s="52"/>
      <c r="AL53" s="453">
        <v>0.13</v>
      </c>
      <c r="AM53" s="417"/>
      <c r="AN53" s="400">
        <f>AN52*AL53</f>
        <v>6180.3543490000002</v>
      </c>
      <c r="AO53" s="128"/>
      <c r="AP53" s="401">
        <f t="shared" si="71"/>
        <v>84.845800000000054</v>
      </c>
      <c r="AQ53" s="402">
        <f t="shared" si="72"/>
        <v>1.391939644050199E-2</v>
      </c>
      <c r="AR53" s="403"/>
      <c r="AS53" s="3"/>
      <c r="AT53" s="3"/>
      <c r="AU53" s="3"/>
    </row>
    <row r="54" spans="1:47" ht="12" customHeight="1">
      <c r="A54" s="52"/>
      <c r="B54" s="454" t="s">
        <v>393</v>
      </c>
      <c r="C54" s="320"/>
      <c r="D54" s="320"/>
      <c r="E54" s="320"/>
      <c r="F54" s="455"/>
      <c r="G54" s="128"/>
      <c r="H54" s="490">
        <f>H52+H53</f>
        <v>50259.967053500004</v>
      </c>
      <c r="I54" s="417"/>
      <c r="J54" s="417"/>
      <c r="K54" s="417"/>
      <c r="L54" s="400">
        <f>L52+L53</f>
        <v>51470.118348999997</v>
      </c>
      <c r="M54" s="128"/>
      <c r="N54" s="401">
        <f t="shared" si="63"/>
        <v>1210.1512954999926</v>
      </c>
      <c r="O54" s="402">
        <f t="shared" si="64"/>
        <v>2.4077837023088935E-2</v>
      </c>
      <c r="P54" s="52"/>
      <c r="Q54" s="417"/>
      <c r="R54" s="417"/>
      <c r="S54" s="400">
        <f>S52+S53</f>
        <v>51246.355748999995</v>
      </c>
      <c r="T54" s="128"/>
      <c r="U54" s="401">
        <f t="shared" si="65"/>
        <v>-223.76260000000184</v>
      </c>
      <c r="V54" s="402">
        <f t="shared" si="66"/>
        <v>-4.3474273457610822E-3</v>
      </c>
      <c r="W54" s="52"/>
      <c r="X54" s="417"/>
      <c r="Y54" s="417"/>
      <c r="Z54" s="400">
        <f>Z52+Z53</f>
        <v>52207.578948999995</v>
      </c>
      <c r="AA54" s="128"/>
      <c r="AB54" s="401">
        <f t="shared" si="67"/>
        <v>961.22320000000036</v>
      </c>
      <c r="AC54" s="402">
        <f t="shared" si="68"/>
        <v>1.8756908387944391E-2</v>
      </c>
      <c r="AD54" s="52"/>
      <c r="AE54" s="417"/>
      <c r="AF54" s="417"/>
      <c r="AG54" s="400">
        <f>AG52+AG53</f>
        <v>52984.035849</v>
      </c>
      <c r="AH54" s="128"/>
      <c r="AI54" s="401">
        <f t="shared" si="69"/>
        <v>776.45690000000468</v>
      </c>
      <c r="AJ54" s="402">
        <f t="shared" si="70"/>
        <v>1.4872493910481885E-2</v>
      </c>
      <c r="AK54" s="52"/>
      <c r="AL54" s="417"/>
      <c r="AM54" s="417"/>
      <c r="AN54" s="400">
        <f>AN52+AN53</f>
        <v>53721.541648999999</v>
      </c>
      <c r="AO54" s="128"/>
      <c r="AP54" s="401">
        <f t="shared" si="71"/>
        <v>737.505799999999</v>
      </c>
      <c r="AQ54" s="402">
        <f t="shared" si="72"/>
        <v>1.3919396440501964E-2</v>
      </c>
      <c r="AR54" s="403"/>
      <c r="AS54" s="3"/>
      <c r="AT54" s="3"/>
      <c r="AU54" s="3"/>
    </row>
    <row r="55" spans="1:47" ht="12" customHeight="1">
      <c r="A55" s="52"/>
      <c r="B55" s="641"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c r="AS55" s="3"/>
      <c r="AT55" s="3"/>
      <c r="AU55" s="3"/>
    </row>
    <row r="56" spans="1:47" ht="12" customHeight="1">
      <c r="A56" s="52"/>
      <c r="B56" s="642" t="s">
        <v>318</v>
      </c>
      <c r="C56" s="613"/>
      <c r="D56" s="613"/>
      <c r="E56" s="461"/>
      <c r="F56" s="462"/>
      <c r="G56" s="493"/>
      <c r="H56" s="494">
        <f>H54-H55</f>
        <v>50259.967053500004</v>
      </c>
      <c r="I56" s="463"/>
      <c r="J56" s="463"/>
      <c r="K56" s="463"/>
      <c r="L56" s="464">
        <f>L54-L55</f>
        <v>51470.118348999997</v>
      </c>
      <c r="M56" s="465"/>
      <c r="N56" s="466">
        <f t="shared" si="63"/>
        <v>1210.1512954999926</v>
      </c>
      <c r="O56" s="467">
        <f t="shared" si="64"/>
        <v>2.4077837023088935E-2</v>
      </c>
      <c r="P56" s="52"/>
      <c r="Q56" s="463"/>
      <c r="R56" s="463"/>
      <c r="S56" s="464">
        <f>S54-S55</f>
        <v>51246.355748999995</v>
      </c>
      <c r="T56" s="465"/>
      <c r="U56" s="466">
        <f t="shared" si="65"/>
        <v>-223.76260000000184</v>
      </c>
      <c r="V56" s="467">
        <f t="shared" si="66"/>
        <v>-4.3474273457610822E-3</v>
      </c>
      <c r="W56" s="52"/>
      <c r="X56" s="463"/>
      <c r="Y56" s="463"/>
      <c r="Z56" s="464">
        <f>Z54-Z55</f>
        <v>52207.578948999995</v>
      </c>
      <c r="AA56" s="465"/>
      <c r="AB56" s="466">
        <f t="shared" si="67"/>
        <v>961.22320000000036</v>
      </c>
      <c r="AC56" s="467">
        <f t="shared" si="68"/>
        <v>1.8756908387944391E-2</v>
      </c>
      <c r="AD56" s="52"/>
      <c r="AE56" s="463"/>
      <c r="AF56" s="463"/>
      <c r="AG56" s="464">
        <f>AG54-AG55</f>
        <v>52984.035849</v>
      </c>
      <c r="AH56" s="465"/>
      <c r="AI56" s="466">
        <f t="shared" si="69"/>
        <v>776.45690000000468</v>
      </c>
      <c r="AJ56" s="467">
        <f t="shared" si="70"/>
        <v>1.4872493910481885E-2</v>
      </c>
      <c r="AK56" s="52"/>
      <c r="AL56" s="463"/>
      <c r="AM56" s="463"/>
      <c r="AN56" s="464">
        <f>AN54-AN55</f>
        <v>53721.541648999999</v>
      </c>
      <c r="AO56" s="465"/>
      <c r="AP56" s="466">
        <f t="shared" si="71"/>
        <v>737.505799999999</v>
      </c>
      <c r="AQ56" s="467">
        <f t="shared" si="72"/>
        <v>1.3919396440501964E-2</v>
      </c>
      <c r="AR56" s="468"/>
      <c r="AS56" s="3"/>
      <c r="AT56" s="3"/>
      <c r="AU56" s="3"/>
    </row>
    <row r="57" spans="1:47" ht="12" customHeight="1">
      <c r="A57" s="52"/>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3"/>
      <c r="AT57" s="3"/>
      <c r="AU57" s="3"/>
    </row>
    <row r="58" spans="1:47" ht="12" customHeight="1">
      <c r="A58" s="513"/>
      <c r="B58" s="514" t="s">
        <v>319</v>
      </c>
      <c r="C58" s="515"/>
      <c r="D58" s="515"/>
      <c r="E58" s="515"/>
      <c r="F58" s="516"/>
      <c r="G58" s="517"/>
      <c r="H58" s="518">
        <f>SUM(H49:H50,H42,H43:H45)</f>
        <v>16875.645400000005</v>
      </c>
      <c r="I58" s="519"/>
      <c r="J58" s="520"/>
      <c r="K58" s="520"/>
      <c r="L58" s="518">
        <f>SUM(L49:L50,L42,L43:L45)</f>
        <v>17962.595599999997</v>
      </c>
      <c r="M58" s="521"/>
      <c r="N58" s="522">
        <f t="shared" ref="N58:N62" si="73">L58-H58</f>
        <v>1086.950199999992</v>
      </c>
      <c r="O58" s="523">
        <f t="shared" ref="O58:O62" si="74">IF((H58)=0,"",(N58/H58))</f>
        <v>6.4409400306550152E-2</v>
      </c>
      <c r="P58" s="513"/>
      <c r="Q58" s="520"/>
      <c r="R58" s="520"/>
      <c r="S58" s="518">
        <f>SUM(S49:S50,S42,S43:S45)</f>
        <v>17764.575600000004</v>
      </c>
      <c r="T58" s="521"/>
      <c r="U58" s="522">
        <f t="shared" ref="U58:U62" si="75">S58-L58</f>
        <v>-198.01999999999316</v>
      </c>
      <c r="V58" s="523">
        <f t="shared" ref="V58:V62" si="76">IF((L58)=0,"",(U58/L58))</f>
        <v>-1.1024019268128109E-2</v>
      </c>
      <c r="W58" s="513"/>
      <c r="X58" s="520"/>
      <c r="Y58" s="520"/>
      <c r="Z58" s="518">
        <f>SUM(Z49:Z50,Z42,Z43:Z45)</f>
        <v>18615.2156</v>
      </c>
      <c r="AA58" s="521"/>
      <c r="AB58" s="522">
        <f t="shared" ref="AB58:AB62" si="77">Z58-S58</f>
        <v>850.63999999999578</v>
      </c>
      <c r="AC58" s="523">
        <f t="shared" ref="AC58:AC62" si="78">IF((S58)=0,"",(AB58/S58))</f>
        <v>4.7884059780183862E-2</v>
      </c>
      <c r="AD58" s="513"/>
      <c r="AE58" s="520"/>
      <c r="AF58" s="520"/>
      <c r="AG58" s="518">
        <f>SUM(AG49:AG50,AG42,AG43:AG45)</f>
        <v>19302.345600000001</v>
      </c>
      <c r="AH58" s="521"/>
      <c r="AI58" s="522">
        <f t="shared" ref="AI58:AI62" si="79">AG58-Z58</f>
        <v>687.13000000000102</v>
      </c>
      <c r="AJ58" s="523">
        <f t="shared" ref="AJ58:AJ62" si="80">IF((Z58)=0,"",(AI58/Z58))</f>
        <v>3.6912277287833348E-2</v>
      </c>
      <c r="AK58" s="513"/>
      <c r="AL58" s="520"/>
      <c r="AM58" s="520"/>
      <c r="AN58" s="518">
        <f>SUM(AN49:AN50,AN42,AN43:AN45)</f>
        <v>19955.0056</v>
      </c>
      <c r="AO58" s="521"/>
      <c r="AP58" s="522">
        <f t="shared" ref="AP58:AP62" si="81">AN58-AG58</f>
        <v>652.65999999999985</v>
      </c>
      <c r="AQ58" s="523">
        <f t="shared" ref="AQ58:AQ62" si="82">IF((AG58)=0,"",(AP58/AG58))</f>
        <v>3.3812470956897579E-2</v>
      </c>
      <c r="AR58" s="524"/>
      <c r="AS58" s="3"/>
      <c r="AT58" s="3"/>
      <c r="AU58" s="3"/>
    </row>
    <row r="59" spans="1:47" ht="12" customHeight="1">
      <c r="A59" s="513"/>
      <c r="B59" s="525" t="s">
        <v>316</v>
      </c>
      <c r="C59" s="515"/>
      <c r="D59" s="515"/>
      <c r="E59" s="515"/>
      <c r="F59" s="516">
        <v>0.13</v>
      </c>
      <c r="G59" s="517"/>
      <c r="H59" s="526">
        <f>H58*F59</f>
        <v>2193.8339020000008</v>
      </c>
      <c r="I59" s="527"/>
      <c r="J59" s="516">
        <v>0.13</v>
      </c>
      <c r="K59" s="528"/>
      <c r="L59" s="529">
        <f>L58*J59</f>
        <v>2335.1374279999995</v>
      </c>
      <c r="M59" s="530"/>
      <c r="N59" s="531">
        <f t="shared" si="73"/>
        <v>141.30352599999878</v>
      </c>
      <c r="O59" s="532">
        <f t="shared" si="74"/>
        <v>6.4409400306550069E-2</v>
      </c>
      <c r="P59" s="513"/>
      <c r="Q59" s="516">
        <v>0.13</v>
      </c>
      <c r="R59" s="528"/>
      <c r="S59" s="529">
        <f>S58*Q59</f>
        <v>2309.3948280000004</v>
      </c>
      <c r="T59" s="530"/>
      <c r="U59" s="531">
        <f t="shared" si="75"/>
        <v>-25.742599999999129</v>
      </c>
      <c r="V59" s="532">
        <f t="shared" si="76"/>
        <v>-1.1024019268128116E-2</v>
      </c>
      <c r="W59" s="513"/>
      <c r="X59" s="516">
        <v>0.13</v>
      </c>
      <c r="Y59" s="528"/>
      <c r="Z59" s="529">
        <f>Z58*X59</f>
        <v>2419.978028</v>
      </c>
      <c r="AA59" s="530"/>
      <c r="AB59" s="531">
        <f t="shared" si="77"/>
        <v>110.58319999999958</v>
      </c>
      <c r="AC59" s="532">
        <f t="shared" si="78"/>
        <v>4.7884059780183917E-2</v>
      </c>
      <c r="AD59" s="513"/>
      <c r="AE59" s="516">
        <v>0.13</v>
      </c>
      <c r="AF59" s="528"/>
      <c r="AG59" s="529">
        <f>AG58*AE59</f>
        <v>2509.304928</v>
      </c>
      <c r="AH59" s="530"/>
      <c r="AI59" s="531">
        <f t="shared" si="79"/>
        <v>89.326900000000023</v>
      </c>
      <c r="AJ59" s="532">
        <f t="shared" si="80"/>
        <v>3.6912277287833299E-2</v>
      </c>
      <c r="AK59" s="513"/>
      <c r="AL59" s="516">
        <v>0.13</v>
      </c>
      <c r="AM59" s="528"/>
      <c r="AN59" s="529">
        <f>AN58*AL59</f>
        <v>2594.1507280000001</v>
      </c>
      <c r="AO59" s="530"/>
      <c r="AP59" s="531">
        <f t="shared" si="81"/>
        <v>84.845800000000054</v>
      </c>
      <c r="AQ59" s="532">
        <f t="shared" si="82"/>
        <v>3.3812470956897614E-2</v>
      </c>
      <c r="AR59" s="533"/>
      <c r="AS59" s="3"/>
      <c r="AT59" s="3"/>
      <c r="AU59" s="3"/>
    </row>
    <row r="60" spans="1:47" ht="12" customHeight="1">
      <c r="A60" s="513"/>
      <c r="B60" s="534" t="s">
        <v>394</v>
      </c>
      <c r="C60" s="515"/>
      <c r="D60" s="515"/>
      <c r="E60" s="515"/>
      <c r="F60" s="535"/>
      <c r="G60" s="530"/>
      <c r="H60" s="526">
        <f>H58+H59</f>
        <v>19069.479302000007</v>
      </c>
      <c r="I60" s="527"/>
      <c r="J60" s="527"/>
      <c r="K60" s="527"/>
      <c r="L60" s="529">
        <f>L58+L59</f>
        <v>20297.733027999995</v>
      </c>
      <c r="M60" s="530"/>
      <c r="N60" s="531">
        <f t="shared" si="73"/>
        <v>1228.2537259999881</v>
      </c>
      <c r="O60" s="532">
        <f t="shared" si="74"/>
        <v>6.4409400306549999E-2</v>
      </c>
      <c r="P60" s="513"/>
      <c r="Q60" s="527"/>
      <c r="R60" s="527"/>
      <c r="S60" s="529">
        <f>S58+S59</f>
        <v>20073.970428000004</v>
      </c>
      <c r="T60" s="530"/>
      <c r="U60" s="531">
        <f t="shared" si="75"/>
        <v>-223.76259999999093</v>
      </c>
      <c r="V60" s="532">
        <f t="shared" si="76"/>
        <v>-1.1024019268128044E-2</v>
      </c>
      <c r="W60" s="513"/>
      <c r="X60" s="527"/>
      <c r="Y60" s="527"/>
      <c r="Z60" s="529">
        <f>Z58+Z59</f>
        <v>21035.193628000001</v>
      </c>
      <c r="AA60" s="530"/>
      <c r="AB60" s="531">
        <f t="shared" si="77"/>
        <v>961.22319999999672</v>
      </c>
      <c r="AC60" s="532">
        <f t="shared" si="78"/>
        <v>4.7884059780183938E-2</v>
      </c>
      <c r="AD60" s="513"/>
      <c r="AE60" s="527"/>
      <c r="AF60" s="527"/>
      <c r="AG60" s="529">
        <f>AG58+AG59</f>
        <v>21811.650528000002</v>
      </c>
      <c r="AH60" s="530"/>
      <c r="AI60" s="531">
        <f t="shared" si="79"/>
        <v>776.45690000000104</v>
      </c>
      <c r="AJ60" s="532">
        <f t="shared" si="80"/>
        <v>3.6912277287833341E-2</v>
      </c>
      <c r="AK60" s="513"/>
      <c r="AL60" s="527"/>
      <c r="AM60" s="527"/>
      <c r="AN60" s="529">
        <f>AN58+AN59</f>
        <v>22549.156328000001</v>
      </c>
      <c r="AO60" s="530"/>
      <c r="AP60" s="531">
        <f t="shared" si="81"/>
        <v>737.505799999999</v>
      </c>
      <c r="AQ60" s="532">
        <f t="shared" si="82"/>
        <v>3.3812470956897545E-2</v>
      </c>
      <c r="AR60" s="533"/>
      <c r="AS60" s="3"/>
      <c r="AT60" s="3"/>
      <c r="AU60" s="3"/>
    </row>
    <row r="61" spans="1:47" ht="12" customHeight="1">
      <c r="A61" s="513"/>
      <c r="B61" s="643" t="s">
        <v>273</v>
      </c>
      <c r="C61" s="615"/>
      <c r="D61" s="615"/>
      <c r="E61" s="515"/>
      <c r="F61" s="535"/>
      <c r="G61" s="530"/>
      <c r="H61" s="536">
        <f>F61*H58</f>
        <v>0</v>
      </c>
      <c r="I61" s="527"/>
      <c r="J61" s="527"/>
      <c r="K61" s="527"/>
      <c r="L61" s="537">
        <f>J61*L58</f>
        <v>0</v>
      </c>
      <c r="M61" s="530"/>
      <c r="N61" s="538">
        <f t="shared" si="73"/>
        <v>0</v>
      </c>
      <c r="O61" s="539" t="str">
        <f t="shared" si="74"/>
        <v/>
      </c>
      <c r="P61" s="513"/>
      <c r="Q61" s="527"/>
      <c r="R61" s="527"/>
      <c r="S61" s="537">
        <f>Q61*S58</f>
        <v>0</v>
      </c>
      <c r="T61" s="530"/>
      <c r="U61" s="538">
        <f t="shared" si="75"/>
        <v>0</v>
      </c>
      <c r="V61" s="539" t="str">
        <f t="shared" si="76"/>
        <v/>
      </c>
      <c r="W61" s="513"/>
      <c r="X61" s="527"/>
      <c r="Y61" s="527"/>
      <c r="Z61" s="537">
        <f>X61*Z58</f>
        <v>0</v>
      </c>
      <c r="AA61" s="530"/>
      <c r="AB61" s="538">
        <f t="shared" si="77"/>
        <v>0</v>
      </c>
      <c r="AC61" s="539" t="str">
        <f t="shared" si="78"/>
        <v/>
      </c>
      <c r="AD61" s="513"/>
      <c r="AE61" s="527"/>
      <c r="AF61" s="527"/>
      <c r="AG61" s="537">
        <f>AE61*AG58</f>
        <v>0</v>
      </c>
      <c r="AH61" s="530"/>
      <c r="AI61" s="538">
        <f t="shared" si="79"/>
        <v>0</v>
      </c>
      <c r="AJ61" s="539" t="str">
        <f t="shared" si="80"/>
        <v/>
      </c>
      <c r="AK61" s="513"/>
      <c r="AL61" s="527"/>
      <c r="AM61" s="527"/>
      <c r="AN61" s="537">
        <f>AL61*AN58</f>
        <v>0</v>
      </c>
      <c r="AO61" s="530"/>
      <c r="AP61" s="538">
        <f t="shared" si="81"/>
        <v>0</v>
      </c>
      <c r="AQ61" s="539" t="str">
        <f t="shared" si="82"/>
        <v/>
      </c>
      <c r="AR61" s="540"/>
      <c r="AS61" s="3"/>
      <c r="AT61" s="3"/>
      <c r="AU61" s="3"/>
    </row>
    <row r="62" spans="1:47" ht="12" customHeight="1">
      <c r="A62" s="513"/>
      <c r="B62" s="639" t="s">
        <v>321</v>
      </c>
      <c r="C62" s="613"/>
      <c r="D62" s="613"/>
      <c r="E62" s="541"/>
      <c r="F62" s="542"/>
      <c r="G62" s="543"/>
      <c r="H62" s="544">
        <f>H60-H61</f>
        <v>19069.479302000007</v>
      </c>
      <c r="I62" s="545"/>
      <c r="J62" s="545"/>
      <c r="K62" s="545"/>
      <c r="L62" s="546">
        <f>L60-L61</f>
        <v>20297.733027999995</v>
      </c>
      <c r="M62" s="547"/>
      <c r="N62" s="548">
        <f t="shared" si="73"/>
        <v>1228.2537259999881</v>
      </c>
      <c r="O62" s="549">
        <f t="shared" si="74"/>
        <v>6.4409400306549999E-2</v>
      </c>
      <c r="P62" s="513"/>
      <c r="Q62" s="545"/>
      <c r="R62" s="545"/>
      <c r="S62" s="546">
        <f>S60-S61</f>
        <v>20073.970428000004</v>
      </c>
      <c r="T62" s="547"/>
      <c r="U62" s="548">
        <f t="shared" si="75"/>
        <v>-223.76259999999093</v>
      </c>
      <c r="V62" s="549">
        <f t="shared" si="76"/>
        <v>-1.1024019268128044E-2</v>
      </c>
      <c r="W62" s="513"/>
      <c r="X62" s="545"/>
      <c r="Y62" s="545"/>
      <c r="Z62" s="546">
        <f>Z60-Z61</f>
        <v>21035.193628000001</v>
      </c>
      <c r="AA62" s="547"/>
      <c r="AB62" s="548">
        <f t="shared" si="77"/>
        <v>961.22319999999672</v>
      </c>
      <c r="AC62" s="549">
        <f t="shared" si="78"/>
        <v>4.7884059780183938E-2</v>
      </c>
      <c r="AD62" s="513"/>
      <c r="AE62" s="545"/>
      <c r="AF62" s="545"/>
      <c r="AG62" s="546">
        <f>AG60-AG61</f>
        <v>21811.650528000002</v>
      </c>
      <c r="AH62" s="547"/>
      <c r="AI62" s="548">
        <f t="shared" si="79"/>
        <v>776.45690000000104</v>
      </c>
      <c r="AJ62" s="549">
        <f t="shared" si="80"/>
        <v>3.6912277287833341E-2</v>
      </c>
      <c r="AK62" s="513"/>
      <c r="AL62" s="545"/>
      <c r="AM62" s="545"/>
      <c r="AN62" s="546">
        <f>AN60-AN61</f>
        <v>22549.156328000001</v>
      </c>
      <c r="AO62" s="547"/>
      <c r="AP62" s="548">
        <f t="shared" si="81"/>
        <v>737.505799999999</v>
      </c>
      <c r="AQ62" s="549">
        <f t="shared" si="82"/>
        <v>3.3812470956897545E-2</v>
      </c>
      <c r="AR62" s="550"/>
      <c r="AS62" s="3"/>
      <c r="AT62" s="3"/>
      <c r="AU62" s="3"/>
    </row>
    <row r="63" spans="1:47" ht="12" customHeight="1">
      <c r="A63" s="52"/>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3"/>
      <c r="AT63" s="3"/>
      <c r="AU63" s="3"/>
    </row>
    <row r="64" spans="1:47" ht="12" customHeight="1">
      <c r="A64" s="52"/>
      <c r="B64" s="52"/>
      <c r="C64" s="52"/>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3"/>
      <c r="AT64" s="3"/>
      <c r="AU64" s="3"/>
    </row>
    <row r="65" spans="1:47" ht="12" customHeight="1">
      <c r="A65" s="52"/>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3"/>
      <c r="AT65" s="3"/>
      <c r="AU65" s="3"/>
    </row>
    <row r="66" spans="1:47"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3"/>
      <c r="AT66" s="3"/>
      <c r="AU66" s="3"/>
    </row>
    <row r="67" spans="1:47" ht="12" customHeight="1">
      <c r="A67" s="479" t="s">
        <v>395</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3"/>
      <c r="AT67" s="3"/>
      <c r="AU67" s="3"/>
    </row>
    <row r="68" spans="1:47"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3"/>
      <c r="AT68" s="3"/>
      <c r="AU68" s="3"/>
    </row>
    <row r="69" spans="1:47" ht="12" customHeight="1">
      <c r="A69" s="52" t="s">
        <v>324</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3"/>
      <c r="AT69" s="3"/>
      <c r="AU69" s="3"/>
    </row>
    <row r="70" spans="1:47" ht="12" customHeight="1">
      <c r="A70" s="52" t="s">
        <v>325</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3"/>
      <c r="AT70" s="3"/>
      <c r="AU70" s="3"/>
    </row>
    <row r="71" spans="1:47"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3"/>
      <c r="AT71" s="3"/>
      <c r="AU71" s="3"/>
    </row>
    <row r="72" spans="1:47" ht="12" customHeight="1">
      <c r="A72" s="52" t="s">
        <v>326</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3"/>
      <c r="AT72" s="3"/>
      <c r="AU72" s="3"/>
    </row>
    <row r="73" spans="1:47" ht="12" customHeight="1">
      <c r="A73" s="52" t="s">
        <v>327</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3"/>
      <c r="AT73" s="3"/>
      <c r="AU73" s="3"/>
    </row>
    <row r="74" spans="1:47"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3"/>
      <c r="AT74" s="3"/>
      <c r="AU74" s="3"/>
    </row>
    <row r="75" spans="1:47" ht="12" customHeight="1">
      <c r="A75" s="52" t="s">
        <v>328</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3"/>
      <c r="AT75" s="3"/>
      <c r="AU75" s="3"/>
    </row>
    <row r="76" spans="1:47" ht="12" customHeight="1">
      <c r="A76" s="52" t="s">
        <v>329</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3"/>
      <c r="AT76" s="3"/>
      <c r="AU76" s="3"/>
    </row>
    <row r="77" spans="1:47" ht="12" customHeight="1">
      <c r="A77" s="52" t="s">
        <v>330</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3"/>
      <c r="AT77" s="3"/>
      <c r="AU77" s="3"/>
    </row>
    <row r="78" spans="1:47" ht="12" customHeight="1">
      <c r="A78" s="52"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3"/>
      <c r="AT78" s="3"/>
      <c r="AU78" s="3"/>
    </row>
    <row r="79" spans="1:47" ht="12" customHeight="1">
      <c r="A79" s="52" t="s">
        <v>332</v>
      </c>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3"/>
      <c r="AT79" s="3"/>
      <c r="AU79" s="3"/>
    </row>
    <row r="80" spans="1:47"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3"/>
      <c r="AT80" s="3"/>
      <c r="AU80" s="3"/>
    </row>
    <row r="81" spans="1:47"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3"/>
      <c r="AT81" s="3"/>
      <c r="AU81" s="3"/>
    </row>
    <row r="82" spans="1:47"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3"/>
      <c r="AT82" s="3"/>
      <c r="AU82" s="3"/>
    </row>
    <row r="83" spans="1:47"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3"/>
      <c r="AT83" s="3"/>
      <c r="AU83" s="3"/>
    </row>
    <row r="84" spans="1:47"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3"/>
      <c r="AT84" s="3"/>
      <c r="AU84" s="3"/>
    </row>
    <row r="85" spans="1:47"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3"/>
      <c r="AT85" s="3"/>
      <c r="AU85" s="3"/>
    </row>
    <row r="86" spans="1:47"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3"/>
      <c r="AT86" s="3"/>
      <c r="AU86" s="3"/>
    </row>
    <row r="87" spans="1:47"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3"/>
      <c r="AT87" s="3"/>
      <c r="AU87" s="3"/>
    </row>
    <row r="88" spans="1:47"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3"/>
      <c r="AT88" s="3"/>
      <c r="AU88" s="3"/>
    </row>
    <row r="89" spans="1:47"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3"/>
      <c r="AT89" s="3"/>
      <c r="AU89" s="3"/>
    </row>
    <row r="90" spans="1:47"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3"/>
      <c r="AT90" s="3"/>
      <c r="AU90" s="3"/>
    </row>
    <row r="91" spans="1:47"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3"/>
      <c r="AT91" s="3"/>
      <c r="AU91" s="3"/>
    </row>
    <row r="92" spans="1:47"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3"/>
      <c r="AT92" s="3"/>
      <c r="AU92" s="3"/>
    </row>
    <row r="93" spans="1:47"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3"/>
      <c r="AT93" s="3"/>
      <c r="AU93" s="3"/>
    </row>
    <row r="94" spans="1:47"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3"/>
      <c r="AT94" s="3"/>
      <c r="AU94" s="3"/>
    </row>
    <row r="95" spans="1:47"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3"/>
      <c r="AT95" s="3"/>
      <c r="AU95" s="3"/>
    </row>
    <row r="96" spans="1:47"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3"/>
      <c r="AT96" s="3"/>
      <c r="AU96" s="3"/>
    </row>
    <row r="97" spans="1:47"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3"/>
      <c r="AT97" s="3"/>
      <c r="AU97" s="3"/>
    </row>
    <row r="98" spans="1:47"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3"/>
      <c r="AT98" s="3"/>
      <c r="AU98" s="3"/>
    </row>
    <row r="99" spans="1:47"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3"/>
      <c r="AT99" s="3"/>
      <c r="AU99" s="3"/>
    </row>
    <row r="100" spans="1:47"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3"/>
      <c r="AT100" s="3"/>
      <c r="AU100" s="3"/>
    </row>
    <row r="101" spans="1:47"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3"/>
      <c r="AT101" s="3"/>
      <c r="AU101" s="3"/>
    </row>
    <row r="102" spans="1:47"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3"/>
      <c r="AT102" s="3"/>
      <c r="AU102" s="3"/>
    </row>
    <row r="103" spans="1:47"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3"/>
      <c r="AT103" s="3"/>
      <c r="AU103" s="3"/>
    </row>
    <row r="104" spans="1:47"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3"/>
      <c r="AT104" s="3"/>
      <c r="AU104" s="3"/>
    </row>
    <row r="105" spans="1:47"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3"/>
      <c r="AT105" s="3"/>
      <c r="AU105" s="3"/>
    </row>
    <row r="106" spans="1:47"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3"/>
      <c r="AT106" s="3"/>
      <c r="AU106" s="3"/>
    </row>
    <row r="107" spans="1:47"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3"/>
      <c r="AT107" s="3"/>
      <c r="AU107" s="3"/>
    </row>
    <row r="108" spans="1:47"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3"/>
      <c r="AT108" s="3"/>
      <c r="AU108" s="3"/>
    </row>
    <row r="109" spans="1:47"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3"/>
      <c r="AT109" s="3"/>
      <c r="AU109" s="3"/>
    </row>
    <row r="110" spans="1:47"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3"/>
      <c r="AT110" s="3"/>
      <c r="AU110" s="3"/>
    </row>
    <row r="111" spans="1:47"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3"/>
      <c r="AT111" s="3"/>
      <c r="AU111" s="3"/>
    </row>
    <row r="112" spans="1:47"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3"/>
      <c r="AT112" s="3"/>
      <c r="AU112" s="3"/>
    </row>
    <row r="113" spans="1:47"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3"/>
      <c r="AT113" s="3"/>
      <c r="AU113" s="3"/>
    </row>
    <row r="114" spans="1:47"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3"/>
      <c r="AT114" s="3"/>
      <c r="AU114" s="3"/>
    </row>
    <row r="115" spans="1:47"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3"/>
      <c r="AT115" s="3"/>
      <c r="AU115" s="3"/>
    </row>
    <row r="116" spans="1:47"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3"/>
      <c r="AT116" s="3"/>
      <c r="AU116" s="3"/>
    </row>
    <row r="117" spans="1:47"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3"/>
      <c r="AT117" s="3"/>
      <c r="AU117" s="3"/>
    </row>
    <row r="118" spans="1:47"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3"/>
      <c r="AT118" s="3"/>
      <c r="AU118" s="3"/>
    </row>
    <row r="119" spans="1:47"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3"/>
      <c r="AT119" s="3"/>
      <c r="AU119" s="3"/>
    </row>
    <row r="120" spans="1:47"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3"/>
      <c r="AT120" s="3"/>
      <c r="AU120" s="3"/>
    </row>
    <row r="121" spans="1:47"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3"/>
      <c r="AT121" s="3"/>
      <c r="AU121" s="3"/>
    </row>
    <row r="122" spans="1:47"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3"/>
      <c r="AT122" s="3"/>
      <c r="AU122" s="3"/>
    </row>
    <row r="123" spans="1:47"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3"/>
      <c r="AT123" s="3"/>
      <c r="AU123" s="3"/>
    </row>
    <row r="124" spans="1:47"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3"/>
      <c r="AT124" s="3"/>
      <c r="AU124" s="3"/>
    </row>
    <row r="125" spans="1:47"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3"/>
      <c r="AT125" s="3"/>
      <c r="AU125" s="3"/>
    </row>
    <row r="126" spans="1:47"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3"/>
      <c r="AT126" s="3"/>
      <c r="AU126" s="3"/>
    </row>
    <row r="127" spans="1:47"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3"/>
      <c r="AT127" s="3"/>
      <c r="AU127" s="3"/>
    </row>
    <row r="128" spans="1:47"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3"/>
      <c r="AT128" s="3"/>
      <c r="AU128" s="3"/>
    </row>
    <row r="129" spans="1:47"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3"/>
      <c r="AT129" s="3"/>
      <c r="AU129" s="3"/>
    </row>
    <row r="130" spans="1:47"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3"/>
      <c r="AT130" s="3"/>
      <c r="AU130" s="3"/>
    </row>
    <row r="131" spans="1:47"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3"/>
      <c r="AT131" s="3"/>
      <c r="AU131" s="3"/>
    </row>
    <row r="132" spans="1:47"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3"/>
      <c r="AT132" s="3"/>
      <c r="AU132" s="3"/>
    </row>
    <row r="133" spans="1:47"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3"/>
      <c r="AT133" s="3"/>
      <c r="AU133" s="3"/>
    </row>
    <row r="134" spans="1:47"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3"/>
      <c r="AT134" s="3"/>
      <c r="AU134" s="3"/>
    </row>
    <row r="135" spans="1:47"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3"/>
      <c r="AT135" s="3"/>
      <c r="AU135" s="3"/>
    </row>
    <row r="136" spans="1:47"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3"/>
      <c r="AT136" s="3"/>
      <c r="AU136" s="3"/>
    </row>
    <row r="137" spans="1:47"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3"/>
      <c r="AT137" s="3"/>
      <c r="AU137" s="3"/>
    </row>
    <row r="138" spans="1:47"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3"/>
      <c r="AT138" s="3"/>
      <c r="AU138" s="3"/>
    </row>
    <row r="139" spans="1:47"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3"/>
      <c r="AT139" s="3"/>
      <c r="AU139" s="3"/>
    </row>
    <row r="140" spans="1:47"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3"/>
      <c r="AT140" s="3"/>
      <c r="AU140" s="3"/>
    </row>
    <row r="141" spans="1:47"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3"/>
      <c r="AT141" s="3"/>
      <c r="AU141" s="3"/>
    </row>
    <row r="142" spans="1:47"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3"/>
      <c r="AT142" s="3"/>
      <c r="AU142" s="3"/>
    </row>
    <row r="143" spans="1:47"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3"/>
      <c r="AT143" s="3"/>
      <c r="AU143" s="3"/>
    </row>
    <row r="144" spans="1:47"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3"/>
      <c r="AT144" s="3"/>
      <c r="AU144" s="3"/>
    </row>
    <row r="145" spans="1:47"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3"/>
      <c r="AT145" s="3"/>
      <c r="AU145" s="3"/>
    </row>
    <row r="146" spans="1:47"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3"/>
      <c r="AT146" s="3"/>
      <c r="AU146" s="3"/>
    </row>
    <row r="147" spans="1:47"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3"/>
      <c r="AT147" s="3"/>
      <c r="AU147" s="3"/>
    </row>
    <row r="148" spans="1:47"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3"/>
      <c r="AT148" s="3"/>
      <c r="AU148" s="3"/>
    </row>
    <row r="149" spans="1:47"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3"/>
      <c r="AT149" s="3"/>
      <c r="AU149" s="3"/>
    </row>
    <row r="150" spans="1:47"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3"/>
      <c r="AT150" s="3"/>
      <c r="AU150" s="3"/>
    </row>
    <row r="151" spans="1:47"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3"/>
      <c r="AT151" s="3"/>
      <c r="AU151" s="3"/>
    </row>
    <row r="152" spans="1:47"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3"/>
      <c r="AT152" s="3"/>
      <c r="AU152" s="3"/>
    </row>
    <row r="153" spans="1:47"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3"/>
      <c r="AT153" s="3"/>
      <c r="AU153" s="3"/>
    </row>
    <row r="154" spans="1:47"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3"/>
      <c r="AT154" s="3"/>
      <c r="AU154" s="3"/>
    </row>
    <row r="155" spans="1:47"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3"/>
      <c r="AT155" s="3"/>
      <c r="AU155" s="3"/>
    </row>
    <row r="156" spans="1:47"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3"/>
      <c r="AT156" s="3"/>
      <c r="AU156" s="3"/>
    </row>
    <row r="157" spans="1:47"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3"/>
      <c r="AT157" s="3"/>
      <c r="AU157" s="3"/>
    </row>
    <row r="158" spans="1:47"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3"/>
      <c r="AT158" s="3"/>
      <c r="AU158" s="3"/>
    </row>
    <row r="159" spans="1:47"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3"/>
      <c r="AT159" s="3"/>
      <c r="AU159" s="3"/>
    </row>
    <row r="160" spans="1:47"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3"/>
      <c r="AT160" s="3"/>
      <c r="AU160" s="3"/>
    </row>
    <row r="161" spans="1:47"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3"/>
      <c r="AT161" s="3"/>
      <c r="AU161" s="3"/>
    </row>
    <row r="162" spans="1:47"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3"/>
      <c r="AT162" s="3"/>
      <c r="AU162" s="3"/>
    </row>
    <row r="163" spans="1:47"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3"/>
      <c r="AT163" s="3"/>
      <c r="AU163" s="3"/>
    </row>
    <row r="164" spans="1:47"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3"/>
      <c r="AT164" s="3"/>
      <c r="AU164" s="3"/>
    </row>
    <row r="165" spans="1:47"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3"/>
      <c r="AT165" s="3"/>
      <c r="AU165" s="3"/>
    </row>
    <row r="166" spans="1:47"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3"/>
      <c r="AT166" s="3"/>
      <c r="AU166" s="3"/>
    </row>
    <row r="167" spans="1:47"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3"/>
      <c r="AT167" s="3"/>
      <c r="AU167" s="3"/>
    </row>
    <row r="168" spans="1:47"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3"/>
      <c r="AT168" s="3"/>
      <c r="AU168" s="3"/>
    </row>
    <row r="169" spans="1:47"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3"/>
      <c r="AT169" s="3"/>
      <c r="AU169" s="3"/>
    </row>
    <row r="170" spans="1:47"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3"/>
      <c r="AT170" s="3"/>
      <c r="AU170" s="3"/>
    </row>
    <row r="171" spans="1:47"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3"/>
      <c r="AT171" s="3"/>
      <c r="AU171" s="3"/>
    </row>
    <row r="172" spans="1:47"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3"/>
      <c r="AT172" s="3"/>
      <c r="AU172" s="3"/>
    </row>
    <row r="173" spans="1:47"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3"/>
      <c r="AT173" s="3"/>
      <c r="AU173" s="3"/>
    </row>
    <row r="174" spans="1:47"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3"/>
      <c r="AT174" s="3"/>
      <c r="AU174" s="3"/>
    </row>
    <row r="175" spans="1:47"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3"/>
      <c r="AT175" s="3"/>
      <c r="AU175" s="3"/>
    </row>
    <row r="176" spans="1:47"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3"/>
      <c r="AT176" s="3"/>
      <c r="AU176" s="3"/>
    </row>
    <row r="177" spans="1:47"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3"/>
      <c r="AT177" s="3"/>
      <c r="AU177" s="3"/>
    </row>
    <row r="178" spans="1:47"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3"/>
      <c r="AT178" s="3"/>
      <c r="AU178" s="3"/>
    </row>
    <row r="179" spans="1:47"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3"/>
      <c r="AT179" s="3"/>
      <c r="AU179" s="3"/>
    </row>
    <row r="180" spans="1:47"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3"/>
      <c r="AT180" s="3"/>
      <c r="AU180" s="3"/>
    </row>
    <row r="181" spans="1:47"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3"/>
      <c r="AT181" s="3"/>
      <c r="AU181" s="3"/>
    </row>
    <row r="182" spans="1:47"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3"/>
      <c r="AT182" s="3"/>
      <c r="AU182" s="3"/>
    </row>
    <row r="183" spans="1:47"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3"/>
      <c r="AT183" s="3"/>
      <c r="AU183" s="3"/>
    </row>
    <row r="184" spans="1:47"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3"/>
      <c r="AT184" s="3"/>
      <c r="AU184" s="3"/>
    </row>
    <row r="185" spans="1:47"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3"/>
      <c r="AT185" s="3"/>
      <c r="AU185" s="3"/>
    </row>
    <row r="186" spans="1:47"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3"/>
      <c r="AT186" s="3"/>
      <c r="AU186" s="3"/>
    </row>
    <row r="187" spans="1:47"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3"/>
      <c r="AT187" s="3"/>
      <c r="AU187" s="3"/>
    </row>
    <row r="188" spans="1:47"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3"/>
      <c r="AT188" s="3"/>
      <c r="AU188" s="3"/>
    </row>
    <row r="189" spans="1:47"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3"/>
      <c r="AT189" s="3"/>
      <c r="AU189" s="3"/>
    </row>
    <row r="190" spans="1:47"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3"/>
      <c r="AT190" s="3"/>
      <c r="AU190" s="3"/>
    </row>
    <row r="191" spans="1:47"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3"/>
      <c r="AT191" s="3"/>
      <c r="AU191" s="3"/>
    </row>
    <row r="192" spans="1:47"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c r="AS192" s="3"/>
      <c r="AT192" s="3"/>
      <c r="AU192" s="3"/>
    </row>
    <row r="193" spans="1:47"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c r="AS193" s="3"/>
      <c r="AT193" s="3"/>
      <c r="AU193" s="3"/>
    </row>
    <row r="194" spans="1:47"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c r="AS194" s="3"/>
      <c r="AT194" s="3"/>
      <c r="AU194" s="3"/>
    </row>
    <row r="195" spans="1:47"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c r="AS195" s="3"/>
      <c r="AT195" s="3"/>
      <c r="AU195" s="3"/>
    </row>
    <row r="196" spans="1:47"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c r="AS196" s="3"/>
      <c r="AT196" s="3"/>
      <c r="AU196" s="3"/>
    </row>
    <row r="197" spans="1:47"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c r="AS197" s="3"/>
      <c r="AT197" s="3"/>
      <c r="AU197" s="3"/>
    </row>
    <row r="198" spans="1:47"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c r="AS198" s="3"/>
      <c r="AT198" s="3"/>
      <c r="AU198" s="3"/>
    </row>
    <row r="199" spans="1:47"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c r="AS199" s="3"/>
      <c r="AT199" s="3"/>
      <c r="AU199" s="3"/>
    </row>
    <row r="200" spans="1:47"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c r="AS200" s="3"/>
      <c r="AT200" s="3"/>
      <c r="AU200" s="3"/>
    </row>
    <row r="201" spans="1:47"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c r="AS201" s="3"/>
      <c r="AT201" s="3"/>
      <c r="AU201" s="3"/>
    </row>
    <row r="202" spans="1:47"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c r="AS202" s="3"/>
      <c r="AT202" s="3"/>
      <c r="AU202" s="3"/>
    </row>
    <row r="203" spans="1:47"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c r="AS203" s="3"/>
      <c r="AT203" s="3"/>
      <c r="AU203" s="3"/>
    </row>
    <row r="204" spans="1:47"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c r="AS204" s="3"/>
      <c r="AT204" s="3"/>
      <c r="AU204" s="3"/>
    </row>
    <row r="205" spans="1:47"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c r="AS205" s="3"/>
      <c r="AT205" s="3"/>
      <c r="AU205" s="3"/>
    </row>
    <row r="206" spans="1:47"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c r="AS206" s="3"/>
      <c r="AT206" s="3"/>
      <c r="AU206" s="3"/>
    </row>
    <row r="207" spans="1:47"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c r="AS207" s="3"/>
      <c r="AT207" s="3"/>
      <c r="AU207" s="3"/>
    </row>
    <row r="208" spans="1:47"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c r="AS208" s="3"/>
      <c r="AT208" s="3"/>
      <c r="AU208" s="3"/>
    </row>
    <row r="209" spans="1:47"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c r="AS209" s="3"/>
      <c r="AT209" s="3"/>
      <c r="AU209" s="3"/>
    </row>
    <row r="210" spans="1:47"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c r="AS210" s="3"/>
      <c r="AT210" s="3"/>
      <c r="AU210" s="3"/>
    </row>
    <row r="211" spans="1:47"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c r="AS211" s="3"/>
      <c r="AT211" s="3"/>
      <c r="AU211" s="3"/>
    </row>
    <row r="212" spans="1:47"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c r="AS212" s="3"/>
      <c r="AT212" s="3"/>
      <c r="AU212" s="3"/>
    </row>
    <row r="213" spans="1:47"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c r="AS213" s="3"/>
      <c r="AT213" s="3"/>
      <c r="AU213" s="3"/>
    </row>
    <row r="214" spans="1:47"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c r="AS214" s="3"/>
      <c r="AT214" s="3"/>
      <c r="AU214" s="3"/>
    </row>
    <row r="215" spans="1:47"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c r="AS215" s="3"/>
      <c r="AT215" s="3"/>
      <c r="AU215" s="3"/>
    </row>
    <row r="216" spans="1:47"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c r="AS216" s="3"/>
      <c r="AT216" s="3"/>
      <c r="AU216" s="3"/>
    </row>
    <row r="217" spans="1:47"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c r="AS217" s="3"/>
      <c r="AT217" s="3"/>
      <c r="AU217" s="3"/>
    </row>
    <row r="218" spans="1:47"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c r="AS218" s="3"/>
      <c r="AT218" s="3"/>
      <c r="AU218" s="3"/>
    </row>
    <row r="219" spans="1:47"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c r="AS219" s="3"/>
      <c r="AT219" s="3"/>
      <c r="AU219" s="3"/>
    </row>
    <row r="220" spans="1:47"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c r="AS220" s="3"/>
      <c r="AT220" s="3"/>
      <c r="AU220" s="3"/>
    </row>
    <row r="221" spans="1:47"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c r="AS221" s="3"/>
      <c r="AT221" s="3"/>
      <c r="AU221" s="3"/>
    </row>
    <row r="222" spans="1:47"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c r="AS222" s="3"/>
      <c r="AT222" s="3"/>
      <c r="AU222" s="3"/>
    </row>
    <row r="223" spans="1:47"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c r="AS223" s="3"/>
      <c r="AT223" s="3"/>
      <c r="AU223" s="3"/>
    </row>
    <row r="224" spans="1:47"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c r="AS224" s="3"/>
      <c r="AT224" s="3"/>
      <c r="AU224" s="3"/>
    </row>
    <row r="225" spans="1:47"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c r="AS225" s="3"/>
      <c r="AT225" s="3"/>
      <c r="AU225" s="3"/>
    </row>
    <row r="226" spans="1:47"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c r="AS226" s="3"/>
      <c r="AT226" s="3"/>
      <c r="AU226" s="3"/>
    </row>
    <row r="227" spans="1:47"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c r="AS227" s="3"/>
      <c r="AT227" s="3"/>
      <c r="AU227" s="3"/>
    </row>
    <row r="228" spans="1:47"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c r="AS228" s="3"/>
      <c r="AT228" s="3"/>
      <c r="AU228" s="3"/>
    </row>
    <row r="229" spans="1:47"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c r="AS229" s="3"/>
      <c r="AT229" s="3"/>
      <c r="AU229" s="3"/>
    </row>
    <row r="230" spans="1:47"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c r="AS230" s="3"/>
      <c r="AT230" s="3"/>
      <c r="AU230" s="3"/>
    </row>
    <row r="231" spans="1:47"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c r="AS231" s="3"/>
      <c r="AT231" s="3"/>
      <c r="AU231" s="3"/>
    </row>
    <row r="232" spans="1:47"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c r="AS232" s="3"/>
      <c r="AT232" s="3"/>
      <c r="AU232" s="3"/>
    </row>
    <row r="233" spans="1:47"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c r="AS233" s="3"/>
      <c r="AT233" s="3"/>
      <c r="AU233" s="3"/>
    </row>
    <row r="234" spans="1:47"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c r="AS234" s="3"/>
      <c r="AT234" s="3"/>
      <c r="AU234" s="3"/>
    </row>
    <row r="235" spans="1:47"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c r="AS235" s="3"/>
      <c r="AT235" s="3"/>
      <c r="AU235" s="3"/>
    </row>
    <row r="236" spans="1:47"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c r="AS236" s="3"/>
      <c r="AT236" s="3"/>
      <c r="AU236" s="3"/>
    </row>
    <row r="237" spans="1:47"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c r="AS237" s="3"/>
      <c r="AT237" s="3"/>
      <c r="AU237" s="3"/>
    </row>
    <row r="238" spans="1:47"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c r="AS238" s="3"/>
      <c r="AT238" s="3"/>
      <c r="AU238" s="3"/>
    </row>
    <row r="239" spans="1:47"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c r="AS239" s="3"/>
      <c r="AT239" s="3"/>
      <c r="AU239" s="3"/>
    </row>
    <row r="240" spans="1:47"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c r="AS240" s="3"/>
      <c r="AT240" s="3"/>
      <c r="AU240" s="3"/>
    </row>
    <row r="241" spans="1:47"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c r="AS241" s="3"/>
      <c r="AT241" s="3"/>
      <c r="AU241" s="3"/>
    </row>
    <row r="242" spans="1:47"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c r="AS242" s="3"/>
      <c r="AT242" s="3"/>
      <c r="AU242" s="3"/>
    </row>
    <row r="243" spans="1:47"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c r="AS243" s="3"/>
      <c r="AT243" s="3"/>
      <c r="AU243" s="3"/>
    </row>
    <row r="244" spans="1:47"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c r="AS244" s="3"/>
      <c r="AT244" s="3"/>
      <c r="AU244" s="3"/>
    </row>
    <row r="245" spans="1:47"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c r="AS245" s="3"/>
      <c r="AT245" s="3"/>
      <c r="AU245" s="3"/>
    </row>
    <row r="246" spans="1:47"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c r="AS246" s="3"/>
      <c r="AT246" s="3"/>
      <c r="AU246" s="3"/>
    </row>
    <row r="247" spans="1:47"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c r="AS247" s="3"/>
      <c r="AT247" s="3"/>
      <c r="AU247" s="3"/>
    </row>
    <row r="248" spans="1:47"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c r="AS248" s="3"/>
      <c r="AT248" s="3"/>
      <c r="AU248" s="3"/>
    </row>
    <row r="249" spans="1:47"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c r="AS249" s="3"/>
      <c r="AT249" s="3"/>
      <c r="AU249" s="3"/>
    </row>
    <row r="250" spans="1:47"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c r="AS250" s="3"/>
      <c r="AT250" s="3"/>
      <c r="AU250" s="3"/>
    </row>
    <row r="251" spans="1:47"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c r="AS251" s="3"/>
      <c r="AT251" s="3"/>
      <c r="AU251" s="3"/>
    </row>
    <row r="252" spans="1:47"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c r="AS252" s="3"/>
      <c r="AT252" s="3"/>
      <c r="AU252" s="3"/>
    </row>
    <row r="253" spans="1:47"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c r="AS253" s="3"/>
      <c r="AT253" s="3"/>
      <c r="AU253" s="3"/>
    </row>
    <row r="254" spans="1:47"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c r="AS254" s="3"/>
      <c r="AT254" s="3"/>
      <c r="AU254" s="3"/>
    </row>
    <row r="255" spans="1:47"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c r="AS255" s="3"/>
      <c r="AT255" s="3"/>
      <c r="AU255" s="3"/>
    </row>
    <row r="256" spans="1:47"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c r="AS256" s="3"/>
      <c r="AT256" s="3"/>
      <c r="AU256" s="3"/>
    </row>
    <row r="257" spans="1:47"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c r="AS257" s="3"/>
      <c r="AT257" s="3"/>
      <c r="AU257" s="3"/>
    </row>
    <row r="258" spans="1:47"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c r="AS258" s="3"/>
      <c r="AT258" s="3"/>
      <c r="AU258" s="3"/>
    </row>
    <row r="259" spans="1:47"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c r="AS259" s="3"/>
      <c r="AT259" s="3"/>
      <c r="AU259" s="3"/>
    </row>
    <row r="260" spans="1:47"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c r="AS260" s="3"/>
      <c r="AT260" s="3"/>
      <c r="AU260" s="3"/>
    </row>
    <row r="261" spans="1:47"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c r="AS261" s="3"/>
      <c r="AT261" s="3"/>
      <c r="AU261" s="3"/>
    </row>
    <row r="262" spans="1:47"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c r="AS262" s="3"/>
      <c r="AT262" s="3"/>
      <c r="AU262" s="3"/>
    </row>
    <row r="263" spans="1:47"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c r="AS263" s="3"/>
      <c r="AT263" s="3"/>
      <c r="AU263" s="3"/>
    </row>
    <row r="264" spans="1:47"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c r="AS264" s="3"/>
      <c r="AT264" s="3"/>
      <c r="AU264" s="3"/>
    </row>
    <row r="265" spans="1:47"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c r="AS265" s="3"/>
      <c r="AT265" s="3"/>
      <c r="AU265" s="3"/>
    </row>
    <row r="266" spans="1:47"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c r="AS266" s="3"/>
      <c r="AT266" s="3"/>
      <c r="AU266" s="3"/>
    </row>
    <row r="267" spans="1:47"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c r="AS267" s="3"/>
      <c r="AT267" s="3"/>
      <c r="AU267" s="3"/>
    </row>
    <row r="268" spans="1:47"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c r="AS268" s="3"/>
      <c r="AT268" s="3"/>
      <c r="AU268" s="3"/>
    </row>
    <row r="269" spans="1:47"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c r="AS269" s="3"/>
      <c r="AT269" s="3"/>
      <c r="AU269" s="3"/>
    </row>
    <row r="270" spans="1:47"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c r="AS270" s="3"/>
      <c r="AT270" s="3"/>
      <c r="AU270" s="3"/>
    </row>
    <row r="271" spans="1:47"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c r="AS271" s="3"/>
      <c r="AT271" s="3"/>
      <c r="AU271" s="3"/>
    </row>
    <row r="272" spans="1:47"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c r="AS272" s="3"/>
      <c r="AT272" s="3"/>
      <c r="AU272" s="3"/>
    </row>
    <row r="273" spans="1:47"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c r="AS273" s="3"/>
      <c r="AT273" s="3"/>
      <c r="AU273" s="3"/>
    </row>
    <row r="274" spans="1:47"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c r="AS274" s="3"/>
      <c r="AT274" s="3"/>
      <c r="AU274" s="3"/>
    </row>
    <row r="275" spans="1:47"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c r="AS275" s="3"/>
      <c r="AT275" s="3"/>
      <c r="AU275" s="3"/>
    </row>
    <row r="276" spans="1:47"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3"/>
      <c r="AS276" s="3"/>
      <c r="AT276" s="3"/>
      <c r="AU276" s="3"/>
    </row>
    <row r="277" spans="1:47"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3"/>
      <c r="AS277" s="3"/>
      <c r="AT277" s="3"/>
      <c r="AU277" s="3"/>
    </row>
    <row r="278" spans="1:47"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3"/>
      <c r="AS278" s="3"/>
      <c r="AT278" s="3"/>
      <c r="AU278" s="3"/>
    </row>
    <row r="279" spans="1:47"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3"/>
      <c r="AS279" s="3"/>
      <c r="AT279" s="3"/>
      <c r="AU279" s="3"/>
    </row>
    <row r="280" spans="1:47"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3"/>
      <c r="AS280" s="3"/>
      <c r="AT280" s="3"/>
      <c r="AU280" s="3"/>
    </row>
    <row r="281" spans="1:47"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3"/>
      <c r="AS281" s="3"/>
      <c r="AT281" s="3"/>
      <c r="AU281" s="3"/>
    </row>
    <row r="282" spans="1:47"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3"/>
      <c r="AS282" s="3"/>
      <c r="AT282" s="3"/>
      <c r="AU282" s="3"/>
    </row>
    <row r="283" spans="1:47"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3"/>
      <c r="AS283" s="3"/>
      <c r="AT283" s="3"/>
      <c r="AU283" s="3"/>
    </row>
    <row r="284" spans="1:47" ht="15.75" customHeight="1"/>
    <row r="285" spans="1:47" ht="15.75" customHeight="1"/>
    <row r="286" spans="1:47" ht="15.75" customHeight="1"/>
    <row r="287" spans="1:47" ht="15.75" customHeight="1"/>
    <row r="288" spans="1:4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D00-000000000000}">
      <formula1>"TOU,non-TOU"</formula1>
    </dataValidation>
    <dataValidation type="list" allowBlank="1" showErrorMessage="1" sqref="E15:E28 E30:E38 E40:E41 E43:E51 E57 E63" xr:uid="{00000000-0002-0000-1D00-000001000000}">
      <formula1>#REF!</formula1>
    </dataValidation>
    <dataValidation type="list" allowBlank="1" showInputMessage="1" showErrorMessage="1" prompt="Select Charge Unit - monthly, per kWh, per kW" sqref="D15:D28 D30:D38 D40:D41 D43:D51 D57 D63" xr:uid="{00000000-0002-0000-1D00-000002000000}">
      <formula1>"Monthly,per kWh,per kW"</formula1>
    </dataValidation>
  </dataValidations>
  <pageMargins left="0.74803149606299213" right="0.74803149606299213" top="0.98425196850393704" bottom="0.98425196850393704"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V1000"/>
  <sheetViews>
    <sheetView showGridLines="0" workbookViewId="0">
      <pane ySplit="14" topLeftCell="A69"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0.28515625" customWidth="1"/>
    <col min="8" max="8" width="13" customWidth="1"/>
    <col min="9" max="9" width="1.42578125" customWidth="1"/>
    <col min="10" max="10" width="11" customWidth="1"/>
    <col min="11" max="11" width="10.28515625" customWidth="1"/>
    <col min="12" max="12" width="13" customWidth="1"/>
    <col min="13" max="13" width="1.42578125" customWidth="1"/>
    <col min="14" max="14" width="11" customWidth="1"/>
    <col min="15" max="15" width="10" customWidth="1"/>
    <col min="16" max="16" width="1.7109375" customWidth="1"/>
    <col min="17" max="17" width="11" customWidth="1"/>
    <col min="18" max="18" width="10.28515625" customWidth="1"/>
    <col min="19" max="19" width="13" customWidth="1"/>
    <col min="20" max="20" width="0.42578125" customWidth="1"/>
    <col min="21" max="21" width="11" customWidth="1"/>
    <col min="22" max="22" width="10" customWidth="1"/>
    <col min="23" max="23" width="2.28515625" customWidth="1"/>
    <col min="24" max="24" width="11" customWidth="1"/>
    <col min="25" max="25" width="10.28515625" customWidth="1"/>
    <col min="26" max="26" width="13" customWidth="1"/>
    <col min="27" max="27" width="0.42578125" customWidth="1"/>
    <col min="28" max="28" width="11" customWidth="1"/>
    <col min="29" max="29" width="10" customWidth="1"/>
    <col min="30" max="30" width="2.140625" customWidth="1"/>
    <col min="31" max="31" width="11" customWidth="1"/>
    <col min="32" max="32" width="10.28515625" customWidth="1"/>
    <col min="33" max="33" width="13" customWidth="1"/>
    <col min="34" max="34" width="0.42578125" customWidth="1"/>
    <col min="35" max="35" width="11" customWidth="1"/>
    <col min="36" max="36" width="10" customWidth="1"/>
    <col min="37" max="37" width="0.7109375" customWidth="1"/>
    <col min="38" max="38" width="11" customWidth="1"/>
    <col min="39" max="39" width="10.28515625" customWidth="1"/>
    <col min="40" max="40" width="13" customWidth="1"/>
    <col min="41" max="41" width="1.28515625" customWidth="1"/>
    <col min="42" max="42" width="11" customWidth="1"/>
    <col min="43" max="43" width="10" customWidth="1"/>
    <col min="44" max="44" width="1.28515625" customWidth="1"/>
    <col min="45" max="48" width="12.42578125" customWidth="1"/>
  </cols>
  <sheetData>
    <row r="1" spans="1:48" ht="7.5" customHeight="1">
      <c r="A1" s="52"/>
      <c r="B1" s="52"/>
      <c r="C1" s="555"/>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3"/>
      <c r="AT1" s="3"/>
      <c r="AU1" s="3"/>
      <c r="AV1" s="3"/>
    </row>
    <row r="2" spans="1:48" ht="18.75" customHeight="1">
      <c r="A2" s="52"/>
      <c r="B2" s="52"/>
      <c r="C2" s="556"/>
      <c r="D2" s="379"/>
      <c r="E2" s="379"/>
      <c r="F2" s="379" t="s">
        <v>291</v>
      </c>
      <c r="G2" s="379"/>
      <c r="H2" s="379"/>
      <c r="I2" s="379"/>
      <c r="J2" s="379"/>
      <c r="K2" s="379"/>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3"/>
      <c r="AT2" s="3"/>
      <c r="AU2" s="3"/>
      <c r="AV2" s="3"/>
    </row>
    <row r="3" spans="1:48" ht="18.75" customHeight="1">
      <c r="A3" s="52"/>
      <c r="B3" s="52"/>
      <c r="C3" s="556"/>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c r="AU3" s="3"/>
      <c r="AV3" s="3"/>
    </row>
    <row r="4" spans="1:48" ht="7.5" customHeight="1">
      <c r="A4" s="52"/>
      <c r="B4" s="52"/>
      <c r="C4" s="555"/>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c r="AU4" s="3"/>
      <c r="AV4" s="3"/>
    </row>
    <row r="5" spans="1:48" ht="7.5" customHeight="1">
      <c r="A5" s="52"/>
      <c r="B5" s="52"/>
      <c r="C5" s="555"/>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c r="AU5" s="3"/>
      <c r="AV5" s="3"/>
    </row>
    <row r="6" spans="1:48" ht="12.75" customHeight="1">
      <c r="A6" s="52"/>
      <c r="B6" s="319" t="s">
        <v>294</v>
      </c>
      <c r="C6" s="555"/>
      <c r="D6" s="505" t="s">
        <v>222</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row>
    <row r="7" spans="1:48"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c r="AV7" s="3"/>
    </row>
    <row r="8" spans="1:48"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3"/>
      <c r="AT8" s="3"/>
      <c r="AU8" s="3"/>
      <c r="AV8" s="3"/>
    </row>
    <row r="9" spans="1:48" ht="12.75" customHeight="1">
      <c r="A9" s="52"/>
      <c r="B9" s="383"/>
      <c r="C9" s="555"/>
      <c r="D9" s="306" t="s">
        <v>297</v>
      </c>
      <c r="E9" s="306"/>
      <c r="F9" s="386">
        <v>891400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3"/>
      <c r="AT9" s="3"/>
      <c r="AU9" s="3"/>
      <c r="AV9" s="3"/>
    </row>
    <row r="10" spans="1:48" ht="12.75" customHeight="1">
      <c r="A10" s="52"/>
      <c r="B10" s="52"/>
      <c r="C10" s="555"/>
      <c r="D10" s="52"/>
      <c r="E10" s="52"/>
      <c r="F10" s="386">
        <v>1925</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3"/>
      <c r="AT10" s="3"/>
      <c r="AU10" s="3"/>
      <c r="AV10" s="3"/>
    </row>
    <row r="11" spans="1:48" ht="12.75" customHeight="1">
      <c r="A11" s="52"/>
      <c r="B11" s="52"/>
      <c r="C11" s="555"/>
      <c r="D11" s="3"/>
      <c r="E11" s="3"/>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
      <c r="AT11" s="3"/>
      <c r="AU11" s="3"/>
      <c r="AV11" s="3"/>
    </row>
    <row r="12" spans="1:48"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3"/>
      <c r="AT12" s="3"/>
      <c r="AU12" s="3"/>
      <c r="AV12" s="3"/>
    </row>
    <row r="13" spans="1:48"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
      <c r="AT13" s="3"/>
      <c r="AU13" s="3"/>
      <c r="AV13" s="3"/>
    </row>
    <row r="14" spans="1:48"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
      <c r="AT14" s="3"/>
      <c r="AU14" s="3"/>
      <c r="AV14" s="3"/>
    </row>
    <row r="15" spans="1:48" ht="12.75" customHeight="1">
      <c r="A15" s="52"/>
      <c r="B15" s="320" t="s">
        <v>218</v>
      </c>
      <c r="C15" s="395" t="str">
        <f t="shared" ref="C15:C28" si="0">D$6&amp;"."&amp;B15</f>
        <v>General Service 1,500 to 4,999 KW.Monthly Service Charge</v>
      </c>
      <c r="D15" s="396" t="s">
        <v>306</v>
      </c>
      <c r="E15" s="320"/>
      <c r="F15" s="397">
        <f>IFERROR(VLOOKUP($C15,'Proposed Rates'!$B:$J,F$11,FALSE),0)</f>
        <v>4126.75</v>
      </c>
      <c r="G15" s="415">
        <f t="shared" ref="G15:G28" si="1">IF($D15="Monthly",1,IF($D15="per KW",$F$10,IF($D15="per kWh",$F$9,0)))</f>
        <v>1</v>
      </c>
      <c r="H15" s="400">
        <f t="shared" ref="H15:H28" si="2">G15*F15</f>
        <v>4126.75</v>
      </c>
      <c r="I15" s="128"/>
      <c r="J15" s="397">
        <f>IFERROR(VLOOKUP($C15,'Proposed Rates'!$B:$J,J$11,FALSE),0)</f>
        <v>4126.75</v>
      </c>
      <c r="K15" s="415">
        <f t="shared" ref="K15:K28" si="3">IF($D15="Monthly",1,IF($D15="per KW",$F$10,IF($D15="per kWh",$F$9,0)))</f>
        <v>1</v>
      </c>
      <c r="L15" s="400">
        <f t="shared" ref="L15:L28" si="4">K15*J15</f>
        <v>4126.75</v>
      </c>
      <c r="M15" s="128"/>
      <c r="N15" s="401">
        <f t="shared" ref="N15:N46" si="5">L15-H15</f>
        <v>0</v>
      </c>
      <c r="O15" s="402">
        <f t="shared" ref="O15:O46" si="6">IF((H15)=0,"",(N15/H15))</f>
        <v>0</v>
      </c>
      <c r="P15" s="52"/>
      <c r="Q15" s="397">
        <f>IFERROR(VLOOKUP($C15,'Proposed Rates'!$B:$J,Q$11,FALSE),0)</f>
        <v>4126.75</v>
      </c>
      <c r="R15" s="415">
        <f t="shared" ref="R15:R28" si="7">IF($D15="Monthly",1,IF($D15="per KW",$F$10,IF($D15="per kWh",$F$9,0)))</f>
        <v>1</v>
      </c>
      <c r="S15" s="400">
        <f t="shared" ref="S15:S28" si="8">R15*Q15</f>
        <v>4126.75</v>
      </c>
      <c r="T15" s="128"/>
      <c r="U15" s="401">
        <f t="shared" ref="U15:U31" si="9">S15-L15</f>
        <v>0</v>
      </c>
      <c r="V15" s="402">
        <f t="shared" ref="V15:V31" si="10">IF((L15)=0,"",(U15/L15))</f>
        <v>0</v>
      </c>
      <c r="W15" s="52"/>
      <c r="X15" s="397">
        <f>IFERROR(VLOOKUP($C15,'Proposed Rates'!$B:$J,X$11,FALSE),0)</f>
        <v>4126.75</v>
      </c>
      <c r="Y15" s="415">
        <f t="shared" ref="Y15:Y28" si="11">IF($D15="Monthly",1,IF($D15="per KW",$F$10,IF($D15="per kWh",$F$9,0)))</f>
        <v>1</v>
      </c>
      <c r="Z15" s="400">
        <f t="shared" ref="Z15:Z28" si="12">Y15*X15</f>
        <v>4126.75</v>
      </c>
      <c r="AA15" s="128"/>
      <c r="AB15" s="401">
        <f t="shared" ref="AB15:AB46" si="13">Z15-S15</f>
        <v>0</v>
      </c>
      <c r="AC15" s="402">
        <f t="shared" ref="AC15:AC46" si="14">IF((S15)=0,"",(AB15/S15))</f>
        <v>0</v>
      </c>
      <c r="AD15" s="52"/>
      <c r="AE15" s="397">
        <f>IFERROR(VLOOKUP($C15,'Proposed Rates'!$B:$J,AE$11,FALSE),0)</f>
        <v>4126.75</v>
      </c>
      <c r="AF15" s="415">
        <f t="shared" ref="AF15:AF28" si="15">IF($D15="Monthly",1,IF($D15="per KW",$F$10,IF($D15="per kWh",$F$9,0)))</f>
        <v>1</v>
      </c>
      <c r="AG15" s="400">
        <f t="shared" ref="AG15:AG28" si="16">AF15*AE15</f>
        <v>4126.75</v>
      </c>
      <c r="AH15" s="128"/>
      <c r="AI15" s="401">
        <f t="shared" ref="AI15:AI46" si="17">AG15-Z15</f>
        <v>0</v>
      </c>
      <c r="AJ15" s="402">
        <f t="shared" ref="AJ15:AJ46" si="18">IF((Z15)=0,"",(AI15/Z15))</f>
        <v>0</v>
      </c>
      <c r="AK15" s="52"/>
      <c r="AL15" s="397">
        <f>IFERROR(VLOOKUP($C15,'Proposed Rates'!$B:$J,AL$11,FALSE),0)</f>
        <v>4126.75</v>
      </c>
      <c r="AM15" s="415">
        <f t="shared" ref="AM15:AM28" si="19">IF($D15="Monthly",1,IF($D15="per KW",$F$10,IF($D15="per kWh",$F$9,0)))</f>
        <v>1</v>
      </c>
      <c r="AN15" s="400">
        <f t="shared" ref="AN15:AN28" si="20">AM15*AL15</f>
        <v>4126.75</v>
      </c>
      <c r="AO15" s="128"/>
      <c r="AP15" s="401">
        <f t="shared" ref="AP15:AP46" si="21">AN15-AG15</f>
        <v>0</v>
      </c>
      <c r="AQ15" s="402">
        <f t="shared" ref="AQ15:AQ46" si="22">IF((AG15)=0,"",(AP15/AG15))</f>
        <v>0</v>
      </c>
      <c r="AR15" s="403"/>
      <c r="AS15" s="3"/>
      <c r="AT15" s="3"/>
      <c r="AU15" s="3"/>
      <c r="AV15" s="3"/>
    </row>
    <row r="16" spans="1:48" ht="12.75" customHeight="1">
      <c r="A16" s="52"/>
      <c r="B16" s="320" t="s">
        <v>307</v>
      </c>
      <c r="C16" s="395" t="str">
        <f t="shared" si="0"/>
        <v>General Service 1,500 to 4,999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c r="AS16" s="3"/>
      <c r="AT16" s="3"/>
      <c r="AU16" s="3"/>
      <c r="AV16" s="3"/>
    </row>
    <row r="17" spans="1:48" ht="12.75" customHeight="1">
      <c r="A17" s="52"/>
      <c r="B17" s="404" t="str">
        <f>'Proposed Rates'!C115</f>
        <v>Rate Rider Calculation for PILs</v>
      </c>
      <c r="C17" s="395" t="str">
        <f t="shared" si="0"/>
        <v>General Service 1,500 to 4,999 KW.Rate Rider Calculation for PILs</v>
      </c>
      <c r="D17" s="396" t="s">
        <v>377</v>
      </c>
      <c r="E17" s="320"/>
      <c r="F17" s="397">
        <f>IFERROR(VLOOKUP($C17,'Proposed Rates'!$B:$J,F$11,FALSE),0)</f>
        <v>0</v>
      </c>
      <c r="G17" s="415">
        <f t="shared" si="1"/>
        <v>1925</v>
      </c>
      <c r="H17" s="400">
        <f t="shared" si="2"/>
        <v>0</v>
      </c>
      <c r="I17" s="128"/>
      <c r="J17" s="397">
        <f>IFERROR(VLOOKUP($C17,'Proposed Rates'!$B:$J,J$11,FALSE),0)</f>
        <v>0</v>
      </c>
      <c r="K17" s="415">
        <f t="shared" si="3"/>
        <v>1925</v>
      </c>
      <c r="L17" s="400">
        <f t="shared" si="4"/>
        <v>0</v>
      </c>
      <c r="M17" s="128"/>
      <c r="N17" s="401">
        <f t="shared" si="5"/>
        <v>0</v>
      </c>
      <c r="O17" s="402" t="str">
        <f t="shared" si="6"/>
        <v/>
      </c>
      <c r="P17" s="52"/>
      <c r="Q17" s="397">
        <f>IFERROR(VLOOKUP($C17,'Proposed Rates'!$B:$J,Q$11,FALSE),0)</f>
        <v>0</v>
      </c>
      <c r="R17" s="415">
        <f t="shared" si="7"/>
        <v>1925</v>
      </c>
      <c r="S17" s="400">
        <f t="shared" si="8"/>
        <v>0</v>
      </c>
      <c r="T17" s="128"/>
      <c r="U17" s="401">
        <f t="shared" si="9"/>
        <v>0</v>
      </c>
      <c r="V17" s="402" t="str">
        <f t="shared" si="10"/>
        <v/>
      </c>
      <c r="W17" s="52"/>
      <c r="X17" s="397">
        <f>IFERROR(VLOOKUP($C17,'Proposed Rates'!$B:$J,X$11,FALSE),0)</f>
        <v>0</v>
      </c>
      <c r="Y17" s="415">
        <f t="shared" si="11"/>
        <v>1925</v>
      </c>
      <c r="Z17" s="400">
        <f t="shared" si="12"/>
        <v>0</v>
      </c>
      <c r="AA17" s="128"/>
      <c r="AB17" s="401">
        <f t="shared" si="13"/>
        <v>0</v>
      </c>
      <c r="AC17" s="402" t="str">
        <f t="shared" si="14"/>
        <v/>
      </c>
      <c r="AD17" s="52"/>
      <c r="AE17" s="397">
        <f>IFERROR(VLOOKUP($C17,'Proposed Rates'!$B:$J,AE$11,FALSE),0)</f>
        <v>0</v>
      </c>
      <c r="AF17" s="415">
        <f t="shared" si="15"/>
        <v>1925</v>
      </c>
      <c r="AG17" s="400">
        <f t="shared" si="16"/>
        <v>0</v>
      </c>
      <c r="AH17" s="128"/>
      <c r="AI17" s="401">
        <f t="shared" si="17"/>
        <v>0</v>
      </c>
      <c r="AJ17" s="402" t="str">
        <f t="shared" si="18"/>
        <v/>
      </c>
      <c r="AK17" s="52"/>
      <c r="AL17" s="397">
        <f>IFERROR(VLOOKUP($C17,'Proposed Rates'!$B:$J,AL$11,FALSE),0)</f>
        <v>0</v>
      </c>
      <c r="AM17" s="415">
        <f t="shared" si="19"/>
        <v>1925</v>
      </c>
      <c r="AN17" s="400">
        <f t="shared" si="20"/>
        <v>0</v>
      </c>
      <c r="AO17" s="128"/>
      <c r="AP17" s="401">
        <f t="shared" si="21"/>
        <v>0</v>
      </c>
      <c r="AQ17" s="402" t="str">
        <f t="shared" si="22"/>
        <v/>
      </c>
      <c r="AR17" s="403"/>
      <c r="AS17" s="3"/>
      <c r="AT17" s="3"/>
      <c r="AU17" s="3"/>
      <c r="AV17" s="3"/>
    </row>
    <row r="18" spans="1:48" ht="12.75" customHeight="1">
      <c r="A18" s="52"/>
      <c r="B18" s="404" t="str">
        <f>'Proposed Rates'!C128</f>
        <v>Rate Rider Calculation for Generic</v>
      </c>
      <c r="C18" s="395" t="str">
        <f t="shared" si="0"/>
        <v>General Service 1,500 to 4,999 KW.Rate Rider Calculation for Generic</v>
      </c>
      <c r="D18" s="396" t="s">
        <v>377</v>
      </c>
      <c r="E18" s="320"/>
      <c r="F18" s="397">
        <f>IFERROR(VLOOKUP($C18,'Proposed Rates'!$B:$J,F$11,FALSE),0)</f>
        <v>0</v>
      </c>
      <c r="G18" s="415">
        <f t="shared" si="1"/>
        <v>1925</v>
      </c>
      <c r="H18" s="400">
        <f t="shared" si="2"/>
        <v>0</v>
      </c>
      <c r="I18" s="128"/>
      <c r="J18" s="397">
        <f>IFERROR(VLOOKUP($C18,'Proposed Rates'!$B:$J,J$11,FALSE),0)</f>
        <v>0</v>
      </c>
      <c r="K18" s="415">
        <f t="shared" si="3"/>
        <v>1925</v>
      </c>
      <c r="L18" s="400">
        <f t="shared" si="4"/>
        <v>0</v>
      </c>
      <c r="M18" s="128"/>
      <c r="N18" s="401">
        <f t="shared" si="5"/>
        <v>0</v>
      </c>
      <c r="O18" s="402" t="str">
        <f t="shared" si="6"/>
        <v/>
      </c>
      <c r="P18" s="52"/>
      <c r="Q18" s="397">
        <f>IFERROR(VLOOKUP($C18,'Proposed Rates'!$B:$J,Q$11,FALSE),0)</f>
        <v>0</v>
      </c>
      <c r="R18" s="415">
        <f t="shared" si="7"/>
        <v>1925</v>
      </c>
      <c r="S18" s="400">
        <f t="shared" si="8"/>
        <v>0</v>
      </c>
      <c r="T18" s="128"/>
      <c r="U18" s="401">
        <f t="shared" si="9"/>
        <v>0</v>
      </c>
      <c r="V18" s="402" t="str">
        <f t="shared" si="10"/>
        <v/>
      </c>
      <c r="W18" s="52"/>
      <c r="X18" s="397">
        <f>IFERROR(VLOOKUP($C18,'Proposed Rates'!$B:$J,X$11,FALSE),0)</f>
        <v>0</v>
      </c>
      <c r="Y18" s="415">
        <f t="shared" si="11"/>
        <v>1925</v>
      </c>
      <c r="Z18" s="400">
        <f t="shared" si="12"/>
        <v>0</v>
      </c>
      <c r="AA18" s="128"/>
      <c r="AB18" s="401">
        <f t="shared" si="13"/>
        <v>0</v>
      </c>
      <c r="AC18" s="402" t="str">
        <f t="shared" si="14"/>
        <v/>
      </c>
      <c r="AD18" s="52"/>
      <c r="AE18" s="397">
        <f>IFERROR(VLOOKUP($C18,'Proposed Rates'!$B:$J,AE$11,FALSE),0)</f>
        <v>0</v>
      </c>
      <c r="AF18" s="415">
        <f t="shared" si="15"/>
        <v>1925</v>
      </c>
      <c r="AG18" s="400">
        <f t="shared" si="16"/>
        <v>0</v>
      </c>
      <c r="AH18" s="128"/>
      <c r="AI18" s="401">
        <f t="shared" si="17"/>
        <v>0</v>
      </c>
      <c r="AJ18" s="402" t="str">
        <f t="shared" si="18"/>
        <v/>
      </c>
      <c r="AK18" s="52"/>
      <c r="AL18" s="397">
        <f>IFERROR(VLOOKUP($C18,'Proposed Rates'!$B:$J,AL$11,FALSE),0)</f>
        <v>0</v>
      </c>
      <c r="AM18" s="415">
        <f t="shared" si="19"/>
        <v>1925</v>
      </c>
      <c r="AN18" s="400">
        <f t="shared" si="20"/>
        <v>0</v>
      </c>
      <c r="AO18" s="128"/>
      <c r="AP18" s="401">
        <f t="shared" si="21"/>
        <v>0</v>
      </c>
      <c r="AQ18" s="402" t="str">
        <f t="shared" si="22"/>
        <v/>
      </c>
      <c r="AR18" s="403"/>
      <c r="AS18" s="3"/>
      <c r="AT18" s="3"/>
      <c r="AU18" s="3"/>
      <c r="AV18" s="3"/>
    </row>
    <row r="19" spans="1:48" ht="12.75" customHeight="1">
      <c r="A19" s="52"/>
      <c r="B19" s="320" t="s">
        <v>59</v>
      </c>
      <c r="C19" s="395" t="str">
        <f t="shared" si="0"/>
        <v>General Service 1,500 to 4,999 KW.Distribution Volumetric Rate</v>
      </c>
      <c r="D19" s="396" t="s">
        <v>377</v>
      </c>
      <c r="E19" s="320"/>
      <c r="F19" s="397">
        <f>IFERROR(VLOOKUP($C19,'Proposed Rates'!$B:$J,F$11,FALSE),0)</f>
        <v>6.0796000000000001</v>
      </c>
      <c r="G19" s="415">
        <f t="shared" si="1"/>
        <v>1925</v>
      </c>
      <c r="H19" s="400">
        <f t="shared" si="2"/>
        <v>11703.23</v>
      </c>
      <c r="I19" s="128"/>
      <c r="J19" s="397">
        <f>IFERROR(VLOOKUP($C19,'Proposed Rates'!$B:$J,J$11,FALSE),0)</f>
        <v>7.7050000000000001</v>
      </c>
      <c r="K19" s="415">
        <f t="shared" si="3"/>
        <v>1925</v>
      </c>
      <c r="L19" s="400">
        <f t="shared" si="4"/>
        <v>14832.125</v>
      </c>
      <c r="M19" s="128"/>
      <c r="N19" s="401">
        <f t="shared" si="5"/>
        <v>3128.8950000000004</v>
      </c>
      <c r="O19" s="402">
        <f t="shared" si="6"/>
        <v>0.26735311533653533</v>
      </c>
      <c r="P19" s="52"/>
      <c r="Q19" s="397">
        <f>IFERROR(VLOOKUP($C19,'Proposed Rates'!$B:$J,Q$11,FALSE),0)</f>
        <v>8.4490999999999996</v>
      </c>
      <c r="R19" s="415">
        <f t="shared" si="7"/>
        <v>1925</v>
      </c>
      <c r="S19" s="400">
        <f t="shared" si="8"/>
        <v>16264.5175</v>
      </c>
      <c r="T19" s="128"/>
      <c r="U19" s="401">
        <f t="shared" si="9"/>
        <v>1432.3924999999999</v>
      </c>
      <c r="V19" s="402">
        <f t="shared" si="10"/>
        <v>9.6573653471771576E-2</v>
      </c>
      <c r="W19" s="52"/>
      <c r="X19" s="397">
        <f>IFERROR(VLOOKUP($C19,'Proposed Rates'!$B:$J,X$11,FALSE),0)</f>
        <v>9.3969000000000005</v>
      </c>
      <c r="Y19" s="415">
        <f t="shared" si="11"/>
        <v>1925</v>
      </c>
      <c r="Z19" s="400">
        <f t="shared" si="12"/>
        <v>18089.032500000001</v>
      </c>
      <c r="AA19" s="128"/>
      <c r="AB19" s="401">
        <f t="shared" si="13"/>
        <v>1824.5150000000012</v>
      </c>
      <c r="AC19" s="402">
        <f t="shared" si="14"/>
        <v>0.11217762838645544</v>
      </c>
      <c r="AD19" s="52"/>
      <c r="AE19" s="397">
        <f>IFERROR(VLOOKUP($C19,'Proposed Rates'!$B:$J,AE$11,FALSE),0)</f>
        <v>10.138</v>
      </c>
      <c r="AF19" s="415">
        <f t="shared" si="15"/>
        <v>1925</v>
      </c>
      <c r="AG19" s="400">
        <f t="shared" si="16"/>
        <v>19515.650000000001</v>
      </c>
      <c r="AH19" s="128"/>
      <c r="AI19" s="401">
        <f t="shared" si="17"/>
        <v>1426.6175000000003</v>
      </c>
      <c r="AJ19" s="402">
        <f t="shared" si="18"/>
        <v>7.886643467526526E-2</v>
      </c>
      <c r="AK19" s="52"/>
      <c r="AL19" s="397">
        <f>IFERROR(VLOOKUP($C19,'Proposed Rates'!$B:$J,AL$11,FALSE),0)</f>
        <v>10.843</v>
      </c>
      <c r="AM19" s="415">
        <f t="shared" si="19"/>
        <v>1925</v>
      </c>
      <c r="AN19" s="400">
        <f t="shared" si="20"/>
        <v>20872.775000000001</v>
      </c>
      <c r="AO19" s="128"/>
      <c r="AP19" s="401">
        <f t="shared" si="21"/>
        <v>1357.125</v>
      </c>
      <c r="AQ19" s="402">
        <f t="shared" si="22"/>
        <v>6.9540343262970997E-2</v>
      </c>
      <c r="AR19" s="403"/>
      <c r="AS19" s="3"/>
      <c r="AT19" s="3"/>
      <c r="AU19" s="3"/>
      <c r="AV19" s="3"/>
    </row>
    <row r="20" spans="1:48" ht="12.75" customHeight="1">
      <c r="A20" s="52"/>
      <c r="B20" s="320" t="s">
        <v>309</v>
      </c>
      <c r="C20" s="395" t="str">
        <f t="shared" si="0"/>
        <v>General Service 1,500 to 4,999 KW.Smart Meter Disposition Rider</v>
      </c>
      <c r="D20" s="396" t="s">
        <v>308</v>
      </c>
      <c r="E20" s="320"/>
      <c r="F20" s="397">
        <f>IFERROR(VLOOKUP($C20,'Proposed Rates'!$B:$J,F$11,FALSE),0)</f>
        <v>0</v>
      </c>
      <c r="G20" s="415">
        <f t="shared" si="1"/>
        <v>891400</v>
      </c>
      <c r="H20" s="400">
        <f t="shared" si="2"/>
        <v>0</v>
      </c>
      <c r="I20" s="128"/>
      <c r="J20" s="397">
        <f>IFERROR(VLOOKUP($C20,'Proposed Rates'!$B:$J,J$11,FALSE),0)</f>
        <v>0</v>
      </c>
      <c r="K20" s="415">
        <f t="shared" si="3"/>
        <v>891400</v>
      </c>
      <c r="L20" s="400">
        <f t="shared" si="4"/>
        <v>0</v>
      </c>
      <c r="M20" s="128"/>
      <c r="N20" s="401">
        <f t="shared" si="5"/>
        <v>0</v>
      </c>
      <c r="O20" s="402" t="str">
        <f t="shared" si="6"/>
        <v/>
      </c>
      <c r="P20" s="52"/>
      <c r="Q20" s="397">
        <f>IFERROR(VLOOKUP($C20,'Proposed Rates'!$B:$J,Q$11,FALSE),0)</f>
        <v>0</v>
      </c>
      <c r="R20" s="415">
        <f t="shared" si="7"/>
        <v>891400</v>
      </c>
      <c r="S20" s="400">
        <f t="shared" si="8"/>
        <v>0</v>
      </c>
      <c r="T20" s="128"/>
      <c r="U20" s="401">
        <f t="shared" si="9"/>
        <v>0</v>
      </c>
      <c r="V20" s="402" t="str">
        <f t="shared" si="10"/>
        <v/>
      </c>
      <c r="W20" s="52"/>
      <c r="X20" s="397">
        <f>IFERROR(VLOOKUP($C20,'Proposed Rates'!$B:$J,X$11,FALSE),0)</f>
        <v>0</v>
      </c>
      <c r="Y20" s="415">
        <f t="shared" si="11"/>
        <v>891400</v>
      </c>
      <c r="Z20" s="400">
        <f t="shared" si="12"/>
        <v>0</v>
      </c>
      <c r="AA20" s="128"/>
      <c r="AB20" s="401">
        <f t="shared" si="13"/>
        <v>0</v>
      </c>
      <c r="AC20" s="402" t="str">
        <f t="shared" si="14"/>
        <v/>
      </c>
      <c r="AD20" s="52"/>
      <c r="AE20" s="397">
        <f>IFERROR(VLOOKUP($C20,'Proposed Rates'!$B:$J,AE$11,FALSE),0)</f>
        <v>0</v>
      </c>
      <c r="AF20" s="415">
        <f t="shared" si="15"/>
        <v>891400</v>
      </c>
      <c r="AG20" s="400">
        <f t="shared" si="16"/>
        <v>0</v>
      </c>
      <c r="AH20" s="128"/>
      <c r="AI20" s="401">
        <f t="shared" si="17"/>
        <v>0</v>
      </c>
      <c r="AJ20" s="402" t="str">
        <f t="shared" si="18"/>
        <v/>
      </c>
      <c r="AK20" s="52"/>
      <c r="AL20" s="397">
        <f>IFERROR(VLOOKUP($C20,'Proposed Rates'!$B:$J,AL$11,FALSE),0)</f>
        <v>0</v>
      </c>
      <c r="AM20" s="415">
        <f t="shared" si="19"/>
        <v>891400</v>
      </c>
      <c r="AN20" s="400">
        <f t="shared" si="20"/>
        <v>0</v>
      </c>
      <c r="AO20" s="128"/>
      <c r="AP20" s="401">
        <f t="shared" si="21"/>
        <v>0</v>
      </c>
      <c r="AQ20" s="402" t="str">
        <f t="shared" si="22"/>
        <v/>
      </c>
      <c r="AR20" s="403"/>
      <c r="AS20" s="3"/>
      <c r="AT20" s="3"/>
      <c r="AU20" s="3"/>
      <c r="AV20" s="3"/>
    </row>
    <row r="21" spans="1:48" ht="12.75" customHeight="1">
      <c r="A21" s="52"/>
      <c r="B21" s="320" t="s">
        <v>241</v>
      </c>
      <c r="C21" s="395" t="str">
        <f t="shared" si="0"/>
        <v>General Service 1,500 to 4,999 KW.LRAM Rate Rider</v>
      </c>
      <c r="D21" s="396" t="s">
        <v>377</v>
      </c>
      <c r="E21" s="320"/>
      <c r="F21" s="414">
        <f>'Proposed Rates'!E80+'Proposed Rates'!E93</f>
        <v>0.2021</v>
      </c>
      <c r="G21" s="415">
        <f t="shared" si="1"/>
        <v>1925</v>
      </c>
      <c r="H21" s="400">
        <f t="shared" si="2"/>
        <v>389.04250000000002</v>
      </c>
      <c r="I21" s="128"/>
      <c r="J21" s="414">
        <f>'Proposed Rates'!F80+'Proposed Rates'!F93</f>
        <v>-0.3846</v>
      </c>
      <c r="K21" s="415">
        <f t="shared" si="3"/>
        <v>1925</v>
      </c>
      <c r="L21" s="400">
        <f t="shared" si="4"/>
        <v>-740.35500000000002</v>
      </c>
      <c r="M21" s="128"/>
      <c r="N21" s="401">
        <f t="shared" si="5"/>
        <v>-1129.3975</v>
      </c>
      <c r="O21" s="402">
        <f t="shared" si="6"/>
        <v>-2.9030183077684315</v>
      </c>
      <c r="P21" s="52"/>
      <c r="Q21" s="414">
        <f>'Proposed Rates'!G80+'Proposed Rates'!G93</f>
        <v>0</v>
      </c>
      <c r="R21" s="415">
        <f t="shared" si="7"/>
        <v>1925</v>
      </c>
      <c r="S21" s="400">
        <f t="shared" si="8"/>
        <v>0</v>
      </c>
      <c r="T21" s="128"/>
      <c r="U21" s="401">
        <f t="shared" si="9"/>
        <v>740.35500000000002</v>
      </c>
      <c r="V21" s="402">
        <f t="shared" si="10"/>
        <v>-1</v>
      </c>
      <c r="W21" s="52"/>
      <c r="X21" s="397">
        <f>IFERROR(VLOOKUP($C21,'Proposed Rates'!$B:$J,X$11,FALSE),0)</f>
        <v>0</v>
      </c>
      <c r="Y21" s="415">
        <f t="shared" si="11"/>
        <v>1925</v>
      </c>
      <c r="Z21" s="400">
        <f t="shared" si="12"/>
        <v>0</v>
      </c>
      <c r="AA21" s="128"/>
      <c r="AB21" s="401">
        <f t="shared" si="13"/>
        <v>0</v>
      </c>
      <c r="AC21" s="402" t="str">
        <f t="shared" si="14"/>
        <v/>
      </c>
      <c r="AD21" s="52"/>
      <c r="AE21" s="397">
        <f>IFERROR(VLOOKUP($C21,'Proposed Rates'!$B:$J,AE$11,FALSE),0)</f>
        <v>0</v>
      </c>
      <c r="AF21" s="415">
        <f t="shared" si="15"/>
        <v>1925</v>
      </c>
      <c r="AG21" s="400">
        <f t="shared" si="16"/>
        <v>0</v>
      </c>
      <c r="AH21" s="128"/>
      <c r="AI21" s="401">
        <f t="shared" si="17"/>
        <v>0</v>
      </c>
      <c r="AJ21" s="402" t="str">
        <f t="shared" si="18"/>
        <v/>
      </c>
      <c r="AK21" s="52"/>
      <c r="AL21" s="397">
        <f>IFERROR(VLOOKUP($C21,'Proposed Rates'!$B:$J,AL$11,FALSE),0)</f>
        <v>0</v>
      </c>
      <c r="AM21" s="415">
        <f t="shared" si="19"/>
        <v>1925</v>
      </c>
      <c r="AN21" s="400">
        <f t="shared" si="20"/>
        <v>0</v>
      </c>
      <c r="AO21" s="128"/>
      <c r="AP21" s="401">
        <f t="shared" si="21"/>
        <v>0</v>
      </c>
      <c r="AQ21" s="402" t="str">
        <f t="shared" si="22"/>
        <v/>
      </c>
      <c r="AR21" s="403"/>
      <c r="AS21" s="3"/>
      <c r="AT21" s="3"/>
      <c r="AU21" s="3"/>
      <c r="AV21" s="3"/>
    </row>
    <row r="22" spans="1:48" ht="12.75" customHeight="1">
      <c r="A22" s="52"/>
      <c r="B22" s="484" t="s">
        <v>237</v>
      </c>
      <c r="C22" s="395" t="str">
        <f t="shared" si="0"/>
        <v>General Service 1,500 to 4,999 KW.Deferral/Variance Account Disposition Rate Rider Group 2</v>
      </c>
      <c r="D22" s="396" t="s">
        <v>377</v>
      </c>
      <c r="E22" s="320"/>
      <c r="F22" s="397">
        <f>IFERROR(VLOOKUP($C22,'Proposed Rates'!$B:$J,F$11,FALSE),0)</f>
        <v>0</v>
      </c>
      <c r="G22" s="415">
        <f t="shared" si="1"/>
        <v>1925</v>
      </c>
      <c r="H22" s="400">
        <f t="shared" si="2"/>
        <v>0</v>
      </c>
      <c r="I22" s="128"/>
      <c r="J22" s="397">
        <f>IFERROR(VLOOKUP($C22,'Proposed Rates'!$B:$J,J$11,FALSE),0)</f>
        <v>-0.1241</v>
      </c>
      <c r="K22" s="415">
        <f t="shared" si="3"/>
        <v>1925</v>
      </c>
      <c r="L22" s="400">
        <f t="shared" si="4"/>
        <v>-238.89250000000001</v>
      </c>
      <c r="M22" s="128"/>
      <c r="N22" s="401">
        <f t="shared" si="5"/>
        <v>-238.89250000000001</v>
      </c>
      <c r="O22" s="402" t="str">
        <f t="shared" si="6"/>
        <v/>
      </c>
      <c r="P22" s="52"/>
      <c r="Q22" s="397">
        <f>IFERROR(VLOOKUP($C22,'Proposed Rates'!$B:$J,Q$11,FALSE),0)</f>
        <v>0</v>
      </c>
      <c r="R22" s="415">
        <f t="shared" si="7"/>
        <v>1925</v>
      </c>
      <c r="S22" s="400">
        <f t="shared" si="8"/>
        <v>0</v>
      </c>
      <c r="T22" s="128"/>
      <c r="U22" s="401">
        <f t="shared" si="9"/>
        <v>238.89250000000001</v>
      </c>
      <c r="V22" s="402">
        <f t="shared" si="10"/>
        <v>-1</v>
      </c>
      <c r="W22" s="52"/>
      <c r="X22" s="397">
        <f>IFERROR(VLOOKUP($C22,'Proposed Rates'!$B:$J,X$11,FALSE),0)</f>
        <v>0</v>
      </c>
      <c r="Y22" s="415">
        <f t="shared" si="11"/>
        <v>1925</v>
      </c>
      <c r="Z22" s="400">
        <f t="shared" si="12"/>
        <v>0</v>
      </c>
      <c r="AA22" s="128"/>
      <c r="AB22" s="401">
        <f t="shared" si="13"/>
        <v>0</v>
      </c>
      <c r="AC22" s="402" t="str">
        <f t="shared" si="14"/>
        <v/>
      </c>
      <c r="AD22" s="52"/>
      <c r="AE22" s="397">
        <f>IFERROR(VLOOKUP($C22,'Proposed Rates'!$B:$J,AE$11,FALSE),0)</f>
        <v>0</v>
      </c>
      <c r="AF22" s="415">
        <f t="shared" si="15"/>
        <v>1925</v>
      </c>
      <c r="AG22" s="400">
        <f t="shared" si="16"/>
        <v>0</v>
      </c>
      <c r="AH22" s="128"/>
      <c r="AI22" s="401">
        <f t="shared" si="17"/>
        <v>0</v>
      </c>
      <c r="AJ22" s="402" t="str">
        <f t="shared" si="18"/>
        <v/>
      </c>
      <c r="AK22" s="52"/>
      <c r="AL22" s="397">
        <f>IFERROR(VLOOKUP($C22,'Proposed Rates'!$B:$J,AL$11,FALSE),0)</f>
        <v>0</v>
      </c>
      <c r="AM22" s="415">
        <f t="shared" si="19"/>
        <v>1925</v>
      </c>
      <c r="AN22" s="400">
        <f t="shared" si="20"/>
        <v>0</v>
      </c>
      <c r="AO22" s="128"/>
      <c r="AP22" s="401">
        <f t="shared" si="21"/>
        <v>0</v>
      </c>
      <c r="AQ22" s="402" t="str">
        <f t="shared" si="22"/>
        <v/>
      </c>
      <c r="AR22" s="403"/>
      <c r="AS22" s="3"/>
      <c r="AT22" s="3"/>
      <c r="AU22" s="3"/>
      <c r="AV22" s="3"/>
    </row>
    <row r="23" spans="1:48" ht="12.75" customHeight="1">
      <c r="A23" s="52"/>
      <c r="B23" s="404"/>
      <c r="C23" s="395" t="str">
        <f t="shared" si="0"/>
        <v>General Service 1,500 to 4,999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3"/>
      <c r="AT23" s="3"/>
      <c r="AU23" s="3"/>
      <c r="AV23" s="3"/>
    </row>
    <row r="24" spans="1:48" ht="12.75" customHeight="1">
      <c r="A24" s="52"/>
      <c r="B24" s="404"/>
      <c r="C24" s="395" t="str">
        <f t="shared" si="0"/>
        <v>General Service 1,500 to 4,999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3"/>
      <c r="AT24" s="3"/>
      <c r="AU24" s="3"/>
      <c r="AV24" s="3"/>
    </row>
    <row r="25" spans="1:48" ht="12.75" customHeight="1">
      <c r="A25" s="52"/>
      <c r="B25" s="404"/>
      <c r="C25" s="395" t="str">
        <f t="shared" si="0"/>
        <v>General Service 1,500 to 4,999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3"/>
      <c r="AT25" s="3"/>
      <c r="AU25" s="3"/>
      <c r="AV25" s="3"/>
    </row>
    <row r="26" spans="1:48" ht="12.75" customHeight="1">
      <c r="A26" s="52"/>
      <c r="B26" s="484"/>
      <c r="C26" s="395" t="str">
        <f t="shared" si="0"/>
        <v>General Service 1,500 to 4,999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3"/>
      <c r="AT26" s="3"/>
      <c r="AU26" s="3"/>
      <c r="AV26" s="3"/>
    </row>
    <row r="27" spans="1:48" ht="12.75" customHeight="1">
      <c r="A27" s="52"/>
      <c r="B27" s="404"/>
      <c r="C27" s="395" t="str">
        <f t="shared" si="0"/>
        <v>General Service 1,500 to 4,999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3"/>
      <c r="AT27" s="3"/>
      <c r="AU27" s="3"/>
      <c r="AV27" s="3"/>
    </row>
    <row r="28" spans="1:48" ht="12.75" customHeight="1">
      <c r="A28" s="52"/>
      <c r="B28" s="404"/>
      <c r="C28" s="395" t="str">
        <f t="shared" si="0"/>
        <v>General Service 1,500 to 4,999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3"/>
      <c r="AT28" s="3"/>
      <c r="AU28" s="3"/>
      <c r="AV28" s="3"/>
    </row>
    <row r="29" spans="1:48" ht="12.75" customHeight="1">
      <c r="A29" s="306"/>
      <c r="B29" s="405" t="s">
        <v>310</v>
      </c>
      <c r="C29" s="557"/>
      <c r="D29" s="406"/>
      <c r="E29" s="406"/>
      <c r="F29" s="407"/>
      <c r="G29" s="500"/>
      <c r="H29" s="409">
        <f>SUM(H15:H28)</f>
        <v>16219.022499999999</v>
      </c>
      <c r="I29" s="410"/>
      <c r="J29" s="407"/>
      <c r="K29" s="500"/>
      <c r="L29" s="409">
        <f>SUM(L15:L28)</f>
        <v>17979.627499999999</v>
      </c>
      <c r="M29" s="410"/>
      <c r="N29" s="411">
        <f t="shared" si="5"/>
        <v>1760.6049999999996</v>
      </c>
      <c r="O29" s="412">
        <f t="shared" si="6"/>
        <v>0.10855185631563183</v>
      </c>
      <c r="P29" s="306"/>
      <c r="Q29" s="407"/>
      <c r="R29" s="500"/>
      <c r="S29" s="409">
        <f>SUM(S15:S28)</f>
        <v>20391.267500000002</v>
      </c>
      <c r="T29" s="410"/>
      <c r="U29" s="411">
        <f t="shared" si="9"/>
        <v>2411.6400000000031</v>
      </c>
      <c r="V29" s="412">
        <f t="shared" si="10"/>
        <v>0.13413181112901273</v>
      </c>
      <c r="W29" s="306"/>
      <c r="X29" s="407"/>
      <c r="Y29" s="500"/>
      <c r="Z29" s="409">
        <f>SUM(Z15:Z28)</f>
        <v>22215.782500000001</v>
      </c>
      <c r="AA29" s="410"/>
      <c r="AB29" s="411">
        <f t="shared" si="13"/>
        <v>1824.5149999999994</v>
      </c>
      <c r="AC29" s="412">
        <f t="shared" si="14"/>
        <v>8.9475310938861422E-2</v>
      </c>
      <c r="AD29" s="306"/>
      <c r="AE29" s="407"/>
      <c r="AF29" s="500"/>
      <c r="AG29" s="409">
        <f>SUM(AG15:AG28)</f>
        <v>23642.400000000001</v>
      </c>
      <c r="AH29" s="410"/>
      <c r="AI29" s="411">
        <f t="shared" si="17"/>
        <v>1426.6175000000003</v>
      </c>
      <c r="AJ29" s="412">
        <f t="shared" si="18"/>
        <v>6.4216396609032347E-2</v>
      </c>
      <c r="AK29" s="306"/>
      <c r="AL29" s="407"/>
      <c r="AM29" s="500"/>
      <c r="AN29" s="409">
        <f>SUM(AN15:AN28)</f>
        <v>24999.525000000001</v>
      </c>
      <c r="AO29" s="410"/>
      <c r="AP29" s="411">
        <f t="shared" si="21"/>
        <v>1357.125</v>
      </c>
      <c r="AQ29" s="412">
        <f t="shared" si="22"/>
        <v>5.7402167292660643E-2</v>
      </c>
      <c r="AR29" s="413"/>
      <c r="AS29" s="3"/>
      <c r="AT29" s="3"/>
      <c r="AU29" s="3"/>
      <c r="AV29" s="3"/>
    </row>
    <row r="30" spans="1:48" ht="12.75" customHeight="1">
      <c r="A30" s="52"/>
      <c r="B30" s="404" t="s">
        <v>234</v>
      </c>
      <c r="C30" s="395" t="str">
        <f t="shared" ref="C30:C38" si="23">D$6&amp;"."&amp;B30</f>
        <v>General Service 1,500 to 4,999 KW.DVA Disposition Rate Rider Group 1 -2025</v>
      </c>
      <c r="D30" s="396" t="s">
        <v>377</v>
      </c>
      <c r="E30" s="320"/>
      <c r="F30" s="414">
        <f>IFERROR(VLOOKUP($C30,'Proposed Rates'!$B:$J,F$11,FALSE),0)</f>
        <v>5.3600000000000002E-2</v>
      </c>
      <c r="G30" s="415">
        <f t="shared" ref="G30:G36" si="24">IF($D30="Monthly",1,IF($D30="per KW",$F$10,IF($D30="per kWh",$F$9,0)))</f>
        <v>1925</v>
      </c>
      <c r="H30" s="400">
        <f t="shared" ref="H30:H38" si="25">G30*F30</f>
        <v>103.18</v>
      </c>
      <c r="I30" s="128"/>
      <c r="J30" s="414">
        <f>IFERROR(VLOOKUP($C30,'Proposed Rates'!$B:$J,J$11,FALSE),0)</f>
        <v>-0.22459999999999999</v>
      </c>
      <c r="K30" s="415">
        <f t="shared" ref="K30:K36" si="26">IF($D30="Monthly",1,IF($D30="per KW",$F$10,IF($D30="per kWh",$F$9,0)))</f>
        <v>1925</v>
      </c>
      <c r="L30" s="400">
        <f t="shared" ref="L30:L38" si="27">K30*J30</f>
        <v>-432.35499999999996</v>
      </c>
      <c r="M30" s="128"/>
      <c r="N30" s="401">
        <f t="shared" si="5"/>
        <v>-535.53499999999997</v>
      </c>
      <c r="O30" s="402">
        <f t="shared" si="6"/>
        <v>-5.1902985074626855</v>
      </c>
      <c r="P30" s="52"/>
      <c r="Q30" s="414">
        <f>IFERROR(VLOOKUP($C30,'Proposed Rates'!$B:$J,Q$11,FALSE),0)</f>
        <v>0</v>
      </c>
      <c r="R30" s="415">
        <f t="shared" ref="R30:R36" si="28">IF($D30="Monthly",1,IF($D30="per KW",$F$10,IF($D30="per kWh",$F$9,0)))</f>
        <v>1925</v>
      </c>
      <c r="S30" s="400">
        <f t="shared" ref="S30:S38" si="29">R30*Q30</f>
        <v>0</v>
      </c>
      <c r="T30" s="128"/>
      <c r="U30" s="401">
        <f t="shared" si="9"/>
        <v>432.35499999999996</v>
      </c>
      <c r="V30" s="402">
        <f t="shared" si="10"/>
        <v>-1</v>
      </c>
      <c r="W30" s="52"/>
      <c r="X30" s="414">
        <f>IFERROR(VLOOKUP($C30,'Proposed Rates'!$B:$J,X$11,FALSE),0)</f>
        <v>0</v>
      </c>
      <c r="Y30" s="415">
        <f t="shared" ref="Y30:Y36" si="30">IF($D30="Monthly",1,IF($D30="per KW",$F$10,IF($D30="per kWh",$F$9,0)))</f>
        <v>1925</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1925</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1925</v>
      </c>
      <c r="AN30" s="400">
        <f t="shared" ref="AN30:AN38" si="35">AM30*AL30</f>
        <v>0</v>
      </c>
      <c r="AO30" s="128"/>
      <c r="AP30" s="401">
        <f t="shared" si="21"/>
        <v>0</v>
      </c>
      <c r="AQ30" s="402" t="str">
        <f t="shared" si="22"/>
        <v/>
      </c>
      <c r="AR30" s="403"/>
      <c r="AS30" s="3"/>
      <c r="AT30" s="3"/>
      <c r="AU30" s="3"/>
      <c r="AV30" s="3"/>
    </row>
    <row r="31" spans="1:48" ht="12.75" customHeight="1">
      <c r="A31" s="52"/>
      <c r="B31" s="484" t="s">
        <v>236</v>
      </c>
      <c r="C31" s="395" t="str">
        <f t="shared" si="23"/>
        <v>General Service 1,500 to 4,999 KW.DVA Disposition Rate Rider Group 1 - 2024</v>
      </c>
      <c r="D31" s="396" t="s">
        <v>377</v>
      </c>
      <c r="E31" s="320"/>
      <c r="F31" s="414">
        <f>IFERROR(VLOOKUP($C31,'Proposed Rates'!$B:$J,F$11,FALSE),0)</f>
        <v>0</v>
      </c>
      <c r="G31" s="415">
        <f t="shared" si="24"/>
        <v>1925</v>
      </c>
      <c r="H31" s="400">
        <f t="shared" si="25"/>
        <v>0</v>
      </c>
      <c r="I31" s="128"/>
      <c r="J31" s="414">
        <f>IFERROR(VLOOKUP($C31,'Proposed Rates'!$B:$J,J$11,FALSE),0)</f>
        <v>0</v>
      </c>
      <c r="K31" s="415">
        <f t="shared" si="26"/>
        <v>1925</v>
      </c>
      <c r="L31" s="400">
        <f t="shared" si="27"/>
        <v>0</v>
      </c>
      <c r="M31" s="128"/>
      <c r="N31" s="401">
        <f t="shared" si="5"/>
        <v>0</v>
      </c>
      <c r="O31" s="402" t="str">
        <f t="shared" si="6"/>
        <v/>
      </c>
      <c r="P31" s="52"/>
      <c r="Q31" s="414">
        <f>IFERROR(VLOOKUP($C31,'Proposed Rates'!$B:$J,Q$11,FALSE),0)</f>
        <v>0</v>
      </c>
      <c r="R31" s="415">
        <f t="shared" si="28"/>
        <v>1925</v>
      </c>
      <c r="S31" s="400">
        <f t="shared" si="29"/>
        <v>0</v>
      </c>
      <c r="T31" s="128"/>
      <c r="U31" s="401">
        <f t="shared" si="9"/>
        <v>0</v>
      </c>
      <c r="V31" s="402" t="str">
        <f t="shared" si="10"/>
        <v/>
      </c>
      <c r="W31" s="52"/>
      <c r="X31" s="414">
        <f>IFERROR(VLOOKUP($C31,'Proposed Rates'!$B:$J,X$11,FALSE),0)</f>
        <v>0</v>
      </c>
      <c r="Y31" s="415">
        <f t="shared" si="30"/>
        <v>1925</v>
      </c>
      <c r="Z31" s="400">
        <f t="shared" si="31"/>
        <v>0</v>
      </c>
      <c r="AA31" s="128"/>
      <c r="AB31" s="401">
        <f t="shared" si="13"/>
        <v>0</v>
      </c>
      <c r="AC31" s="402" t="str">
        <f t="shared" si="14"/>
        <v/>
      </c>
      <c r="AD31" s="52"/>
      <c r="AE31" s="414">
        <f>IFERROR(VLOOKUP($C31,'Proposed Rates'!$B:$J,AE$11,FALSE),0)</f>
        <v>0</v>
      </c>
      <c r="AF31" s="415">
        <f t="shared" si="32"/>
        <v>1925</v>
      </c>
      <c r="AG31" s="400">
        <f t="shared" si="33"/>
        <v>0</v>
      </c>
      <c r="AH31" s="128"/>
      <c r="AI31" s="401">
        <f t="shared" si="17"/>
        <v>0</v>
      </c>
      <c r="AJ31" s="402" t="str">
        <f t="shared" si="18"/>
        <v/>
      </c>
      <c r="AK31" s="52"/>
      <c r="AL31" s="414">
        <f>IFERROR(VLOOKUP($C31,'Proposed Rates'!$B:$J,AL$11,FALSE),0)</f>
        <v>0</v>
      </c>
      <c r="AM31" s="415">
        <f t="shared" si="34"/>
        <v>1925</v>
      </c>
      <c r="AN31" s="400">
        <f t="shared" si="35"/>
        <v>0</v>
      </c>
      <c r="AO31" s="128"/>
      <c r="AP31" s="401">
        <f t="shared" si="21"/>
        <v>0</v>
      </c>
      <c r="AQ31" s="402" t="str">
        <f t="shared" si="22"/>
        <v/>
      </c>
      <c r="AR31" s="403"/>
      <c r="AS31" s="3"/>
      <c r="AT31" s="3"/>
      <c r="AU31" s="3"/>
      <c r="AV31" s="3"/>
    </row>
    <row r="32" spans="1:48" ht="12.75" customHeight="1">
      <c r="A32" s="52"/>
      <c r="B32" s="484" t="s">
        <v>244</v>
      </c>
      <c r="C32" s="395" t="str">
        <f t="shared" si="23"/>
        <v>General Service 1,500 to 4,999 KW.CBR Class B Rate Riders</v>
      </c>
      <c r="D32" s="396" t="s">
        <v>308</v>
      </c>
      <c r="E32" s="320"/>
      <c r="F32" s="414">
        <f>IFERROR(VLOOKUP($C32,'Proposed Rates'!$B:$J,F$11,FALSE),0)</f>
        <v>2.0000000000000001E-4</v>
      </c>
      <c r="G32" s="415">
        <f t="shared" si="24"/>
        <v>891400</v>
      </c>
      <c r="H32" s="400">
        <f t="shared" si="25"/>
        <v>178.28</v>
      </c>
      <c r="I32" s="485"/>
      <c r="J32" s="414">
        <f>IFERROR(VLOOKUP($C32,'Proposed Rates'!$B:$J,J$11,FALSE),0)</f>
        <v>4.0000000000000002E-4</v>
      </c>
      <c r="K32" s="415">
        <f t="shared" si="26"/>
        <v>891400</v>
      </c>
      <c r="L32" s="400">
        <f t="shared" si="27"/>
        <v>356.56</v>
      </c>
      <c r="M32" s="417"/>
      <c r="N32" s="401">
        <f t="shared" si="5"/>
        <v>178.28</v>
      </c>
      <c r="O32" s="402">
        <f t="shared" si="6"/>
        <v>1</v>
      </c>
      <c r="P32" s="52"/>
      <c r="Q32" s="414">
        <f>IFERROR(VLOOKUP($C32,'Proposed Rates'!$B:$J,Q$11,FALSE),0)</f>
        <v>0</v>
      </c>
      <c r="R32" s="415">
        <f t="shared" si="28"/>
        <v>891400</v>
      </c>
      <c r="S32" s="400">
        <f t="shared" si="29"/>
        <v>0</v>
      </c>
      <c r="T32" s="417"/>
      <c r="U32" s="401"/>
      <c r="V32" s="402"/>
      <c r="W32" s="52"/>
      <c r="X32" s="414">
        <f>IFERROR(VLOOKUP($C32,'Proposed Rates'!$B:$J,X$11,FALSE),0)</f>
        <v>0</v>
      </c>
      <c r="Y32" s="415">
        <f t="shared" si="30"/>
        <v>891400</v>
      </c>
      <c r="Z32" s="400">
        <f t="shared" si="31"/>
        <v>0</v>
      </c>
      <c r="AA32" s="128"/>
      <c r="AB32" s="401">
        <f t="shared" si="13"/>
        <v>0</v>
      </c>
      <c r="AC32" s="402" t="str">
        <f t="shared" si="14"/>
        <v/>
      </c>
      <c r="AD32" s="52"/>
      <c r="AE32" s="414">
        <f>IFERROR(VLOOKUP($C32,'Proposed Rates'!$B:$J,AE$11,FALSE),0)</f>
        <v>0</v>
      </c>
      <c r="AF32" s="415">
        <f t="shared" si="32"/>
        <v>891400</v>
      </c>
      <c r="AG32" s="400">
        <f t="shared" si="33"/>
        <v>0</v>
      </c>
      <c r="AH32" s="128"/>
      <c r="AI32" s="401">
        <f t="shared" si="17"/>
        <v>0</v>
      </c>
      <c r="AJ32" s="402" t="str">
        <f t="shared" si="18"/>
        <v/>
      </c>
      <c r="AK32" s="52"/>
      <c r="AL32" s="414">
        <f>IFERROR(VLOOKUP($C32,'Proposed Rates'!$B:$J,AL$11,FALSE),0)</f>
        <v>0</v>
      </c>
      <c r="AM32" s="415">
        <f t="shared" si="34"/>
        <v>891400</v>
      </c>
      <c r="AN32" s="400">
        <f t="shared" si="35"/>
        <v>0</v>
      </c>
      <c r="AO32" s="417"/>
      <c r="AP32" s="401">
        <f t="shared" si="21"/>
        <v>0</v>
      </c>
      <c r="AQ32" s="402" t="str">
        <f t="shared" si="22"/>
        <v/>
      </c>
      <c r="AR32" s="403"/>
      <c r="AS32" s="3"/>
      <c r="AT32" s="3"/>
      <c r="AU32" s="3"/>
      <c r="AV32" s="3"/>
    </row>
    <row r="33" spans="1:48" ht="12.75" customHeight="1">
      <c r="A33" s="52"/>
      <c r="B33" s="484" t="s">
        <v>249</v>
      </c>
      <c r="C33" s="395" t="str">
        <f t="shared" si="23"/>
        <v>General Service 1,500 to 4,999 KW.GA Rate Riders</v>
      </c>
      <c r="D33" s="396" t="s">
        <v>308</v>
      </c>
      <c r="E33" s="320"/>
      <c r="F33" s="414">
        <f>IFERROR(VLOOKUP($C33,'Proposed Rates'!$B:$J,F$11,FALSE),0)</f>
        <v>3.8999999999999998E-3</v>
      </c>
      <c r="G33" s="415">
        <f t="shared" si="24"/>
        <v>891400</v>
      </c>
      <c r="H33" s="400">
        <f t="shared" si="25"/>
        <v>3476.46</v>
      </c>
      <c r="I33" s="485"/>
      <c r="J33" s="414">
        <f>IFERROR(VLOOKUP($C33,'Proposed Rates'!$B:$J,J$11,FALSE),0)</f>
        <v>4.4999999999999997E-3</v>
      </c>
      <c r="K33" s="415">
        <f t="shared" si="26"/>
        <v>891400</v>
      </c>
      <c r="L33" s="400">
        <f t="shared" si="27"/>
        <v>4011.2999999999997</v>
      </c>
      <c r="M33" s="417"/>
      <c r="N33" s="401">
        <f t="shared" si="5"/>
        <v>534.83999999999969</v>
      </c>
      <c r="O33" s="402">
        <f t="shared" si="6"/>
        <v>0.15384615384615374</v>
      </c>
      <c r="P33" s="52"/>
      <c r="Q33" s="414">
        <f>IFERROR(VLOOKUP($C33,'Proposed Rates'!$B:$J,Q$11,FALSE),0)</f>
        <v>0</v>
      </c>
      <c r="R33" s="415">
        <f t="shared" si="28"/>
        <v>891400</v>
      </c>
      <c r="S33" s="400">
        <f t="shared" si="29"/>
        <v>0</v>
      </c>
      <c r="T33" s="417"/>
      <c r="U33" s="401">
        <f t="shared" ref="U33:U34" si="36">S33-L33</f>
        <v>-4011.2999999999997</v>
      </c>
      <c r="V33" s="402">
        <f t="shared" ref="V33:V34" si="37">IF((L33)=0,"",(U33/L33))</f>
        <v>-1</v>
      </c>
      <c r="W33" s="52"/>
      <c r="X33" s="414">
        <f>IFERROR(VLOOKUP($C33,'Proposed Rates'!$B:$J,X$11,FALSE),0)</f>
        <v>0</v>
      </c>
      <c r="Y33" s="415">
        <f t="shared" si="30"/>
        <v>891400</v>
      </c>
      <c r="Z33" s="400">
        <f t="shared" si="31"/>
        <v>0</v>
      </c>
      <c r="AA33" s="417"/>
      <c r="AB33" s="401">
        <f t="shared" si="13"/>
        <v>0</v>
      </c>
      <c r="AC33" s="402" t="str">
        <f t="shared" si="14"/>
        <v/>
      </c>
      <c r="AD33" s="52"/>
      <c r="AE33" s="414">
        <f>IFERROR(VLOOKUP($C33,'Proposed Rates'!$B:$J,AE$11,FALSE),0)</f>
        <v>0</v>
      </c>
      <c r="AF33" s="415">
        <f t="shared" si="32"/>
        <v>891400</v>
      </c>
      <c r="AG33" s="400">
        <f t="shared" si="33"/>
        <v>0</v>
      </c>
      <c r="AH33" s="417"/>
      <c r="AI33" s="401">
        <f t="shared" si="17"/>
        <v>0</v>
      </c>
      <c r="AJ33" s="402" t="str">
        <f t="shared" si="18"/>
        <v/>
      </c>
      <c r="AK33" s="52"/>
      <c r="AL33" s="414">
        <f>IFERROR(VLOOKUP($C33,'Proposed Rates'!$B:$J,AL$11,FALSE),0)</f>
        <v>0</v>
      </c>
      <c r="AM33" s="415">
        <f t="shared" si="34"/>
        <v>891400</v>
      </c>
      <c r="AN33" s="400">
        <f t="shared" si="35"/>
        <v>0</v>
      </c>
      <c r="AO33" s="417"/>
      <c r="AP33" s="401">
        <f t="shared" si="21"/>
        <v>0</v>
      </c>
      <c r="AQ33" s="402" t="str">
        <f t="shared" si="22"/>
        <v/>
      </c>
      <c r="AR33" s="403"/>
      <c r="AS33" s="3"/>
      <c r="AT33" s="3"/>
      <c r="AU33" s="3"/>
      <c r="AV33" s="3"/>
    </row>
    <row r="34" spans="1:48" ht="12.75" customHeight="1">
      <c r="A34" s="52"/>
      <c r="B34" s="484" t="s">
        <v>252</v>
      </c>
      <c r="C34" s="395" t="str">
        <f t="shared" si="23"/>
        <v>General Service 1,500 to 4,999 KW.Total Deferral/Variance Account Rate RidersYr2</v>
      </c>
      <c r="D34" s="396" t="s">
        <v>377</v>
      </c>
      <c r="E34" s="320"/>
      <c r="F34" s="414">
        <f>IFERROR(VLOOKUP($C34,'Proposed Rates'!$B:$J,F$11,FALSE),0)</f>
        <v>0</v>
      </c>
      <c r="G34" s="415">
        <f t="shared" si="24"/>
        <v>1925</v>
      </c>
      <c r="H34" s="400">
        <f t="shared" si="25"/>
        <v>0</v>
      </c>
      <c r="I34" s="485"/>
      <c r="J34" s="414">
        <f>IFERROR(VLOOKUP($C34,'Proposed Rates'!$B:$J,J$11,FALSE),0)</f>
        <v>0</v>
      </c>
      <c r="K34" s="415">
        <f t="shared" si="26"/>
        <v>1925</v>
      </c>
      <c r="L34" s="400">
        <f t="shared" si="27"/>
        <v>0</v>
      </c>
      <c r="M34" s="417"/>
      <c r="N34" s="401">
        <f t="shared" si="5"/>
        <v>0</v>
      </c>
      <c r="O34" s="402" t="str">
        <f t="shared" si="6"/>
        <v/>
      </c>
      <c r="P34" s="52"/>
      <c r="Q34" s="414">
        <f>IFERROR(VLOOKUP($C34,'Proposed Rates'!$B:$J,Q$11,FALSE),0)</f>
        <v>0</v>
      </c>
      <c r="R34" s="415">
        <f t="shared" si="28"/>
        <v>1925</v>
      </c>
      <c r="S34" s="400">
        <f t="shared" si="29"/>
        <v>0</v>
      </c>
      <c r="T34" s="417"/>
      <c r="U34" s="401">
        <f t="shared" si="36"/>
        <v>0</v>
      </c>
      <c r="V34" s="402" t="str">
        <f t="shared" si="37"/>
        <v/>
      </c>
      <c r="W34" s="52"/>
      <c r="X34" s="414">
        <f>IFERROR(VLOOKUP($C34,'Proposed Rates'!$B:$J,X$11,FALSE),0)</f>
        <v>0</v>
      </c>
      <c r="Y34" s="415">
        <f t="shared" si="30"/>
        <v>1925</v>
      </c>
      <c r="Z34" s="400">
        <f t="shared" si="31"/>
        <v>0</v>
      </c>
      <c r="AA34" s="417"/>
      <c r="AB34" s="401">
        <f t="shared" si="13"/>
        <v>0</v>
      </c>
      <c r="AC34" s="402" t="str">
        <f t="shared" si="14"/>
        <v/>
      </c>
      <c r="AD34" s="52"/>
      <c r="AE34" s="414">
        <f>IFERROR(VLOOKUP($C34,'Proposed Rates'!$B:$J,AE$11,FALSE),0)</f>
        <v>0</v>
      </c>
      <c r="AF34" s="415">
        <f t="shared" si="32"/>
        <v>1925</v>
      </c>
      <c r="AG34" s="400">
        <f t="shared" si="33"/>
        <v>0</v>
      </c>
      <c r="AH34" s="417"/>
      <c r="AI34" s="401">
        <f t="shared" si="17"/>
        <v>0</v>
      </c>
      <c r="AJ34" s="402" t="str">
        <f t="shared" si="18"/>
        <v/>
      </c>
      <c r="AK34" s="52"/>
      <c r="AL34" s="414">
        <f>IFERROR(VLOOKUP($C34,'Proposed Rates'!$B:$J,AL$11,FALSE),0)</f>
        <v>0</v>
      </c>
      <c r="AM34" s="415">
        <f t="shared" si="34"/>
        <v>1925</v>
      </c>
      <c r="AN34" s="400">
        <f t="shared" si="35"/>
        <v>0</v>
      </c>
      <c r="AO34" s="417"/>
      <c r="AP34" s="401">
        <f t="shared" si="21"/>
        <v>0</v>
      </c>
      <c r="AQ34" s="402" t="str">
        <f t="shared" si="22"/>
        <v/>
      </c>
      <c r="AR34" s="403"/>
      <c r="AS34" s="3"/>
      <c r="AT34" s="3"/>
      <c r="AU34" s="3"/>
      <c r="AV34" s="3"/>
    </row>
    <row r="35" spans="1:48" ht="12.75" customHeight="1">
      <c r="A35" s="52"/>
      <c r="B35" s="484" t="s">
        <v>254</v>
      </c>
      <c r="C35" s="395" t="str">
        <f t="shared" si="23"/>
        <v>General Service 1,500 to 4,999 KW.Total Deferral/Variance Account Rate Riders</v>
      </c>
      <c r="D35" s="396" t="s">
        <v>377</v>
      </c>
      <c r="E35" s="320"/>
      <c r="F35" s="414">
        <f>IFERROR(VLOOKUP($C35,'Proposed Rates'!$B:$J,F$11,FALSE),0)</f>
        <v>0</v>
      </c>
      <c r="G35" s="415">
        <f t="shared" si="24"/>
        <v>1925</v>
      </c>
      <c r="H35" s="400">
        <f t="shared" si="25"/>
        <v>0</v>
      </c>
      <c r="I35" s="128"/>
      <c r="J35" s="414">
        <f>IFERROR(VLOOKUP($C35,'Proposed Rates'!$B:$J,J$11,FALSE),0)</f>
        <v>0</v>
      </c>
      <c r="K35" s="415">
        <f t="shared" si="26"/>
        <v>1925</v>
      </c>
      <c r="L35" s="400">
        <f t="shared" si="27"/>
        <v>0</v>
      </c>
      <c r="M35" s="128"/>
      <c r="N35" s="401">
        <f t="shared" si="5"/>
        <v>0</v>
      </c>
      <c r="O35" s="402" t="str">
        <f t="shared" si="6"/>
        <v/>
      </c>
      <c r="P35" s="52"/>
      <c r="Q35" s="414">
        <f>IFERROR(VLOOKUP($C35,'Proposed Rates'!$B:$J,Q$11,FALSE),0)</f>
        <v>0</v>
      </c>
      <c r="R35" s="415">
        <f t="shared" si="28"/>
        <v>1925</v>
      </c>
      <c r="S35" s="400">
        <f t="shared" si="29"/>
        <v>0</v>
      </c>
      <c r="T35" s="128"/>
      <c r="U35" s="401"/>
      <c r="V35" s="402"/>
      <c r="W35" s="52"/>
      <c r="X35" s="414">
        <f>IFERROR(VLOOKUP($C35,'Proposed Rates'!$B:$J,X$11,FALSE),0)</f>
        <v>0</v>
      </c>
      <c r="Y35" s="415">
        <f t="shared" si="30"/>
        <v>1925</v>
      </c>
      <c r="Z35" s="400">
        <f t="shared" si="31"/>
        <v>0</v>
      </c>
      <c r="AA35" s="128"/>
      <c r="AB35" s="401">
        <f t="shared" si="13"/>
        <v>0</v>
      </c>
      <c r="AC35" s="402" t="str">
        <f t="shared" si="14"/>
        <v/>
      </c>
      <c r="AD35" s="52"/>
      <c r="AE35" s="414">
        <f>IFERROR(VLOOKUP($C35,'Proposed Rates'!$B:$J,AE$11,FALSE),0)</f>
        <v>0</v>
      </c>
      <c r="AF35" s="415">
        <f t="shared" si="32"/>
        <v>1925</v>
      </c>
      <c r="AG35" s="400">
        <f t="shared" si="33"/>
        <v>0</v>
      </c>
      <c r="AH35" s="128"/>
      <c r="AI35" s="401">
        <f t="shared" si="17"/>
        <v>0</v>
      </c>
      <c r="AJ35" s="402" t="str">
        <f t="shared" si="18"/>
        <v/>
      </c>
      <c r="AK35" s="52"/>
      <c r="AL35" s="414">
        <f>IFERROR(VLOOKUP($C35,'Proposed Rates'!$B:$J,AL$11,FALSE),0)</f>
        <v>0</v>
      </c>
      <c r="AM35" s="415">
        <f t="shared" si="34"/>
        <v>1925</v>
      </c>
      <c r="AN35" s="400">
        <f t="shared" si="35"/>
        <v>0</v>
      </c>
      <c r="AO35" s="128"/>
      <c r="AP35" s="401">
        <f t="shared" si="21"/>
        <v>0</v>
      </c>
      <c r="AQ35" s="402" t="str">
        <f t="shared" si="22"/>
        <v/>
      </c>
      <c r="AR35" s="403"/>
      <c r="AS35" s="3"/>
      <c r="AT35" s="3"/>
      <c r="AU35" s="3"/>
      <c r="AV35" s="3"/>
    </row>
    <row r="36" spans="1:48" ht="12.75" customHeight="1">
      <c r="A36" s="52"/>
      <c r="B36" s="320" t="s">
        <v>269</v>
      </c>
      <c r="C36" s="395" t="str">
        <f t="shared" si="23"/>
        <v>General Service 1,500 to 4,999 KW.Low Voltage Service Charge</v>
      </c>
      <c r="D36" s="396" t="s">
        <v>377</v>
      </c>
      <c r="E36" s="320"/>
      <c r="F36" s="418">
        <f>IFERROR(VLOOKUP($C36,'Proposed Rates'!$B:$J,F$11,FALSE),0)</f>
        <v>2.2040000000000001E-2</v>
      </c>
      <c r="G36" s="415">
        <f t="shared" si="24"/>
        <v>1925</v>
      </c>
      <c r="H36" s="400">
        <f t="shared" si="25"/>
        <v>42.427</v>
      </c>
      <c r="I36" s="128"/>
      <c r="J36" s="418">
        <f>IFERROR(VLOOKUP($C36,'Proposed Rates'!$B:$J,J$11,FALSE),0)</f>
        <v>2.315E-2</v>
      </c>
      <c r="K36" s="415">
        <f t="shared" si="26"/>
        <v>1925</v>
      </c>
      <c r="L36" s="400">
        <f t="shared" si="27"/>
        <v>44.563749999999999</v>
      </c>
      <c r="M36" s="128"/>
      <c r="N36" s="401">
        <f t="shared" si="5"/>
        <v>2.1367499999999993</v>
      </c>
      <c r="O36" s="402">
        <f t="shared" si="6"/>
        <v>5.0362976406533561E-2</v>
      </c>
      <c r="P36" s="52"/>
      <c r="Q36" s="418">
        <f>IFERROR(VLOOKUP($C36,'Proposed Rates'!$B:$J,Q$11,FALSE),0)</f>
        <v>2.375E-2</v>
      </c>
      <c r="R36" s="415">
        <f t="shared" si="28"/>
        <v>1925</v>
      </c>
      <c r="S36" s="400">
        <f t="shared" si="29"/>
        <v>45.71875</v>
      </c>
      <c r="T36" s="128"/>
      <c r="U36" s="401">
        <f t="shared" ref="U36:U37" si="38">S36-L36</f>
        <v>1.1550000000000011</v>
      </c>
      <c r="V36" s="402">
        <f t="shared" ref="V36:V37" si="39">IF((L36)=0,"",(U36/L36))</f>
        <v>2.5917926565874758E-2</v>
      </c>
      <c r="W36" s="52"/>
      <c r="X36" s="418">
        <f>IFERROR(VLOOKUP($C36,'Proposed Rates'!$B:$J,X$11,FALSE),0)</f>
        <v>2.4060000000000002E-2</v>
      </c>
      <c r="Y36" s="415">
        <f t="shared" si="30"/>
        <v>1925</v>
      </c>
      <c r="Z36" s="400">
        <f t="shared" si="31"/>
        <v>46.3155</v>
      </c>
      <c r="AA36" s="128"/>
      <c r="AB36" s="401">
        <f t="shared" si="13"/>
        <v>0.59675000000000011</v>
      </c>
      <c r="AC36" s="402">
        <f t="shared" si="14"/>
        <v>1.3052631578947371E-2</v>
      </c>
      <c r="AD36" s="52"/>
      <c r="AE36" s="418">
        <f>IFERROR(VLOOKUP($C36,'Proposed Rates'!$B:$J,AE$11,FALSE),0)</f>
        <v>2.4459999999999999E-2</v>
      </c>
      <c r="AF36" s="415">
        <f t="shared" si="32"/>
        <v>1925</v>
      </c>
      <c r="AG36" s="400">
        <f t="shared" si="33"/>
        <v>47.085499999999996</v>
      </c>
      <c r="AH36" s="128"/>
      <c r="AI36" s="401">
        <f t="shared" si="17"/>
        <v>0.76999999999999602</v>
      </c>
      <c r="AJ36" s="402">
        <f t="shared" si="18"/>
        <v>1.6625103906899332E-2</v>
      </c>
      <c r="AK36" s="52"/>
      <c r="AL36" s="418">
        <f>IFERROR(VLOOKUP($C36,'Proposed Rates'!$B:$J,AL$11,FALSE),0)</f>
        <v>2.4879999999999999E-2</v>
      </c>
      <c r="AM36" s="415">
        <f t="shared" si="34"/>
        <v>1925</v>
      </c>
      <c r="AN36" s="400">
        <f t="shared" si="35"/>
        <v>47.893999999999998</v>
      </c>
      <c r="AO36" s="128"/>
      <c r="AP36" s="401">
        <f t="shared" si="21"/>
        <v>0.80850000000000222</v>
      </c>
      <c r="AQ36" s="402">
        <f t="shared" si="22"/>
        <v>1.7170891251022124E-2</v>
      </c>
      <c r="AR36" s="403"/>
      <c r="AS36" s="3"/>
      <c r="AT36" s="3"/>
      <c r="AU36" s="3"/>
      <c r="AV36" s="3"/>
    </row>
    <row r="37" spans="1:48" ht="12.75" customHeight="1">
      <c r="A37" s="52"/>
      <c r="B37" s="320" t="s">
        <v>312</v>
      </c>
      <c r="C37" s="395" t="str">
        <f t="shared" si="23"/>
        <v>General Service 1,500 to 4,999 KW.Line Losses on Cost of Power</v>
      </c>
      <c r="D37" s="396" t="s">
        <v>308</v>
      </c>
      <c r="E37" s="320"/>
      <c r="F37" s="558"/>
      <c r="G37" s="507">
        <f>$F$9*(1+F65)-$F$9</f>
        <v>30129.320000000065</v>
      </c>
      <c r="H37" s="400">
        <f t="shared" si="25"/>
        <v>0</v>
      </c>
      <c r="I37" s="128"/>
      <c r="J37" s="558"/>
      <c r="K37" s="507">
        <f>$F$9*(1+J65)-$F$9</f>
        <v>29594.479999999865</v>
      </c>
      <c r="L37" s="400">
        <f t="shared" si="27"/>
        <v>0</v>
      </c>
      <c r="M37" s="128"/>
      <c r="N37" s="401">
        <f t="shared" si="5"/>
        <v>0</v>
      </c>
      <c r="O37" s="402" t="str">
        <f t="shared" si="6"/>
        <v/>
      </c>
      <c r="P37" s="52"/>
      <c r="Q37" s="558"/>
      <c r="R37" s="507">
        <f>$F$9*(1+Q65)-$F$9</f>
        <v>29594.479999999865</v>
      </c>
      <c r="S37" s="400">
        <f t="shared" si="29"/>
        <v>0</v>
      </c>
      <c r="T37" s="128"/>
      <c r="U37" s="401">
        <f t="shared" si="38"/>
        <v>0</v>
      </c>
      <c r="V37" s="402" t="str">
        <f t="shared" si="39"/>
        <v/>
      </c>
      <c r="W37" s="52"/>
      <c r="X37" s="558"/>
      <c r="Y37" s="507">
        <f>$F$9*(1+X65)-$F$9</f>
        <v>29594.479999999865</v>
      </c>
      <c r="Z37" s="400">
        <f t="shared" si="31"/>
        <v>0</v>
      </c>
      <c r="AA37" s="128"/>
      <c r="AB37" s="401">
        <f t="shared" si="13"/>
        <v>0</v>
      </c>
      <c r="AC37" s="402" t="str">
        <f t="shared" si="14"/>
        <v/>
      </c>
      <c r="AD37" s="52"/>
      <c r="AE37" s="558"/>
      <c r="AF37" s="507">
        <f>$F$9*(1+AE65)-$F$9</f>
        <v>29594.479999999865</v>
      </c>
      <c r="AG37" s="400">
        <f t="shared" si="33"/>
        <v>0</v>
      </c>
      <c r="AH37" s="128"/>
      <c r="AI37" s="401">
        <f t="shared" si="17"/>
        <v>0</v>
      </c>
      <c r="AJ37" s="402" t="str">
        <f t="shared" si="18"/>
        <v/>
      </c>
      <c r="AK37" s="52"/>
      <c r="AL37" s="558"/>
      <c r="AM37" s="507">
        <f>$F$9*(1+AL65)-$F$9</f>
        <v>29594.479999999865</v>
      </c>
      <c r="AN37" s="400">
        <f t="shared" si="35"/>
        <v>0</v>
      </c>
      <c r="AO37" s="128"/>
      <c r="AP37" s="401">
        <f t="shared" si="21"/>
        <v>0</v>
      </c>
      <c r="AQ37" s="402" t="str">
        <f t="shared" si="22"/>
        <v/>
      </c>
      <c r="AR37" s="403"/>
      <c r="AS37" s="3"/>
      <c r="AT37" s="3"/>
      <c r="AU37" s="3"/>
      <c r="AV37" s="3"/>
    </row>
    <row r="38" spans="1:48" ht="12.75" customHeight="1">
      <c r="A38" s="52"/>
      <c r="B38" s="320" t="s">
        <v>271</v>
      </c>
      <c r="C38" s="395" t="str">
        <f t="shared" si="23"/>
        <v>General Service 1,500 to 4,999 KW.Smart Meter Entity Charge</v>
      </c>
      <c r="D38" s="396" t="s">
        <v>306</v>
      </c>
      <c r="E38" s="320"/>
      <c r="F38" s="418">
        <f>IFERROR(VLOOKUP($C38,'Proposed Rates'!$B:$J,F$11,FALSE),0)</f>
        <v>0</v>
      </c>
      <c r="G38" s="415">
        <f>IF($D38="Monthly",1,IF($D38="per KW",$F$10,IF($D38="per kWh",$F$9,0)))</f>
        <v>1</v>
      </c>
      <c r="H38" s="400">
        <f t="shared" si="25"/>
        <v>0</v>
      </c>
      <c r="I38" s="128"/>
      <c r="J38" s="418">
        <f>IFERROR(VLOOKUP($C38,'Proposed Rates'!$B:$J,J$11,FALSE),0)</f>
        <v>0</v>
      </c>
      <c r="K38" s="415">
        <f>IF($D38="Monthly",1,IF($D38="per KW",$F$10,IF($D38="per kWh",$F$9,0)))</f>
        <v>1</v>
      </c>
      <c r="L38" s="400">
        <f t="shared" si="27"/>
        <v>0</v>
      </c>
      <c r="M38" s="128"/>
      <c r="N38" s="401">
        <f t="shared" si="5"/>
        <v>0</v>
      </c>
      <c r="O38" s="402" t="str">
        <f t="shared" si="6"/>
        <v/>
      </c>
      <c r="P38" s="52"/>
      <c r="Q38" s="418">
        <f>IFERROR(VLOOKUP($C38,'Proposed Rates'!$B:$J,Q$11,FALSE),0)</f>
        <v>0</v>
      </c>
      <c r="R38" s="415">
        <f>IF($D38="Monthly",1,IF($D38="per KW",$F$10,IF($D38="per kWh",$F$9,0)))</f>
        <v>1</v>
      </c>
      <c r="S38" s="400">
        <f t="shared" si="29"/>
        <v>0</v>
      </c>
      <c r="T38" s="128"/>
      <c r="U38" s="401"/>
      <c r="V38" s="402"/>
      <c r="W38" s="52"/>
      <c r="X38" s="418">
        <f>IFERROR(VLOOKUP($C38,'Proposed Rates'!$B:$J,X$11,FALSE),0)</f>
        <v>0</v>
      </c>
      <c r="Y38" s="415">
        <f>IF($D38="Monthly",1,IF($D38="per KW",$F$10,IF($D38="per kWh",$F$9,0)))</f>
        <v>1</v>
      </c>
      <c r="Z38" s="400">
        <f t="shared" si="31"/>
        <v>0</v>
      </c>
      <c r="AA38" s="128"/>
      <c r="AB38" s="401">
        <f t="shared" si="13"/>
        <v>0</v>
      </c>
      <c r="AC38" s="402" t="str">
        <f t="shared" si="14"/>
        <v/>
      </c>
      <c r="AD38" s="52"/>
      <c r="AE38" s="418">
        <f>IFERROR(VLOOKUP($C38,'Proposed Rates'!$B:$J,AE$11,FALSE),0)</f>
        <v>0</v>
      </c>
      <c r="AF38" s="415">
        <f>IF($D38="Monthly",1,IF($D38="per KW",$F$10,IF($D38="per kWh",$F$9,0)))</f>
        <v>1</v>
      </c>
      <c r="AG38" s="400">
        <f t="shared" si="33"/>
        <v>0</v>
      </c>
      <c r="AH38" s="128"/>
      <c r="AI38" s="401">
        <f t="shared" si="17"/>
        <v>0</v>
      </c>
      <c r="AJ38" s="402" t="str">
        <f t="shared" si="18"/>
        <v/>
      </c>
      <c r="AK38" s="52"/>
      <c r="AL38" s="418">
        <f>IFERROR(VLOOKUP($C38,'Proposed Rates'!$B:$J,AL$11,FALSE),0)</f>
        <v>0</v>
      </c>
      <c r="AM38" s="415">
        <f>IF($D38="Monthly",1,IF($D38="per KW",$F$10,IF($D38="per kWh",$F$9,0)))</f>
        <v>1</v>
      </c>
      <c r="AN38" s="400">
        <f t="shared" si="35"/>
        <v>0</v>
      </c>
      <c r="AO38" s="128"/>
      <c r="AP38" s="401">
        <f t="shared" si="21"/>
        <v>0</v>
      </c>
      <c r="AQ38" s="402" t="str">
        <f t="shared" si="22"/>
        <v/>
      </c>
      <c r="AR38" s="403"/>
      <c r="AS38" s="3"/>
      <c r="AT38" s="3"/>
      <c r="AU38" s="3"/>
      <c r="AV38" s="3"/>
    </row>
    <row r="39" spans="1:48" ht="12.75" customHeight="1">
      <c r="A39" s="52"/>
      <c r="B39" s="486" t="s">
        <v>313</v>
      </c>
      <c r="C39" s="559"/>
      <c r="D39" s="422"/>
      <c r="E39" s="422"/>
      <c r="F39" s="423"/>
      <c r="G39" s="501"/>
      <c r="H39" s="409">
        <f>SUM(H30:H38)+H29</f>
        <v>20019.369500000001</v>
      </c>
      <c r="I39" s="425"/>
      <c r="J39" s="423"/>
      <c r="K39" s="501"/>
      <c r="L39" s="409">
        <f>SUM(L30:L38)+L29</f>
        <v>21959.696249999997</v>
      </c>
      <c r="M39" s="425"/>
      <c r="N39" s="411">
        <f t="shared" si="5"/>
        <v>1940.3267499999965</v>
      </c>
      <c r="O39" s="412">
        <f t="shared" si="6"/>
        <v>9.6922470510372297E-2</v>
      </c>
      <c r="P39" s="52"/>
      <c r="Q39" s="423"/>
      <c r="R39" s="501"/>
      <c r="S39" s="409">
        <f>SUM(S30:S38)+S29</f>
        <v>20436.986250000002</v>
      </c>
      <c r="T39" s="425"/>
      <c r="U39" s="411">
        <f t="shared" ref="U39:U46" si="40">S39-L39</f>
        <v>-1522.7099999999955</v>
      </c>
      <c r="V39" s="412">
        <f t="shared" ref="V39:V46" si="41">IF((L39)=0,"",(U39/L39))</f>
        <v>-6.9341123058566698E-2</v>
      </c>
      <c r="W39" s="52"/>
      <c r="X39" s="423"/>
      <c r="Y39" s="501"/>
      <c r="Z39" s="409">
        <f>SUM(Z30:Z38)+Z29</f>
        <v>22262.098000000002</v>
      </c>
      <c r="AA39" s="425"/>
      <c r="AB39" s="411">
        <f t="shared" si="13"/>
        <v>1825.11175</v>
      </c>
      <c r="AC39" s="412">
        <f t="shared" si="14"/>
        <v>8.9304348873846306E-2</v>
      </c>
      <c r="AD39" s="52"/>
      <c r="AE39" s="423"/>
      <c r="AF39" s="501"/>
      <c r="AG39" s="409">
        <f>SUM(AG30:AG38)+AG29</f>
        <v>23689.485500000003</v>
      </c>
      <c r="AH39" s="425"/>
      <c r="AI39" s="411">
        <f t="shared" si="17"/>
        <v>1427.3875000000007</v>
      </c>
      <c r="AJ39" s="412">
        <f t="shared" si="18"/>
        <v>6.4117384623857132E-2</v>
      </c>
      <c r="AK39" s="52"/>
      <c r="AL39" s="423"/>
      <c r="AM39" s="501"/>
      <c r="AN39" s="409">
        <f>SUM(AN30:AN38)+AN29</f>
        <v>25047.419000000002</v>
      </c>
      <c r="AO39" s="425"/>
      <c r="AP39" s="411">
        <f t="shared" si="21"/>
        <v>1357.9334999999992</v>
      </c>
      <c r="AQ39" s="412">
        <f t="shared" si="22"/>
        <v>5.7322203135226346E-2</v>
      </c>
      <c r="AR39" s="413"/>
      <c r="AS39" s="3"/>
      <c r="AT39" s="3"/>
      <c r="AU39" s="3"/>
      <c r="AV39" s="3"/>
    </row>
    <row r="40" spans="1:48" ht="12.75" customHeight="1">
      <c r="A40" s="52"/>
      <c r="B40" s="128" t="s">
        <v>255</v>
      </c>
      <c r="C40" s="395" t="str">
        <f t="shared" ref="C40:C41" si="42">D$6&amp;"."&amp;B40</f>
        <v>General Service 1,500 to 4,999 KW.RTSR - Network</v>
      </c>
      <c r="D40" s="426" t="s">
        <v>377</v>
      </c>
      <c r="E40" s="128"/>
      <c r="F40" s="414">
        <f>IFERROR(VLOOKUP($C40,'Proposed Rates'!$B:$J,F$11,FALSE),0)</f>
        <v>5.0336999999999996</v>
      </c>
      <c r="G40" s="415">
        <f t="shared" ref="G40:G41" si="43">IF($D40="Monthly",1,IF($D40="per KW",$F$10,IF($D40="per kWh",$F$9,0)))</f>
        <v>1925</v>
      </c>
      <c r="H40" s="400">
        <f t="shared" ref="H40:H41" si="44">G40*F40</f>
        <v>9689.8724999999995</v>
      </c>
      <c r="I40" s="128"/>
      <c r="J40" s="414">
        <f>IFERROR(VLOOKUP($C40,'Proposed Rates'!$B:$J,J$11,FALSE),0)</f>
        <v>4.5423999999999998</v>
      </c>
      <c r="K40" s="415">
        <f t="shared" ref="K40:K41" si="45">IF($D40="Monthly",1,IF($D40="per KW",$F$10,IF($D40="per kWh",$F$9,0)))</f>
        <v>1925</v>
      </c>
      <c r="L40" s="400">
        <f t="shared" ref="L40:L41" si="46">K40*J40</f>
        <v>8744.119999999999</v>
      </c>
      <c r="M40" s="128"/>
      <c r="N40" s="401">
        <f t="shared" si="5"/>
        <v>-945.75250000000051</v>
      </c>
      <c r="O40" s="402">
        <f t="shared" si="6"/>
        <v>-9.760216143194872E-2</v>
      </c>
      <c r="P40" s="52"/>
      <c r="Q40" s="414">
        <f>IFERROR(VLOOKUP($C40,'Proposed Rates'!$B:$J,Q$11,FALSE),0)</f>
        <v>4.5423999999999998</v>
      </c>
      <c r="R40" s="415">
        <f t="shared" ref="R40:R41" si="47">IF($D40="Monthly",1,IF($D40="per KW",$F$10,IF($D40="per kWh",$F$9,0)))</f>
        <v>1925</v>
      </c>
      <c r="S40" s="400">
        <f t="shared" ref="S40:S41" si="48">R40*Q40</f>
        <v>8744.119999999999</v>
      </c>
      <c r="T40" s="128"/>
      <c r="U40" s="401">
        <f t="shared" si="40"/>
        <v>0</v>
      </c>
      <c r="V40" s="402">
        <f t="shared" si="41"/>
        <v>0</v>
      </c>
      <c r="W40" s="52"/>
      <c r="X40" s="414">
        <f>IFERROR(VLOOKUP($C40,'Proposed Rates'!$B:$J,X$11,FALSE),0)</f>
        <v>4.5423999999999998</v>
      </c>
      <c r="Y40" s="415">
        <f t="shared" ref="Y40:Y41" si="49">IF($D40="Monthly",1,IF($D40="per KW",$F$10,IF($D40="per kWh",$F$9,0)))</f>
        <v>1925</v>
      </c>
      <c r="Z40" s="400">
        <f t="shared" ref="Z40:Z41" si="50">Y40*X40</f>
        <v>8744.119999999999</v>
      </c>
      <c r="AA40" s="128"/>
      <c r="AB40" s="401">
        <f t="shared" si="13"/>
        <v>0</v>
      </c>
      <c r="AC40" s="402">
        <f t="shared" si="14"/>
        <v>0</v>
      </c>
      <c r="AD40" s="52"/>
      <c r="AE40" s="414">
        <f>IFERROR(VLOOKUP($C40,'Proposed Rates'!$B:$J,AE$11,FALSE),0)</f>
        <v>4.5423999999999998</v>
      </c>
      <c r="AF40" s="415">
        <f t="shared" ref="AF40:AF41" si="51">IF($D40="Monthly",1,IF($D40="per KW",$F$10,IF($D40="per kWh",$F$9,0)))</f>
        <v>1925</v>
      </c>
      <c r="AG40" s="400">
        <f t="shared" ref="AG40:AG41" si="52">AF40*AE40</f>
        <v>8744.119999999999</v>
      </c>
      <c r="AH40" s="128"/>
      <c r="AI40" s="401">
        <f t="shared" si="17"/>
        <v>0</v>
      </c>
      <c r="AJ40" s="402">
        <f t="shared" si="18"/>
        <v>0</v>
      </c>
      <c r="AK40" s="52"/>
      <c r="AL40" s="414">
        <f>IFERROR(VLOOKUP($C40,'Proposed Rates'!$B:$J,AL$11,FALSE),0)</f>
        <v>4.5423999999999998</v>
      </c>
      <c r="AM40" s="415">
        <f t="shared" ref="AM40:AM41" si="53">IF($D40="Monthly",1,IF($D40="per KW",$F$10,IF($D40="per kWh",$F$9,0)))</f>
        <v>1925</v>
      </c>
      <c r="AN40" s="400">
        <f t="shared" ref="AN40:AN41" si="54">AM40*AL40</f>
        <v>8744.119999999999</v>
      </c>
      <c r="AO40" s="128"/>
      <c r="AP40" s="401">
        <f t="shared" si="21"/>
        <v>0</v>
      </c>
      <c r="AQ40" s="402">
        <f t="shared" si="22"/>
        <v>0</v>
      </c>
      <c r="AR40" s="403"/>
      <c r="AS40" s="3"/>
      <c r="AT40" s="3"/>
      <c r="AU40" s="3"/>
      <c r="AV40" s="3"/>
    </row>
    <row r="41" spans="1:48" ht="12.75" customHeight="1">
      <c r="A41" s="52"/>
      <c r="B41" s="487" t="s">
        <v>256</v>
      </c>
      <c r="C41" s="395" t="str">
        <f t="shared" si="42"/>
        <v>General Service 1,500 to 4,999 KW.RTSR - Line and Transformation Connection</v>
      </c>
      <c r="D41" s="426" t="s">
        <v>377</v>
      </c>
      <c r="E41" s="128"/>
      <c r="F41" s="414">
        <f>IFERROR(VLOOKUP($C41,'Proposed Rates'!$B:$J,F$11,FALSE),0)</f>
        <v>3.0125999999999999</v>
      </c>
      <c r="G41" s="415">
        <f t="shared" si="43"/>
        <v>1925</v>
      </c>
      <c r="H41" s="400">
        <f t="shared" si="44"/>
        <v>5799.2550000000001</v>
      </c>
      <c r="I41" s="128"/>
      <c r="J41" s="414">
        <f>IFERROR(VLOOKUP($C41,'Proposed Rates'!$B:$J,J$11,FALSE),0)</f>
        <v>2.5712000000000002</v>
      </c>
      <c r="K41" s="415">
        <f t="shared" si="45"/>
        <v>1925</v>
      </c>
      <c r="L41" s="400">
        <f t="shared" si="46"/>
        <v>4949.5600000000004</v>
      </c>
      <c r="M41" s="128"/>
      <c r="N41" s="401">
        <f t="shared" si="5"/>
        <v>-849.69499999999971</v>
      </c>
      <c r="O41" s="402">
        <f t="shared" si="6"/>
        <v>-0.14651795791011082</v>
      </c>
      <c r="P41" s="52"/>
      <c r="Q41" s="414">
        <f>IFERROR(VLOOKUP($C41,'Proposed Rates'!$B:$J,Q$11,FALSE),0)</f>
        <v>2.5712000000000002</v>
      </c>
      <c r="R41" s="415">
        <f t="shared" si="47"/>
        <v>1925</v>
      </c>
      <c r="S41" s="400">
        <f t="shared" si="48"/>
        <v>4949.5600000000004</v>
      </c>
      <c r="T41" s="128"/>
      <c r="U41" s="401">
        <f t="shared" si="40"/>
        <v>0</v>
      </c>
      <c r="V41" s="402">
        <f t="shared" si="41"/>
        <v>0</v>
      </c>
      <c r="W41" s="52"/>
      <c r="X41" s="414">
        <f>IFERROR(VLOOKUP($C41,'Proposed Rates'!$B:$J,X$11,FALSE),0)</f>
        <v>2.5712000000000002</v>
      </c>
      <c r="Y41" s="415">
        <f t="shared" si="49"/>
        <v>1925</v>
      </c>
      <c r="Z41" s="400">
        <f t="shared" si="50"/>
        <v>4949.5600000000004</v>
      </c>
      <c r="AA41" s="128"/>
      <c r="AB41" s="401">
        <f t="shared" si="13"/>
        <v>0</v>
      </c>
      <c r="AC41" s="402">
        <f t="shared" si="14"/>
        <v>0</v>
      </c>
      <c r="AD41" s="52"/>
      <c r="AE41" s="414">
        <f>IFERROR(VLOOKUP($C41,'Proposed Rates'!$B:$J,AE$11,FALSE),0)</f>
        <v>2.5712000000000002</v>
      </c>
      <c r="AF41" s="415">
        <f t="shared" si="51"/>
        <v>1925</v>
      </c>
      <c r="AG41" s="400">
        <f t="shared" si="52"/>
        <v>4949.5600000000004</v>
      </c>
      <c r="AH41" s="128"/>
      <c r="AI41" s="401">
        <f t="shared" si="17"/>
        <v>0</v>
      </c>
      <c r="AJ41" s="402">
        <f t="shared" si="18"/>
        <v>0</v>
      </c>
      <c r="AK41" s="52"/>
      <c r="AL41" s="414">
        <f>IFERROR(VLOOKUP($C41,'Proposed Rates'!$B:$J,AL$11,FALSE),0)</f>
        <v>2.5712000000000002</v>
      </c>
      <c r="AM41" s="415">
        <f t="shared" si="53"/>
        <v>1925</v>
      </c>
      <c r="AN41" s="400">
        <f t="shared" si="54"/>
        <v>4949.5600000000004</v>
      </c>
      <c r="AO41" s="128"/>
      <c r="AP41" s="401">
        <f t="shared" si="21"/>
        <v>0</v>
      </c>
      <c r="AQ41" s="402">
        <f t="shared" si="22"/>
        <v>0</v>
      </c>
      <c r="AR41" s="403"/>
      <c r="AS41" s="3"/>
      <c r="AT41" s="3"/>
      <c r="AU41" s="3"/>
      <c r="AV41" s="3"/>
    </row>
    <row r="42" spans="1:48" ht="12.75" customHeight="1">
      <c r="A42" s="52"/>
      <c r="B42" s="486" t="s">
        <v>314</v>
      </c>
      <c r="C42" s="560"/>
      <c r="D42" s="427"/>
      <c r="E42" s="427"/>
      <c r="F42" s="428"/>
      <c r="G42" s="501"/>
      <c r="H42" s="409">
        <f>SUM(H39:H41)</f>
        <v>35508.496999999996</v>
      </c>
      <c r="I42" s="410"/>
      <c r="J42" s="428"/>
      <c r="K42" s="501"/>
      <c r="L42" s="409">
        <f>SUM(L39:L41)</f>
        <v>35653.376249999994</v>
      </c>
      <c r="M42" s="410"/>
      <c r="N42" s="411">
        <f t="shared" si="5"/>
        <v>144.87924999999814</v>
      </c>
      <c r="O42" s="412">
        <f t="shared" si="6"/>
        <v>4.080129046295543E-3</v>
      </c>
      <c r="P42" s="52"/>
      <c r="Q42" s="428"/>
      <c r="R42" s="501"/>
      <c r="S42" s="409">
        <f>SUM(S39:S41)</f>
        <v>34130.666250000002</v>
      </c>
      <c r="T42" s="410"/>
      <c r="U42" s="411">
        <f t="shared" si="40"/>
        <v>-1522.7099999999919</v>
      </c>
      <c r="V42" s="412">
        <f t="shared" si="41"/>
        <v>-4.2708718224125891E-2</v>
      </c>
      <c r="W42" s="52"/>
      <c r="X42" s="428"/>
      <c r="Y42" s="501"/>
      <c r="Z42" s="409">
        <f>SUM(Z39:Z41)</f>
        <v>35955.777999999998</v>
      </c>
      <c r="AA42" s="410"/>
      <c r="AB42" s="411">
        <f t="shared" si="13"/>
        <v>1825.1117499999964</v>
      </c>
      <c r="AC42" s="412">
        <f t="shared" si="14"/>
        <v>5.3474249129256197E-2</v>
      </c>
      <c r="AD42" s="52"/>
      <c r="AE42" s="428"/>
      <c r="AF42" s="501"/>
      <c r="AG42" s="409">
        <f>SUM(AG39:AG41)</f>
        <v>37383.165500000003</v>
      </c>
      <c r="AH42" s="410"/>
      <c r="AI42" s="411">
        <f t="shared" si="17"/>
        <v>1427.3875000000044</v>
      </c>
      <c r="AJ42" s="412">
        <f t="shared" si="18"/>
        <v>3.9698417873199811E-2</v>
      </c>
      <c r="AK42" s="52"/>
      <c r="AL42" s="428"/>
      <c r="AM42" s="501"/>
      <c r="AN42" s="409">
        <f>SUM(AN39:AN41)</f>
        <v>38741.099000000002</v>
      </c>
      <c r="AO42" s="410"/>
      <c r="AP42" s="411">
        <f t="shared" si="21"/>
        <v>1357.9334999999992</v>
      </c>
      <c r="AQ42" s="412">
        <f t="shared" si="22"/>
        <v>3.6324732853348099E-2</v>
      </c>
      <c r="AR42" s="413"/>
      <c r="AS42" s="3"/>
      <c r="AT42" s="3"/>
      <c r="AU42" s="3"/>
      <c r="AV42" s="3"/>
    </row>
    <row r="43" spans="1:48" ht="12.75" customHeight="1">
      <c r="A43" s="52"/>
      <c r="B43" s="488" t="s">
        <v>257</v>
      </c>
      <c r="C43" s="395" t="str">
        <f t="shared" ref="C43:C45" si="55">D$6&amp;"."&amp;B43</f>
        <v>General Service 1,500 to 4,999 KW.Wholesale Market Service Charge (WMSC)</v>
      </c>
      <c r="D43" s="396" t="s">
        <v>308</v>
      </c>
      <c r="E43" s="320"/>
      <c r="F43" s="414">
        <f>IFERROR(VLOOKUP($C43,'Proposed Rates'!$B:$J,F$11,FALSE),0)</f>
        <v>4.4999999999999997E-3</v>
      </c>
      <c r="G43" s="508">
        <f t="shared" ref="G43:G44" si="56">$F$9+G$37</f>
        <v>921529.32000000007</v>
      </c>
      <c r="H43" s="400">
        <f t="shared" ref="H43:H46" si="57">G43*F43</f>
        <v>4146.8819400000002</v>
      </c>
      <c r="I43" s="128"/>
      <c r="J43" s="414">
        <f>IFERROR(VLOOKUP($C43,'Proposed Rates'!$B:$J,J$11,FALSE),0)</f>
        <v>4.4999999999999997E-3</v>
      </c>
      <c r="K43" s="508">
        <f t="shared" ref="K43:K44" si="58">$F$9+K$37</f>
        <v>920994.47999999986</v>
      </c>
      <c r="L43" s="400">
        <f t="shared" ref="L43:L46" si="59">K43*J43</f>
        <v>4144.4751599999991</v>
      </c>
      <c r="M43" s="128"/>
      <c r="N43" s="401">
        <f t="shared" si="5"/>
        <v>-2.406780000001163</v>
      </c>
      <c r="O43" s="402">
        <f t="shared" si="6"/>
        <v>-5.8038305281513818E-4</v>
      </c>
      <c r="P43" s="52"/>
      <c r="Q43" s="414">
        <f>IFERROR(VLOOKUP($C43,'Proposed Rates'!$B:$J,Q$11,FALSE),0)</f>
        <v>4.4999999999999997E-3</v>
      </c>
      <c r="R43" s="508">
        <f t="shared" ref="R43:R44" si="60">$F$9+R$37</f>
        <v>920994.47999999986</v>
      </c>
      <c r="S43" s="400">
        <f t="shared" ref="S43:S46" si="61">R43*Q43</f>
        <v>4144.4751599999991</v>
      </c>
      <c r="T43" s="128"/>
      <c r="U43" s="401">
        <f t="shared" si="40"/>
        <v>0</v>
      </c>
      <c r="V43" s="402">
        <f t="shared" si="41"/>
        <v>0</v>
      </c>
      <c r="W43" s="52"/>
      <c r="X43" s="414">
        <f>IFERROR(VLOOKUP($C43,'Proposed Rates'!$B:$J,X$11,FALSE),0)</f>
        <v>4.4999999999999997E-3</v>
      </c>
      <c r="Y43" s="508">
        <f t="shared" ref="Y43:Y44" si="62">$F$9+Y$37</f>
        <v>920994.47999999986</v>
      </c>
      <c r="Z43" s="400">
        <f t="shared" ref="Z43:Z46" si="63">Y43*X43</f>
        <v>4144.4751599999991</v>
      </c>
      <c r="AA43" s="128"/>
      <c r="AB43" s="401">
        <f t="shared" si="13"/>
        <v>0</v>
      </c>
      <c r="AC43" s="402">
        <f t="shared" si="14"/>
        <v>0</v>
      </c>
      <c r="AD43" s="52"/>
      <c r="AE43" s="414">
        <f>IFERROR(VLOOKUP($C43,'Proposed Rates'!$B:$J,AE$11,FALSE),0)</f>
        <v>4.4999999999999997E-3</v>
      </c>
      <c r="AF43" s="508">
        <f t="shared" ref="AF43:AF44" si="64">$F$9+AF$37</f>
        <v>920994.47999999986</v>
      </c>
      <c r="AG43" s="400">
        <f t="shared" ref="AG43:AG46" si="65">AF43*AE43</f>
        <v>4144.4751599999991</v>
      </c>
      <c r="AH43" s="128"/>
      <c r="AI43" s="401">
        <f t="shared" si="17"/>
        <v>0</v>
      </c>
      <c r="AJ43" s="402">
        <f t="shared" si="18"/>
        <v>0</v>
      </c>
      <c r="AK43" s="52"/>
      <c r="AL43" s="414">
        <f>IFERROR(VLOOKUP($C43,'Proposed Rates'!$B:$J,AL$11,FALSE),0)</f>
        <v>4.4999999999999997E-3</v>
      </c>
      <c r="AM43" s="508">
        <f t="shared" ref="AM43:AM44" si="66">$F$9+AM$37</f>
        <v>920994.47999999986</v>
      </c>
      <c r="AN43" s="400">
        <f t="shared" ref="AN43:AN46" si="67">AM43*AL43</f>
        <v>4144.4751599999991</v>
      </c>
      <c r="AO43" s="128"/>
      <c r="AP43" s="401">
        <f t="shared" si="21"/>
        <v>0</v>
      </c>
      <c r="AQ43" s="402">
        <f t="shared" si="22"/>
        <v>0</v>
      </c>
      <c r="AR43" s="403"/>
      <c r="AS43" s="3"/>
      <c r="AT43" s="3"/>
      <c r="AU43" s="3"/>
      <c r="AV43" s="3"/>
    </row>
    <row r="44" spans="1:48" ht="12.75" customHeight="1">
      <c r="A44" s="52"/>
      <c r="B44" s="488" t="s">
        <v>258</v>
      </c>
      <c r="C44" s="395" t="str">
        <f t="shared" si="55"/>
        <v>General Service 1,500 to 4,999 KW.Rural and Remote Rate Protection (RRRP)</v>
      </c>
      <c r="D44" s="396" t="s">
        <v>308</v>
      </c>
      <c r="E44" s="320"/>
      <c r="F44" s="414">
        <f>IFERROR(VLOOKUP($C44,'Proposed Rates'!$B:$J,F$11,FALSE),0)</f>
        <v>1.5E-3</v>
      </c>
      <c r="G44" s="508">
        <f t="shared" si="56"/>
        <v>921529.32000000007</v>
      </c>
      <c r="H44" s="400">
        <f t="shared" si="57"/>
        <v>1382.2939800000001</v>
      </c>
      <c r="I44" s="128"/>
      <c r="J44" s="414">
        <f>IFERROR(VLOOKUP($C44,'Proposed Rates'!$B:$J,J$11,FALSE),0)</f>
        <v>1.5E-3</v>
      </c>
      <c r="K44" s="508">
        <f t="shared" si="58"/>
        <v>920994.47999999986</v>
      </c>
      <c r="L44" s="400">
        <f t="shared" si="59"/>
        <v>1381.4917199999998</v>
      </c>
      <c r="M44" s="128"/>
      <c r="N44" s="401">
        <f t="shared" si="5"/>
        <v>-0.80226000000038766</v>
      </c>
      <c r="O44" s="402">
        <f t="shared" si="6"/>
        <v>-5.8038305281513818E-4</v>
      </c>
      <c r="P44" s="52"/>
      <c r="Q44" s="414">
        <f>IFERROR(VLOOKUP($C44,'Proposed Rates'!$B:$J,Q$11,FALSE),0)</f>
        <v>1.5E-3</v>
      </c>
      <c r="R44" s="508">
        <f t="shared" si="60"/>
        <v>920994.47999999986</v>
      </c>
      <c r="S44" s="400">
        <f t="shared" si="61"/>
        <v>1381.4917199999998</v>
      </c>
      <c r="T44" s="128"/>
      <c r="U44" s="401">
        <f t="shared" si="40"/>
        <v>0</v>
      </c>
      <c r="V44" s="402">
        <f t="shared" si="41"/>
        <v>0</v>
      </c>
      <c r="W44" s="52"/>
      <c r="X44" s="414">
        <f>IFERROR(VLOOKUP($C44,'Proposed Rates'!$B:$J,X$11,FALSE),0)</f>
        <v>1.5E-3</v>
      </c>
      <c r="Y44" s="508">
        <f t="shared" si="62"/>
        <v>920994.47999999986</v>
      </c>
      <c r="Z44" s="400">
        <f t="shared" si="63"/>
        <v>1381.4917199999998</v>
      </c>
      <c r="AA44" s="128"/>
      <c r="AB44" s="401">
        <f t="shared" si="13"/>
        <v>0</v>
      </c>
      <c r="AC44" s="402">
        <f t="shared" si="14"/>
        <v>0</v>
      </c>
      <c r="AD44" s="52"/>
      <c r="AE44" s="414">
        <f>IFERROR(VLOOKUP($C44,'Proposed Rates'!$B:$J,AE$11,FALSE),0)</f>
        <v>1.5E-3</v>
      </c>
      <c r="AF44" s="508">
        <f t="shared" si="64"/>
        <v>920994.47999999986</v>
      </c>
      <c r="AG44" s="400">
        <f t="shared" si="65"/>
        <v>1381.4917199999998</v>
      </c>
      <c r="AH44" s="128"/>
      <c r="AI44" s="401">
        <f t="shared" si="17"/>
        <v>0</v>
      </c>
      <c r="AJ44" s="402">
        <f t="shared" si="18"/>
        <v>0</v>
      </c>
      <c r="AK44" s="52"/>
      <c r="AL44" s="414">
        <f>IFERROR(VLOOKUP($C44,'Proposed Rates'!$B:$J,AL$11,FALSE),0)</f>
        <v>1.5E-3</v>
      </c>
      <c r="AM44" s="508">
        <f t="shared" si="66"/>
        <v>920994.47999999986</v>
      </c>
      <c r="AN44" s="400">
        <f t="shared" si="67"/>
        <v>1381.4917199999998</v>
      </c>
      <c r="AO44" s="128"/>
      <c r="AP44" s="401">
        <f t="shared" si="21"/>
        <v>0</v>
      </c>
      <c r="AQ44" s="402">
        <f t="shared" si="22"/>
        <v>0</v>
      </c>
      <c r="AR44" s="403"/>
      <c r="AS44" s="3"/>
      <c r="AT44" s="3"/>
      <c r="AU44" s="3"/>
      <c r="AV44" s="3"/>
    </row>
    <row r="45" spans="1:48" ht="12.75" customHeight="1">
      <c r="A45" s="52"/>
      <c r="B45" s="320" t="s">
        <v>260</v>
      </c>
      <c r="C45" s="395" t="str">
        <f t="shared" si="55"/>
        <v>General Service 1,500 to 4,999 KW.Standard Supply Service Charge</v>
      </c>
      <c r="D45" s="396" t="s">
        <v>306</v>
      </c>
      <c r="E45" s="320"/>
      <c r="F45" s="414">
        <f>IFERROR(VLOOKUP($C45,'Proposed Rates'!$B:$J,F$11,FALSE),0)</f>
        <v>0.25</v>
      </c>
      <c r="G45" s="415">
        <f>IF($D45="Monthly",1,IF($D45="per KW",$F$10,IF($D45="per kWh",$F$9,0)))</f>
        <v>1</v>
      </c>
      <c r="H45" s="400">
        <f t="shared" si="57"/>
        <v>0.25</v>
      </c>
      <c r="I45" s="128"/>
      <c r="J45" s="414">
        <f>IFERROR(VLOOKUP($C45,'Proposed Rates'!$B:$J,J$11,FALSE),0)</f>
        <v>1.51</v>
      </c>
      <c r="K45" s="415">
        <f>IF($D45="Monthly",1,IF($D45="per KW",$F$10,IF($D45="per kWh",$F$9,0)))</f>
        <v>1</v>
      </c>
      <c r="L45" s="400">
        <f t="shared" si="59"/>
        <v>1.51</v>
      </c>
      <c r="M45" s="128"/>
      <c r="N45" s="401">
        <f t="shared" si="5"/>
        <v>1.26</v>
      </c>
      <c r="O45" s="402">
        <f t="shared" si="6"/>
        <v>5.04</v>
      </c>
      <c r="P45" s="52"/>
      <c r="Q45" s="414">
        <f>IFERROR(VLOOKUP($C45,'Proposed Rates'!$B:$J,Q$11,FALSE),0)</f>
        <v>1.54</v>
      </c>
      <c r="R45" s="415">
        <f>IF($D45="Monthly",1,IF($D45="per KW",$F$10,IF($D45="per kWh",$F$9,0)))</f>
        <v>1</v>
      </c>
      <c r="S45" s="400">
        <f t="shared" si="61"/>
        <v>1.54</v>
      </c>
      <c r="T45" s="128"/>
      <c r="U45" s="401">
        <f t="shared" si="40"/>
        <v>3.0000000000000027E-2</v>
      </c>
      <c r="V45" s="402">
        <f t="shared" si="41"/>
        <v>1.986754966887419E-2</v>
      </c>
      <c r="W45" s="52"/>
      <c r="X45" s="414">
        <f>IFERROR(VLOOKUP($C45,'Proposed Rates'!$B:$J,X$11,FALSE),0)</f>
        <v>1.57</v>
      </c>
      <c r="Y45" s="415">
        <f>IF($D45="Monthly",1,IF($D45="per KW",$F$10,IF($D45="per kWh",$F$9,0)))</f>
        <v>1</v>
      </c>
      <c r="Z45" s="400">
        <f t="shared" si="63"/>
        <v>1.57</v>
      </c>
      <c r="AA45" s="128"/>
      <c r="AB45" s="401">
        <f t="shared" si="13"/>
        <v>3.0000000000000027E-2</v>
      </c>
      <c r="AC45" s="402">
        <f t="shared" si="14"/>
        <v>1.9480519480519497E-2</v>
      </c>
      <c r="AD45" s="52"/>
      <c r="AE45" s="414">
        <f>IFERROR(VLOOKUP($C45,'Proposed Rates'!$B:$J,AE$11,FALSE),0)</f>
        <v>1.6</v>
      </c>
      <c r="AF45" s="415">
        <f>IF($D45="Monthly",1,IF($D45="per KW",$F$10,IF($D45="per kWh",$F$9,0)))</f>
        <v>1</v>
      </c>
      <c r="AG45" s="400">
        <f t="shared" si="65"/>
        <v>1.6</v>
      </c>
      <c r="AH45" s="128"/>
      <c r="AI45" s="401">
        <f t="shared" si="17"/>
        <v>3.0000000000000027E-2</v>
      </c>
      <c r="AJ45" s="402">
        <f t="shared" si="18"/>
        <v>1.9108280254777087E-2</v>
      </c>
      <c r="AK45" s="52"/>
      <c r="AL45" s="414">
        <f>IFERROR(VLOOKUP($C45,'Proposed Rates'!$B:$J,AL$11,FALSE),0)</f>
        <v>1.63</v>
      </c>
      <c r="AM45" s="415">
        <f>IF($D45="Monthly",1,IF($D45="per KW",$F$10,IF($D45="per kWh",$F$9,0)))</f>
        <v>1</v>
      </c>
      <c r="AN45" s="400">
        <f t="shared" si="67"/>
        <v>1.63</v>
      </c>
      <c r="AO45" s="128"/>
      <c r="AP45" s="401">
        <f t="shared" si="21"/>
        <v>2.9999999999999805E-2</v>
      </c>
      <c r="AQ45" s="402">
        <f t="shared" si="22"/>
        <v>1.8749999999999878E-2</v>
      </c>
      <c r="AR45" s="403"/>
      <c r="AS45" s="3"/>
      <c r="AT45" s="3"/>
      <c r="AU45" s="3"/>
      <c r="AV45" s="3"/>
    </row>
    <row r="46" spans="1:48" ht="12.75" customHeight="1">
      <c r="A46" s="52"/>
      <c r="B46" s="320" t="s">
        <v>267</v>
      </c>
      <c r="C46" s="395" t="str">
        <f>B46</f>
        <v>Average IESO Wholesale Market Price</v>
      </c>
      <c r="D46" s="396" t="s">
        <v>308</v>
      </c>
      <c r="E46" s="320"/>
      <c r="F46" s="414">
        <f>IFERROR(VLOOKUP($C46,'Proposed Rates'!$B:$J,F$11,FALSE),0)</f>
        <v>0.1045</v>
      </c>
      <c r="G46" s="508">
        <f>$F$9+G$37</f>
        <v>921529.32000000007</v>
      </c>
      <c r="H46" s="400">
        <f t="shared" si="57"/>
        <v>96299.813940000007</v>
      </c>
      <c r="I46" s="128"/>
      <c r="J46" s="414">
        <f>IFERROR(VLOOKUP($C46,'Proposed Rates'!$B:$J,J$11,FALSE),0)</f>
        <v>0.1045</v>
      </c>
      <c r="K46" s="508">
        <f>$F$9+K$37</f>
        <v>920994.47999999986</v>
      </c>
      <c r="L46" s="400">
        <f t="shared" si="59"/>
        <v>96243.923159999977</v>
      </c>
      <c r="M46" s="128"/>
      <c r="N46" s="401">
        <f t="shared" si="5"/>
        <v>-55.890780000030645</v>
      </c>
      <c r="O46" s="402">
        <f t="shared" si="6"/>
        <v>-5.8038305281517602E-4</v>
      </c>
      <c r="P46" s="52"/>
      <c r="Q46" s="414">
        <f>IFERROR(VLOOKUP($C46,'Proposed Rates'!$B:$J,Q$11,FALSE),0)</f>
        <v>0.1045</v>
      </c>
      <c r="R46" s="508">
        <f>$F$9+R$37</f>
        <v>920994.47999999986</v>
      </c>
      <c r="S46" s="400">
        <f t="shared" si="61"/>
        <v>96243.923159999977</v>
      </c>
      <c r="T46" s="128"/>
      <c r="U46" s="401">
        <f t="shared" si="40"/>
        <v>0</v>
      </c>
      <c r="V46" s="402">
        <f t="shared" si="41"/>
        <v>0</v>
      </c>
      <c r="W46" s="52"/>
      <c r="X46" s="414">
        <f>IFERROR(VLOOKUP($C46,'Proposed Rates'!$B:$J,X$11,FALSE),0)</f>
        <v>0.1045</v>
      </c>
      <c r="Y46" s="508">
        <f>$F$9+Y$37</f>
        <v>920994.47999999986</v>
      </c>
      <c r="Z46" s="400">
        <f t="shared" si="63"/>
        <v>96243.923159999977</v>
      </c>
      <c r="AA46" s="128"/>
      <c r="AB46" s="401">
        <f t="shared" si="13"/>
        <v>0</v>
      </c>
      <c r="AC46" s="402">
        <f t="shared" si="14"/>
        <v>0</v>
      </c>
      <c r="AD46" s="52"/>
      <c r="AE46" s="414">
        <f>IFERROR(VLOOKUP($C46,'Proposed Rates'!$B:$J,AE$11,FALSE),0)</f>
        <v>0.1045</v>
      </c>
      <c r="AF46" s="508">
        <f>$F$9+AF$37</f>
        <v>920994.47999999986</v>
      </c>
      <c r="AG46" s="400">
        <f t="shared" si="65"/>
        <v>96243.923159999977</v>
      </c>
      <c r="AH46" s="128"/>
      <c r="AI46" s="401">
        <f t="shared" si="17"/>
        <v>0</v>
      </c>
      <c r="AJ46" s="402">
        <f t="shared" si="18"/>
        <v>0</v>
      </c>
      <c r="AK46" s="52"/>
      <c r="AL46" s="414">
        <f>IFERROR(VLOOKUP($C46,'Proposed Rates'!$B:$J,AL$11,FALSE),0)</f>
        <v>0.1045</v>
      </c>
      <c r="AM46" s="508">
        <f>$F$9+AM$37</f>
        <v>920994.47999999986</v>
      </c>
      <c r="AN46" s="400">
        <f t="shared" si="67"/>
        <v>96243.923159999977</v>
      </c>
      <c r="AO46" s="128"/>
      <c r="AP46" s="401">
        <f t="shared" si="21"/>
        <v>0</v>
      </c>
      <c r="AQ46" s="402">
        <f t="shared" si="22"/>
        <v>0</v>
      </c>
      <c r="AR46" s="403"/>
      <c r="AS46" s="3"/>
      <c r="AT46" s="3"/>
      <c r="AU46" s="3"/>
      <c r="AV46" s="3"/>
    </row>
    <row r="47" spans="1:48" ht="7.5" customHeight="1">
      <c r="A47" s="52"/>
      <c r="B47" s="320"/>
      <c r="C47" s="395" t="str">
        <f t="shared" ref="C47:C50" si="68">D$6&amp;"."&amp;B47</f>
        <v>General Service 1,500 to 4,999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c r="AS47" s="3"/>
      <c r="AT47" s="3"/>
      <c r="AU47" s="3"/>
      <c r="AV47" s="3"/>
    </row>
    <row r="48" spans="1:48" ht="7.5" customHeight="1">
      <c r="A48" s="52"/>
      <c r="B48" s="52"/>
      <c r="C48" s="395" t="str">
        <f t="shared" si="68"/>
        <v>General Service 1,500 to 4,999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c r="AS48" s="3"/>
      <c r="AT48" s="3"/>
      <c r="AU48" s="3"/>
      <c r="AV48" s="3"/>
    </row>
    <row r="49" spans="1:48" ht="7.5" customHeight="1">
      <c r="A49" s="52"/>
      <c r="B49" s="320"/>
      <c r="C49" s="395" t="str">
        <f t="shared" si="68"/>
        <v>General Service 1,500 to 4,999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c r="AS49" s="3"/>
      <c r="AT49" s="3"/>
      <c r="AU49" s="3"/>
      <c r="AV49" s="3"/>
    </row>
    <row r="50" spans="1:48" ht="7.5" customHeight="1">
      <c r="A50" s="52"/>
      <c r="B50" s="320"/>
      <c r="C50" s="395" t="str">
        <f t="shared" si="68"/>
        <v>General Service 1,500 to 4,999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c r="AS50" s="3"/>
      <c r="AT50" s="3"/>
      <c r="AU50" s="3"/>
      <c r="AV50" s="3"/>
    </row>
    <row r="51" spans="1:48"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3"/>
      <c r="AT51" s="3"/>
      <c r="AU51" s="3"/>
      <c r="AV51" s="3"/>
    </row>
    <row r="52" spans="1:48" ht="12.75" customHeight="1">
      <c r="A52" s="52"/>
      <c r="B52" s="444" t="s">
        <v>315</v>
      </c>
      <c r="C52" s="562"/>
      <c r="D52" s="320"/>
      <c r="E52" s="320"/>
      <c r="F52" s="445"/>
      <c r="G52" s="489"/>
      <c r="H52" s="447">
        <f>SUM(H43:H48,H42)</f>
        <v>137337.73686</v>
      </c>
      <c r="I52" s="482"/>
      <c r="J52" s="446"/>
      <c r="K52" s="446"/>
      <c r="L52" s="447">
        <f>SUM(L43:L48,L42)</f>
        <v>137424.77628999998</v>
      </c>
      <c r="M52" s="449"/>
      <c r="N52" s="448">
        <f t="shared" ref="N52:N56" si="69">L52-H52</f>
        <v>87.039429999975255</v>
      </c>
      <c r="O52" s="450">
        <f t="shared" ref="O52:O56" si="70">IF((H52)=0,"",(N52/H52))</f>
        <v>6.3376193601254638E-4</v>
      </c>
      <c r="P52" s="52"/>
      <c r="Q52" s="446"/>
      <c r="R52" s="446"/>
      <c r="S52" s="447">
        <f>SUM(S43:S48,S42)</f>
        <v>135902.09628999999</v>
      </c>
      <c r="T52" s="449"/>
      <c r="U52" s="448">
        <f t="shared" ref="U52:U56" si="71">S52-L52</f>
        <v>-1522.679999999993</v>
      </c>
      <c r="V52" s="450">
        <f t="shared" ref="V52:V56" si="72">IF((L52)=0,"",(U52/L52))</f>
        <v>-1.108009808061659E-2</v>
      </c>
      <c r="W52" s="52"/>
      <c r="X52" s="446"/>
      <c r="Y52" s="446"/>
      <c r="Z52" s="447">
        <f>SUM(Z43:Z48,Z42)</f>
        <v>137727.23803999997</v>
      </c>
      <c r="AA52" s="449"/>
      <c r="AB52" s="448">
        <f t="shared" ref="AB52:AB56" si="73">Z52-S52</f>
        <v>1825.1417499999807</v>
      </c>
      <c r="AC52" s="450">
        <f t="shared" ref="AC52:AC56" si="74">IF((S52)=0,"",(AB52/S52))</f>
        <v>1.3429827793865158E-2</v>
      </c>
      <c r="AD52" s="52"/>
      <c r="AE52" s="446"/>
      <c r="AF52" s="446"/>
      <c r="AG52" s="447">
        <f>SUM(AG43:AG48,AG42)</f>
        <v>139154.65553999998</v>
      </c>
      <c r="AH52" s="449"/>
      <c r="AI52" s="448">
        <f t="shared" ref="AI52:AI56" si="75">AG52-Z52</f>
        <v>1427.4175000000105</v>
      </c>
      <c r="AJ52" s="450">
        <f t="shared" ref="AJ52:AJ56" si="76">IF((Z52)=0,"",(AI52/Z52))</f>
        <v>1.0364090068991635E-2</v>
      </c>
      <c r="AK52" s="52"/>
      <c r="AL52" s="446"/>
      <c r="AM52" s="446"/>
      <c r="AN52" s="447">
        <f>SUM(AN43:AN48,AN42)</f>
        <v>140512.61903999996</v>
      </c>
      <c r="AO52" s="449"/>
      <c r="AP52" s="448">
        <f t="shared" ref="AP52:AP56" si="77">AN52-AG52</f>
        <v>1357.9634999999835</v>
      </c>
      <c r="AQ52" s="450">
        <f t="shared" ref="AQ52:AQ56" si="78">IF((AG52)=0,"",(AP52/AG52))</f>
        <v>9.7586638027330475E-3</v>
      </c>
      <c r="AR52" s="451"/>
      <c r="AS52" s="3"/>
      <c r="AT52" s="3"/>
      <c r="AU52" s="3"/>
      <c r="AV52" s="3"/>
    </row>
    <row r="53" spans="1:48" ht="12.75" customHeight="1">
      <c r="A53" s="52"/>
      <c r="B53" s="452" t="s">
        <v>316</v>
      </c>
      <c r="C53" s="562"/>
      <c r="D53" s="320"/>
      <c r="E53" s="320"/>
      <c r="F53" s="445">
        <v>0.13</v>
      </c>
      <c r="G53" s="128"/>
      <c r="H53" s="490">
        <f>H52*F53</f>
        <v>17853.9057918</v>
      </c>
      <c r="I53" s="417"/>
      <c r="J53" s="453">
        <v>0.13</v>
      </c>
      <c r="K53" s="417"/>
      <c r="L53" s="400">
        <f>L52*J53</f>
        <v>17865.220917699997</v>
      </c>
      <c r="M53" s="128"/>
      <c r="N53" s="401">
        <f t="shared" si="69"/>
        <v>11.315125899996929</v>
      </c>
      <c r="O53" s="402">
        <f t="shared" si="70"/>
        <v>6.3376193601255451E-4</v>
      </c>
      <c r="P53" s="52"/>
      <c r="Q53" s="453">
        <v>0.13</v>
      </c>
      <c r="R53" s="417"/>
      <c r="S53" s="400">
        <f>S52*Q53</f>
        <v>17667.272517699999</v>
      </c>
      <c r="T53" s="128"/>
      <c r="U53" s="401">
        <f t="shared" si="71"/>
        <v>-197.94839999999749</v>
      </c>
      <c r="V53" s="402">
        <f t="shared" si="72"/>
        <v>-1.1080098080616501E-2</v>
      </c>
      <c r="W53" s="52"/>
      <c r="X53" s="453">
        <v>0.13</v>
      </c>
      <c r="Y53" s="417"/>
      <c r="Z53" s="400">
        <f>Z52*X53</f>
        <v>17904.540945199995</v>
      </c>
      <c r="AA53" s="128"/>
      <c r="AB53" s="401">
        <f t="shared" si="73"/>
        <v>237.2684274999956</v>
      </c>
      <c r="AC53" s="402">
        <f t="shared" si="74"/>
        <v>1.3429827793865048E-2</v>
      </c>
      <c r="AD53" s="52"/>
      <c r="AE53" s="453">
        <v>0.13</v>
      </c>
      <c r="AF53" s="417"/>
      <c r="AG53" s="400">
        <f>AG52*AE53</f>
        <v>18090.105220199999</v>
      </c>
      <c r="AH53" s="128"/>
      <c r="AI53" s="401">
        <f t="shared" si="75"/>
        <v>185.56427500000427</v>
      </c>
      <c r="AJ53" s="402">
        <f t="shared" si="76"/>
        <v>1.0364090068991798E-2</v>
      </c>
      <c r="AK53" s="52"/>
      <c r="AL53" s="453">
        <v>0.13</v>
      </c>
      <c r="AM53" s="417"/>
      <c r="AN53" s="400">
        <f>AN52*AL53</f>
        <v>18266.640475199994</v>
      </c>
      <c r="AO53" s="128"/>
      <c r="AP53" s="401">
        <f t="shared" si="77"/>
        <v>176.53525499999523</v>
      </c>
      <c r="AQ53" s="402">
        <f t="shared" si="78"/>
        <v>9.7586638027329017E-3</v>
      </c>
      <c r="AR53" s="403"/>
      <c r="AS53" s="3"/>
      <c r="AT53" s="3"/>
      <c r="AU53" s="3"/>
      <c r="AV53" s="3"/>
    </row>
    <row r="54" spans="1:48" ht="12.75" customHeight="1">
      <c r="A54" s="52"/>
      <c r="B54" s="491" t="s">
        <v>396</v>
      </c>
      <c r="C54" s="562"/>
      <c r="D54" s="320"/>
      <c r="E54" s="320"/>
      <c r="F54" s="455"/>
      <c r="G54" s="128"/>
      <c r="H54" s="490">
        <f>H52+H53</f>
        <v>155191.64265180001</v>
      </c>
      <c r="I54" s="417"/>
      <c r="J54" s="417"/>
      <c r="K54" s="417"/>
      <c r="L54" s="400">
        <f>L52+L53</f>
        <v>155289.99720769998</v>
      </c>
      <c r="M54" s="128"/>
      <c r="N54" s="401">
        <f t="shared" si="69"/>
        <v>98.354555899975821</v>
      </c>
      <c r="O54" s="402">
        <f t="shared" si="70"/>
        <v>6.3376193601257077E-4</v>
      </c>
      <c r="P54" s="52"/>
      <c r="Q54" s="417"/>
      <c r="R54" s="417"/>
      <c r="S54" s="400">
        <f>S52+S53</f>
        <v>153569.3688077</v>
      </c>
      <c r="T54" s="128"/>
      <c r="U54" s="401">
        <f t="shared" si="71"/>
        <v>-1720.6283999999869</v>
      </c>
      <c r="V54" s="402">
        <f t="shared" si="72"/>
        <v>-1.1080098080616555E-2</v>
      </c>
      <c r="W54" s="52"/>
      <c r="X54" s="417"/>
      <c r="Y54" s="417"/>
      <c r="Z54" s="400">
        <f>Z52+Z53</f>
        <v>155631.77898519996</v>
      </c>
      <c r="AA54" s="128"/>
      <c r="AB54" s="401">
        <f t="shared" si="73"/>
        <v>2062.4101774999581</v>
      </c>
      <c r="AC54" s="402">
        <f t="shared" si="74"/>
        <v>1.3429827793865026E-2</v>
      </c>
      <c r="AD54" s="52"/>
      <c r="AE54" s="417"/>
      <c r="AF54" s="417"/>
      <c r="AG54" s="400">
        <f>AG52+AG53</f>
        <v>157244.76076019998</v>
      </c>
      <c r="AH54" s="128"/>
      <c r="AI54" s="401">
        <f t="shared" si="75"/>
        <v>1612.981775000022</v>
      </c>
      <c r="AJ54" s="402">
        <f t="shared" si="76"/>
        <v>1.0364090068991701E-2</v>
      </c>
      <c r="AK54" s="52"/>
      <c r="AL54" s="417"/>
      <c r="AM54" s="417"/>
      <c r="AN54" s="400">
        <f>AN52+AN53</f>
        <v>158779.25951519996</v>
      </c>
      <c r="AO54" s="128"/>
      <c r="AP54" s="401">
        <f t="shared" si="77"/>
        <v>1534.4987549999787</v>
      </c>
      <c r="AQ54" s="402">
        <f t="shared" si="78"/>
        <v>9.7586638027330301E-3</v>
      </c>
      <c r="AR54" s="403"/>
      <c r="AS54" s="3"/>
      <c r="AT54" s="3"/>
      <c r="AU54" s="3"/>
      <c r="AV54" s="3"/>
    </row>
    <row r="55" spans="1:48" ht="15.75" customHeight="1">
      <c r="A55" s="52"/>
      <c r="B55" s="628" t="s">
        <v>273</v>
      </c>
      <c r="C55" s="615"/>
      <c r="D55" s="615"/>
      <c r="E55" s="320"/>
      <c r="F55" s="455"/>
      <c r="G55" s="128"/>
      <c r="H55" s="492">
        <f>F55*H52</f>
        <v>0</v>
      </c>
      <c r="I55" s="417"/>
      <c r="J55" s="417"/>
      <c r="K55" s="417"/>
      <c r="L55" s="512">
        <f>J55*L52</f>
        <v>0</v>
      </c>
      <c r="M55" s="128"/>
      <c r="N55" s="457">
        <f t="shared" si="69"/>
        <v>0</v>
      </c>
      <c r="O55" s="459" t="str">
        <f t="shared" si="70"/>
        <v/>
      </c>
      <c r="P55" s="52"/>
      <c r="Q55" s="417"/>
      <c r="R55" s="417"/>
      <c r="S55" s="512">
        <f>Q55*S52</f>
        <v>0</v>
      </c>
      <c r="T55" s="128"/>
      <c r="U55" s="457">
        <f t="shared" si="71"/>
        <v>0</v>
      </c>
      <c r="V55" s="459" t="str">
        <f t="shared" si="72"/>
        <v/>
      </c>
      <c r="W55" s="52"/>
      <c r="X55" s="417"/>
      <c r="Y55" s="417"/>
      <c r="Z55" s="512">
        <f>X55*Z52</f>
        <v>0</v>
      </c>
      <c r="AA55" s="128"/>
      <c r="AB55" s="457">
        <f t="shared" si="73"/>
        <v>0</v>
      </c>
      <c r="AC55" s="459" t="str">
        <f t="shared" si="74"/>
        <v/>
      </c>
      <c r="AD55" s="52"/>
      <c r="AE55" s="417"/>
      <c r="AF55" s="417"/>
      <c r="AG55" s="512">
        <f>AE55*AG52</f>
        <v>0</v>
      </c>
      <c r="AH55" s="128"/>
      <c r="AI55" s="457">
        <f t="shared" si="75"/>
        <v>0</v>
      </c>
      <c r="AJ55" s="459" t="str">
        <f t="shared" si="76"/>
        <v/>
      </c>
      <c r="AK55" s="52"/>
      <c r="AL55" s="417"/>
      <c r="AM55" s="417"/>
      <c r="AN55" s="512">
        <f>AL55*AN52</f>
        <v>0</v>
      </c>
      <c r="AO55" s="128"/>
      <c r="AP55" s="457">
        <f t="shared" si="77"/>
        <v>0</v>
      </c>
      <c r="AQ55" s="459" t="str">
        <f t="shared" si="78"/>
        <v/>
      </c>
      <c r="AR55" s="460"/>
      <c r="AS55" s="3"/>
      <c r="AT55" s="3"/>
      <c r="AU55" s="3"/>
      <c r="AV55" s="3"/>
    </row>
    <row r="56" spans="1:48" ht="13.5" customHeight="1">
      <c r="A56" s="52"/>
      <c r="B56" s="627" t="s">
        <v>318</v>
      </c>
      <c r="C56" s="613"/>
      <c r="D56" s="613"/>
      <c r="E56" s="461"/>
      <c r="F56" s="462"/>
      <c r="G56" s="493"/>
      <c r="H56" s="494">
        <f>H54-H55</f>
        <v>155191.64265180001</v>
      </c>
      <c r="I56" s="463"/>
      <c r="J56" s="463"/>
      <c r="K56" s="463"/>
      <c r="L56" s="464">
        <f>L54-L55</f>
        <v>155289.99720769998</v>
      </c>
      <c r="M56" s="465"/>
      <c r="N56" s="466">
        <f t="shared" si="69"/>
        <v>98.354555899975821</v>
      </c>
      <c r="O56" s="467">
        <f t="shared" si="70"/>
        <v>6.3376193601257077E-4</v>
      </c>
      <c r="P56" s="52"/>
      <c r="Q56" s="463"/>
      <c r="R56" s="463"/>
      <c r="S56" s="464">
        <f>S54-S55</f>
        <v>153569.3688077</v>
      </c>
      <c r="T56" s="465"/>
      <c r="U56" s="466">
        <f t="shared" si="71"/>
        <v>-1720.6283999999869</v>
      </c>
      <c r="V56" s="467">
        <f t="shared" si="72"/>
        <v>-1.1080098080616555E-2</v>
      </c>
      <c r="W56" s="52"/>
      <c r="X56" s="463"/>
      <c r="Y56" s="463"/>
      <c r="Z56" s="464">
        <f>Z54-Z55</f>
        <v>155631.77898519996</v>
      </c>
      <c r="AA56" s="465"/>
      <c r="AB56" s="466">
        <f t="shared" si="73"/>
        <v>2062.4101774999581</v>
      </c>
      <c r="AC56" s="467">
        <f t="shared" si="74"/>
        <v>1.3429827793865026E-2</v>
      </c>
      <c r="AD56" s="52"/>
      <c r="AE56" s="463"/>
      <c r="AF56" s="463"/>
      <c r="AG56" s="464">
        <f>AG54-AG55</f>
        <v>157244.76076019998</v>
      </c>
      <c r="AH56" s="465"/>
      <c r="AI56" s="466">
        <f t="shared" si="75"/>
        <v>1612.981775000022</v>
      </c>
      <c r="AJ56" s="467">
        <f t="shared" si="76"/>
        <v>1.0364090068991701E-2</v>
      </c>
      <c r="AK56" s="52"/>
      <c r="AL56" s="463"/>
      <c r="AM56" s="463"/>
      <c r="AN56" s="464">
        <f>AN54-AN55</f>
        <v>158779.25951519996</v>
      </c>
      <c r="AO56" s="465"/>
      <c r="AP56" s="466">
        <f t="shared" si="77"/>
        <v>1534.4987549999787</v>
      </c>
      <c r="AQ56" s="467">
        <f t="shared" si="78"/>
        <v>9.7586638027330301E-3</v>
      </c>
      <c r="AR56" s="468"/>
      <c r="AS56" s="3"/>
      <c r="AT56" s="3"/>
      <c r="AU56" s="3"/>
      <c r="AV56" s="3"/>
    </row>
    <row r="57" spans="1:48"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3"/>
      <c r="AT57" s="3"/>
      <c r="AU57" s="3"/>
      <c r="AV57" s="3"/>
    </row>
    <row r="58" spans="1:48" ht="12.75" customHeight="1">
      <c r="A58" s="513"/>
      <c r="B58" s="514" t="s">
        <v>319</v>
      </c>
      <c r="C58" s="563"/>
      <c r="D58" s="515"/>
      <c r="E58" s="515"/>
      <c r="F58" s="516"/>
      <c r="G58" s="517"/>
      <c r="H58" s="518">
        <f>SUM(H49:H50,H42,H43:H45)</f>
        <v>41037.922919999997</v>
      </c>
      <c r="I58" s="519"/>
      <c r="J58" s="520"/>
      <c r="K58" s="520"/>
      <c r="L58" s="518">
        <f>SUM(L49:L50,L42,L43:L45)</f>
        <v>41180.853129999996</v>
      </c>
      <c r="M58" s="521"/>
      <c r="N58" s="522">
        <f t="shared" ref="N58:N62" si="79">L58-H58</f>
        <v>142.93020999999862</v>
      </c>
      <c r="O58" s="523">
        <f t="shared" ref="O58:O62" si="80">IF((H58)=0,"",(N58/H58))</f>
        <v>3.4828811945143796E-3</v>
      </c>
      <c r="P58" s="513"/>
      <c r="Q58" s="520"/>
      <c r="R58" s="520"/>
      <c r="S58" s="518">
        <f>SUM(S49:S50,S42,S43:S45)</f>
        <v>39658.173130000003</v>
      </c>
      <c r="T58" s="521"/>
      <c r="U58" s="522">
        <f t="shared" ref="U58:U62" si="81">S58-L58</f>
        <v>-1522.679999999993</v>
      </c>
      <c r="V58" s="523">
        <f t="shared" ref="V58:V62" si="82">IF((L58)=0,"",(U58/L58))</f>
        <v>-3.6975436016179329E-2</v>
      </c>
      <c r="W58" s="513"/>
      <c r="X58" s="520"/>
      <c r="Y58" s="520"/>
      <c r="Z58" s="518">
        <f>SUM(Z49:Z50,Z42,Z43:Z45)</f>
        <v>41483.314879999998</v>
      </c>
      <c r="AA58" s="521"/>
      <c r="AB58" s="522">
        <f t="shared" ref="AB58:AB62" si="83">Z58-S58</f>
        <v>1825.1417499999952</v>
      </c>
      <c r="AC58" s="523">
        <f t="shared" ref="AC58:AC62" si="84">IF((S58)=0,"",(AB58/S58))</f>
        <v>4.6021831212879047E-2</v>
      </c>
      <c r="AD58" s="513"/>
      <c r="AE58" s="520"/>
      <c r="AF58" s="520"/>
      <c r="AG58" s="518">
        <f>SUM(AG49:AG50,AG42,AG43:AG45)</f>
        <v>42910.732380000001</v>
      </c>
      <c r="AH58" s="521"/>
      <c r="AI58" s="522">
        <f t="shared" ref="AI58:AI62" si="85">AG58-Z58</f>
        <v>1427.4175000000032</v>
      </c>
      <c r="AJ58" s="523">
        <f t="shared" ref="AJ58:AJ62" si="86">IF((Z58)=0,"",(AI58/Z58))</f>
        <v>3.4409436760999827E-2</v>
      </c>
      <c r="AK58" s="513"/>
      <c r="AL58" s="520"/>
      <c r="AM58" s="520"/>
      <c r="AN58" s="518">
        <f>SUM(AN49:AN50,AN42,AN43:AN45)</f>
        <v>44268.695879999999</v>
      </c>
      <c r="AO58" s="521"/>
      <c r="AP58" s="522">
        <f t="shared" ref="AP58:AP62" si="87">AN58-AG58</f>
        <v>1357.963499999998</v>
      </c>
      <c r="AQ58" s="523">
        <f t="shared" ref="AQ58:AQ62" si="88">IF((AG58)=0,"",(AP58/AG58))</f>
        <v>3.1646243834163104E-2</v>
      </c>
      <c r="AR58" s="524"/>
      <c r="AS58" s="3"/>
      <c r="AT58" s="3"/>
      <c r="AU58" s="3"/>
      <c r="AV58" s="3"/>
    </row>
    <row r="59" spans="1:48" ht="12.75" customHeight="1">
      <c r="A59" s="513"/>
      <c r="B59" s="525" t="s">
        <v>316</v>
      </c>
      <c r="C59" s="563"/>
      <c r="D59" s="515"/>
      <c r="E59" s="515"/>
      <c r="F59" s="516">
        <v>0.13</v>
      </c>
      <c r="G59" s="517"/>
      <c r="H59" s="526">
        <f>H58*F59</f>
        <v>5334.9299795999996</v>
      </c>
      <c r="I59" s="527"/>
      <c r="J59" s="516">
        <v>0.13</v>
      </c>
      <c r="K59" s="528"/>
      <c r="L59" s="529">
        <f>L58*J59</f>
        <v>5353.5109069</v>
      </c>
      <c r="M59" s="530"/>
      <c r="N59" s="531">
        <f t="shared" si="79"/>
        <v>18.58092730000044</v>
      </c>
      <c r="O59" s="532">
        <f t="shared" si="80"/>
        <v>3.4828811945144954E-3</v>
      </c>
      <c r="P59" s="513"/>
      <c r="Q59" s="516">
        <v>0.13</v>
      </c>
      <c r="R59" s="528"/>
      <c r="S59" s="529">
        <f>S58*Q59</f>
        <v>5155.5625069000007</v>
      </c>
      <c r="T59" s="530"/>
      <c r="U59" s="531">
        <f t="shared" si="81"/>
        <v>-197.94839999999931</v>
      </c>
      <c r="V59" s="532">
        <f t="shared" si="82"/>
        <v>-3.6975436016179364E-2</v>
      </c>
      <c r="W59" s="513"/>
      <c r="X59" s="516">
        <v>0.13</v>
      </c>
      <c r="Y59" s="528"/>
      <c r="Z59" s="529">
        <f>Z58*X59</f>
        <v>5392.8309343999999</v>
      </c>
      <c r="AA59" s="530"/>
      <c r="AB59" s="531">
        <f t="shared" si="83"/>
        <v>237.26842749999923</v>
      </c>
      <c r="AC59" s="532">
        <f t="shared" si="84"/>
        <v>4.6021831212879012E-2</v>
      </c>
      <c r="AD59" s="513"/>
      <c r="AE59" s="516">
        <v>0.13</v>
      </c>
      <c r="AF59" s="528"/>
      <c r="AG59" s="529">
        <f>AG58*AE59</f>
        <v>5578.3952094000006</v>
      </c>
      <c r="AH59" s="530"/>
      <c r="AI59" s="531">
        <f t="shared" si="85"/>
        <v>185.56427500000063</v>
      </c>
      <c r="AJ59" s="532">
        <f t="shared" si="86"/>
        <v>3.4409436760999869E-2</v>
      </c>
      <c r="AK59" s="513"/>
      <c r="AL59" s="516">
        <v>0.13</v>
      </c>
      <c r="AM59" s="528"/>
      <c r="AN59" s="529">
        <f>AN58*AL59</f>
        <v>5754.9304644000003</v>
      </c>
      <c r="AO59" s="530"/>
      <c r="AP59" s="531">
        <f t="shared" si="87"/>
        <v>176.53525499999978</v>
      </c>
      <c r="AQ59" s="532">
        <f t="shared" si="88"/>
        <v>3.1646243834163104E-2</v>
      </c>
      <c r="AR59" s="533"/>
      <c r="AS59" s="3"/>
      <c r="AT59" s="3"/>
      <c r="AU59" s="3"/>
      <c r="AV59" s="3"/>
    </row>
    <row r="60" spans="1:48" ht="12.75" customHeight="1">
      <c r="A60" s="513"/>
      <c r="B60" s="554" t="s">
        <v>397</v>
      </c>
      <c r="C60" s="563"/>
      <c r="D60" s="515"/>
      <c r="E60" s="515"/>
      <c r="F60" s="535"/>
      <c r="G60" s="530"/>
      <c r="H60" s="526">
        <f>H58+H59</f>
        <v>46372.852899599995</v>
      </c>
      <c r="I60" s="527"/>
      <c r="J60" s="527"/>
      <c r="K60" s="527"/>
      <c r="L60" s="529">
        <f>L58+L59</f>
        <v>46534.364036899999</v>
      </c>
      <c r="M60" s="530"/>
      <c r="N60" s="531">
        <f t="shared" si="79"/>
        <v>161.51113730000361</v>
      </c>
      <c r="O60" s="532">
        <f t="shared" si="80"/>
        <v>3.4828811945144911E-3</v>
      </c>
      <c r="P60" s="513"/>
      <c r="Q60" s="527"/>
      <c r="R60" s="527"/>
      <c r="S60" s="529">
        <f>S58+S59</f>
        <v>44813.735636900004</v>
      </c>
      <c r="T60" s="530"/>
      <c r="U60" s="531">
        <f t="shared" si="81"/>
        <v>-1720.6283999999941</v>
      </c>
      <c r="V60" s="532">
        <f t="shared" si="82"/>
        <v>-3.6975436016179371E-2</v>
      </c>
      <c r="W60" s="513"/>
      <c r="X60" s="527"/>
      <c r="Y60" s="527"/>
      <c r="Z60" s="529">
        <f>Z58+Z59</f>
        <v>46876.145814399999</v>
      </c>
      <c r="AA60" s="530"/>
      <c r="AB60" s="531">
        <f t="shared" si="83"/>
        <v>2062.4101774999945</v>
      </c>
      <c r="AC60" s="532">
        <f t="shared" si="84"/>
        <v>4.602183121287904E-2</v>
      </c>
      <c r="AD60" s="513"/>
      <c r="AE60" s="527"/>
      <c r="AF60" s="527"/>
      <c r="AG60" s="529">
        <f>AG58+AG59</f>
        <v>48489.127589399999</v>
      </c>
      <c r="AH60" s="530"/>
      <c r="AI60" s="531">
        <f t="shared" si="85"/>
        <v>1612.9817750000002</v>
      </c>
      <c r="AJ60" s="532">
        <f t="shared" si="86"/>
        <v>3.4409436760999758E-2</v>
      </c>
      <c r="AK60" s="513"/>
      <c r="AL60" s="527"/>
      <c r="AM60" s="527"/>
      <c r="AN60" s="529">
        <f>AN58+AN59</f>
        <v>50023.6263444</v>
      </c>
      <c r="AO60" s="530"/>
      <c r="AP60" s="531">
        <f t="shared" si="87"/>
        <v>1534.4987550000005</v>
      </c>
      <c r="AQ60" s="532">
        <f t="shared" si="88"/>
        <v>3.164624383416316E-2</v>
      </c>
      <c r="AR60" s="533"/>
      <c r="AS60" s="3"/>
      <c r="AT60" s="3"/>
      <c r="AU60" s="3"/>
      <c r="AV60" s="3"/>
    </row>
    <row r="61" spans="1:48" ht="15.75" customHeight="1">
      <c r="A61" s="513"/>
      <c r="B61" s="636" t="s">
        <v>273</v>
      </c>
      <c r="C61" s="615"/>
      <c r="D61" s="615"/>
      <c r="E61" s="515"/>
      <c r="F61" s="535"/>
      <c r="G61" s="530"/>
      <c r="H61" s="536">
        <f>F61*H58</f>
        <v>0</v>
      </c>
      <c r="I61" s="527"/>
      <c r="J61" s="527"/>
      <c r="K61" s="527"/>
      <c r="L61" s="537">
        <f>J61*L58</f>
        <v>0</v>
      </c>
      <c r="M61" s="530"/>
      <c r="N61" s="538">
        <f t="shared" si="79"/>
        <v>0</v>
      </c>
      <c r="O61" s="539" t="str">
        <f t="shared" si="80"/>
        <v/>
      </c>
      <c r="P61" s="513"/>
      <c r="Q61" s="527"/>
      <c r="R61" s="527"/>
      <c r="S61" s="537">
        <f>Q61*S58</f>
        <v>0</v>
      </c>
      <c r="T61" s="530"/>
      <c r="U61" s="538">
        <f t="shared" si="81"/>
        <v>0</v>
      </c>
      <c r="V61" s="539" t="str">
        <f t="shared" si="82"/>
        <v/>
      </c>
      <c r="W61" s="513"/>
      <c r="X61" s="527"/>
      <c r="Y61" s="527"/>
      <c r="Z61" s="537">
        <f>X61*Z58</f>
        <v>0</v>
      </c>
      <c r="AA61" s="530"/>
      <c r="AB61" s="538">
        <f t="shared" si="83"/>
        <v>0</v>
      </c>
      <c r="AC61" s="539" t="str">
        <f t="shared" si="84"/>
        <v/>
      </c>
      <c r="AD61" s="513"/>
      <c r="AE61" s="527"/>
      <c r="AF61" s="527"/>
      <c r="AG61" s="537">
        <f>AE61*AG58</f>
        <v>0</v>
      </c>
      <c r="AH61" s="530"/>
      <c r="AI61" s="538">
        <f t="shared" si="85"/>
        <v>0</v>
      </c>
      <c r="AJ61" s="539" t="str">
        <f t="shared" si="86"/>
        <v/>
      </c>
      <c r="AK61" s="513"/>
      <c r="AL61" s="527"/>
      <c r="AM61" s="527"/>
      <c r="AN61" s="537">
        <f>AL61*AN58</f>
        <v>0</v>
      </c>
      <c r="AO61" s="530"/>
      <c r="AP61" s="538">
        <f t="shared" si="87"/>
        <v>0</v>
      </c>
      <c r="AQ61" s="539" t="str">
        <f t="shared" si="88"/>
        <v/>
      </c>
      <c r="AR61" s="540"/>
      <c r="AS61" s="3"/>
      <c r="AT61" s="3"/>
      <c r="AU61" s="3"/>
      <c r="AV61" s="3"/>
    </row>
    <row r="62" spans="1:48" ht="13.5" customHeight="1">
      <c r="A62" s="513"/>
      <c r="B62" s="635" t="s">
        <v>321</v>
      </c>
      <c r="C62" s="613"/>
      <c r="D62" s="613"/>
      <c r="E62" s="541"/>
      <c r="F62" s="542"/>
      <c r="G62" s="543"/>
      <c r="H62" s="544">
        <f>H60-H61</f>
        <v>46372.852899599995</v>
      </c>
      <c r="I62" s="545"/>
      <c r="J62" s="545"/>
      <c r="K62" s="545"/>
      <c r="L62" s="546">
        <f>L60-L61</f>
        <v>46534.364036899999</v>
      </c>
      <c r="M62" s="547"/>
      <c r="N62" s="548">
        <f t="shared" si="79"/>
        <v>161.51113730000361</v>
      </c>
      <c r="O62" s="549">
        <f t="shared" si="80"/>
        <v>3.4828811945144911E-3</v>
      </c>
      <c r="P62" s="513"/>
      <c r="Q62" s="545"/>
      <c r="R62" s="545"/>
      <c r="S62" s="546">
        <f>S60-S61</f>
        <v>44813.735636900004</v>
      </c>
      <c r="T62" s="547"/>
      <c r="U62" s="548">
        <f t="shared" si="81"/>
        <v>-1720.6283999999941</v>
      </c>
      <c r="V62" s="549">
        <f t="shared" si="82"/>
        <v>-3.6975436016179371E-2</v>
      </c>
      <c r="W62" s="513"/>
      <c r="X62" s="545"/>
      <c r="Y62" s="545"/>
      <c r="Z62" s="546">
        <f>Z60-Z61</f>
        <v>46876.145814399999</v>
      </c>
      <c r="AA62" s="547"/>
      <c r="AB62" s="548">
        <f t="shared" si="83"/>
        <v>2062.4101774999945</v>
      </c>
      <c r="AC62" s="549">
        <f t="shared" si="84"/>
        <v>4.602183121287904E-2</v>
      </c>
      <c r="AD62" s="513"/>
      <c r="AE62" s="545"/>
      <c r="AF62" s="545"/>
      <c r="AG62" s="546">
        <f>AG60-AG61</f>
        <v>48489.127589399999</v>
      </c>
      <c r="AH62" s="547"/>
      <c r="AI62" s="548">
        <f t="shared" si="85"/>
        <v>1612.9817750000002</v>
      </c>
      <c r="AJ62" s="549">
        <f t="shared" si="86"/>
        <v>3.4409436760999758E-2</v>
      </c>
      <c r="AK62" s="513"/>
      <c r="AL62" s="545"/>
      <c r="AM62" s="545"/>
      <c r="AN62" s="546">
        <f>AN60-AN61</f>
        <v>50023.6263444</v>
      </c>
      <c r="AO62" s="547"/>
      <c r="AP62" s="548">
        <f t="shared" si="87"/>
        <v>1534.4987550000005</v>
      </c>
      <c r="AQ62" s="549">
        <f t="shared" si="88"/>
        <v>3.164624383416316E-2</v>
      </c>
      <c r="AR62" s="550"/>
      <c r="AS62" s="3"/>
      <c r="AT62" s="3"/>
      <c r="AU62" s="3"/>
      <c r="AV62" s="3"/>
    </row>
    <row r="63" spans="1:48"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3"/>
      <c r="AT63" s="3"/>
      <c r="AU63" s="3"/>
      <c r="AV63" s="3"/>
    </row>
    <row r="64" spans="1:48"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3"/>
      <c r="AT64" s="3"/>
      <c r="AU64" s="3"/>
      <c r="AV64" s="3"/>
    </row>
    <row r="65" spans="1:48" ht="12.75" customHeight="1">
      <c r="A65" s="52"/>
      <c r="B65" s="306" t="s">
        <v>322</v>
      </c>
      <c r="C65" s="555"/>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3"/>
      <c r="AT65" s="3"/>
      <c r="AU65" s="3"/>
      <c r="AV65" s="3"/>
    </row>
    <row r="66" spans="1:48"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3"/>
      <c r="AT66" s="3"/>
      <c r="AU66" s="3"/>
      <c r="AV66" s="3"/>
    </row>
    <row r="67" spans="1:48" ht="15.75" customHeight="1">
      <c r="A67" s="479" t="s">
        <v>398</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3"/>
      <c r="AT67" s="3"/>
      <c r="AU67" s="3"/>
      <c r="AV67" s="3"/>
    </row>
    <row r="68" spans="1:48"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3"/>
      <c r="AT68" s="3"/>
      <c r="AU68" s="3"/>
      <c r="AV68" s="3"/>
    </row>
    <row r="69" spans="1:48"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3"/>
      <c r="AT69" s="3"/>
      <c r="AU69" s="3"/>
      <c r="AV69" s="3"/>
    </row>
    <row r="70" spans="1:48"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3"/>
      <c r="AT70" s="3"/>
      <c r="AU70" s="3"/>
      <c r="AV70" s="3"/>
    </row>
    <row r="71" spans="1:48"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3"/>
      <c r="AT71" s="3"/>
      <c r="AU71" s="3"/>
      <c r="AV71" s="3"/>
    </row>
    <row r="72" spans="1:48"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3"/>
      <c r="AT72" s="3"/>
      <c r="AU72" s="3"/>
      <c r="AV72" s="3"/>
    </row>
    <row r="73" spans="1:48"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3"/>
      <c r="AT73" s="3"/>
      <c r="AU73" s="3"/>
      <c r="AV73" s="3"/>
    </row>
    <row r="74" spans="1:48"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3"/>
      <c r="AT74" s="3"/>
      <c r="AU74" s="3"/>
      <c r="AV74" s="3"/>
    </row>
    <row r="75" spans="1:48"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3"/>
      <c r="AT75" s="3"/>
      <c r="AU75" s="3"/>
      <c r="AV75" s="3"/>
    </row>
    <row r="76" spans="1:48"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3"/>
      <c r="AT76" s="3"/>
      <c r="AU76" s="3"/>
      <c r="AV76" s="3"/>
    </row>
    <row r="77" spans="1:48"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3"/>
      <c r="AT77" s="3"/>
      <c r="AU77" s="3"/>
      <c r="AV77" s="3"/>
    </row>
    <row r="78" spans="1:48"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3"/>
      <c r="AT78" s="3"/>
      <c r="AU78" s="3"/>
      <c r="AV78" s="3"/>
    </row>
    <row r="79" spans="1:48"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3"/>
      <c r="AT79" s="3"/>
      <c r="AU79" s="3"/>
      <c r="AV79" s="3"/>
    </row>
    <row r="80" spans="1:48"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3"/>
      <c r="AT80" s="3"/>
      <c r="AU80" s="3"/>
      <c r="AV80" s="3"/>
    </row>
    <row r="81" spans="1:48"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3"/>
      <c r="AT81" s="3"/>
      <c r="AU81" s="3"/>
      <c r="AV81" s="3"/>
    </row>
    <row r="82" spans="1:48"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3"/>
      <c r="AT82" s="3"/>
      <c r="AU82" s="3"/>
      <c r="AV82" s="3"/>
    </row>
    <row r="83" spans="1:48"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3"/>
      <c r="AT83" s="3"/>
      <c r="AU83" s="3"/>
      <c r="AV83" s="3"/>
    </row>
    <row r="84" spans="1:48"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3"/>
      <c r="AT84" s="3"/>
      <c r="AU84" s="3"/>
      <c r="AV84" s="3"/>
    </row>
    <row r="85" spans="1:48"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3"/>
      <c r="AT85" s="3"/>
      <c r="AU85" s="3"/>
      <c r="AV85" s="3"/>
    </row>
    <row r="86" spans="1:48"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3"/>
      <c r="AT86" s="3"/>
      <c r="AU86" s="3"/>
      <c r="AV86" s="3"/>
    </row>
    <row r="87" spans="1:48"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3"/>
      <c r="AT87" s="3"/>
      <c r="AU87" s="3"/>
      <c r="AV87" s="3"/>
    </row>
    <row r="88" spans="1:48"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3"/>
      <c r="AT88" s="3"/>
      <c r="AU88" s="3"/>
      <c r="AV88" s="3"/>
    </row>
    <row r="89" spans="1:48"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3"/>
      <c r="AT89" s="3"/>
      <c r="AU89" s="3"/>
      <c r="AV89" s="3"/>
    </row>
    <row r="90" spans="1:48"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3"/>
      <c r="AT90" s="3"/>
      <c r="AU90" s="3"/>
      <c r="AV90" s="3"/>
    </row>
    <row r="91" spans="1:48"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3"/>
      <c r="AT91" s="3"/>
      <c r="AU91" s="3"/>
      <c r="AV91" s="3"/>
    </row>
    <row r="92" spans="1:48"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3"/>
      <c r="AT92" s="3"/>
      <c r="AU92" s="3"/>
      <c r="AV92" s="3"/>
    </row>
    <row r="93" spans="1:48"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3"/>
      <c r="AT93" s="3"/>
      <c r="AU93" s="3"/>
      <c r="AV93" s="3"/>
    </row>
    <row r="94" spans="1:48"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3"/>
      <c r="AT94" s="3"/>
      <c r="AU94" s="3"/>
      <c r="AV94" s="3"/>
    </row>
    <row r="95" spans="1:48"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3"/>
      <c r="AT95" s="3"/>
      <c r="AU95" s="3"/>
      <c r="AV95" s="3"/>
    </row>
    <row r="96" spans="1:48"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3"/>
      <c r="AT96" s="3"/>
      <c r="AU96" s="3"/>
      <c r="AV96" s="3"/>
    </row>
    <row r="97" spans="1:48"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3"/>
      <c r="AT97" s="3"/>
      <c r="AU97" s="3"/>
      <c r="AV97" s="3"/>
    </row>
    <row r="98" spans="1:48"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3"/>
      <c r="AT98" s="3"/>
      <c r="AU98" s="3"/>
      <c r="AV98" s="3"/>
    </row>
    <row r="99" spans="1:48"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3"/>
      <c r="AT99" s="3"/>
      <c r="AU99" s="3"/>
      <c r="AV99" s="3"/>
    </row>
    <row r="100" spans="1:48"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3"/>
      <c r="AT100" s="3"/>
      <c r="AU100" s="3"/>
      <c r="AV100" s="3"/>
    </row>
    <row r="101" spans="1:48"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3"/>
      <c r="AT101" s="3"/>
      <c r="AU101" s="3"/>
      <c r="AV101" s="3"/>
    </row>
    <row r="102" spans="1:48"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3"/>
      <c r="AT102" s="3"/>
      <c r="AU102" s="3"/>
      <c r="AV102" s="3"/>
    </row>
    <row r="103" spans="1:48"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3"/>
      <c r="AT103" s="3"/>
      <c r="AU103" s="3"/>
      <c r="AV103" s="3"/>
    </row>
    <row r="104" spans="1:48"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3"/>
      <c r="AT104" s="3"/>
      <c r="AU104" s="3"/>
      <c r="AV104" s="3"/>
    </row>
    <row r="105" spans="1:48"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3"/>
      <c r="AT105" s="3"/>
      <c r="AU105" s="3"/>
      <c r="AV105" s="3"/>
    </row>
    <row r="106" spans="1:48"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3"/>
      <c r="AT106" s="3"/>
      <c r="AU106" s="3"/>
      <c r="AV106" s="3"/>
    </row>
    <row r="107" spans="1:48"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3"/>
      <c r="AT107" s="3"/>
      <c r="AU107" s="3"/>
      <c r="AV107" s="3"/>
    </row>
    <row r="108" spans="1:48"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3"/>
      <c r="AT108" s="3"/>
      <c r="AU108" s="3"/>
      <c r="AV108" s="3"/>
    </row>
    <row r="109" spans="1:48"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3"/>
      <c r="AT109" s="3"/>
      <c r="AU109" s="3"/>
      <c r="AV109" s="3"/>
    </row>
    <row r="110" spans="1:48"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3"/>
      <c r="AT110" s="3"/>
      <c r="AU110" s="3"/>
      <c r="AV110" s="3"/>
    </row>
    <row r="111" spans="1:48"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3"/>
      <c r="AT111" s="3"/>
      <c r="AU111" s="3"/>
      <c r="AV111" s="3"/>
    </row>
    <row r="112" spans="1:48"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3"/>
      <c r="AT112" s="3"/>
      <c r="AU112" s="3"/>
      <c r="AV112" s="3"/>
    </row>
    <row r="113" spans="1:48"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3"/>
      <c r="AT113" s="3"/>
      <c r="AU113" s="3"/>
      <c r="AV113" s="3"/>
    </row>
    <row r="114" spans="1:48"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3"/>
      <c r="AT114" s="3"/>
      <c r="AU114" s="3"/>
      <c r="AV114" s="3"/>
    </row>
    <row r="115" spans="1:48"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3"/>
      <c r="AT115" s="3"/>
      <c r="AU115" s="3"/>
      <c r="AV115" s="3"/>
    </row>
    <row r="116" spans="1:48"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3"/>
      <c r="AT116" s="3"/>
      <c r="AU116" s="3"/>
      <c r="AV116" s="3"/>
    </row>
    <row r="117" spans="1:48"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3"/>
      <c r="AT117" s="3"/>
      <c r="AU117" s="3"/>
      <c r="AV117" s="3"/>
    </row>
    <row r="118" spans="1:48"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3"/>
      <c r="AT118" s="3"/>
      <c r="AU118" s="3"/>
      <c r="AV118" s="3"/>
    </row>
    <row r="119" spans="1:48"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3"/>
      <c r="AT119" s="3"/>
      <c r="AU119" s="3"/>
      <c r="AV119" s="3"/>
    </row>
    <row r="120" spans="1:48"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3"/>
      <c r="AT120" s="3"/>
      <c r="AU120" s="3"/>
      <c r="AV120" s="3"/>
    </row>
    <row r="121" spans="1:48"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3"/>
      <c r="AT121" s="3"/>
      <c r="AU121" s="3"/>
      <c r="AV121" s="3"/>
    </row>
    <row r="122" spans="1:48"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3"/>
      <c r="AT122" s="3"/>
      <c r="AU122" s="3"/>
      <c r="AV122" s="3"/>
    </row>
    <row r="123" spans="1:48"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3"/>
      <c r="AT123" s="3"/>
      <c r="AU123" s="3"/>
      <c r="AV123" s="3"/>
    </row>
    <row r="124" spans="1:48"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3"/>
      <c r="AT124" s="3"/>
      <c r="AU124" s="3"/>
      <c r="AV124" s="3"/>
    </row>
    <row r="125" spans="1:48"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3"/>
      <c r="AT125" s="3"/>
      <c r="AU125" s="3"/>
      <c r="AV125" s="3"/>
    </row>
    <row r="126" spans="1:48"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3"/>
      <c r="AT126" s="3"/>
      <c r="AU126" s="3"/>
      <c r="AV126" s="3"/>
    </row>
    <row r="127" spans="1:48"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3"/>
      <c r="AT127" s="3"/>
      <c r="AU127" s="3"/>
      <c r="AV127" s="3"/>
    </row>
    <row r="128" spans="1:48"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3"/>
      <c r="AT128" s="3"/>
      <c r="AU128" s="3"/>
      <c r="AV128" s="3"/>
    </row>
    <row r="129" spans="1:48"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3"/>
      <c r="AT129" s="3"/>
      <c r="AU129" s="3"/>
      <c r="AV129" s="3"/>
    </row>
    <row r="130" spans="1:48"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3"/>
      <c r="AT130" s="3"/>
      <c r="AU130" s="3"/>
      <c r="AV130" s="3"/>
    </row>
    <row r="131" spans="1:48"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3"/>
      <c r="AT131" s="3"/>
      <c r="AU131" s="3"/>
      <c r="AV131" s="3"/>
    </row>
    <row r="132" spans="1:48"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3"/>
      <c r="AT132" s="3"/>
      <c r="AU132" s="3"/>
      <c r="AV132" s="3"/>
    </row>
    <row r="133" spans="1:48"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3"/>
      <c r="AT133" s="3"/>
      <c r="AU133" s="3"/>
      <c r="AV133" s="3"/>
    </row>
    <row r="134" spans="1:48"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3"/>
      <c r="AT134" s="3"/>
      <c r="AU134" s="3"/>
      <c r="AV134" s="3"/>
    </row>
    <row r="135" spans="1:48"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3"/>
      <c r="AT135" s="3"/>
      <c r="AU135" s="3"/>
      <c r="AV135" s="3"/>
    </row>
    <row r="136" spans="1:48"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3"/>
      <c r="AT136" s="3"/>
      <c r="AU136" s="3"/>
      <c r="AV136" s="3"/>
    </row>
    <row r="137" spans="1:48"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3"/>
      <c r="AT137" s="3"/>
      <c r="AU137" s="3"/>
      <c r="AV137" s="3"/>
    </row>
    <row r="138" spans="1:48"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3"/>
      <c r="AT138" s="3"/>
      <c r="AU138" s="3"/>
      <c r="AV138" s="3"/>
    </row>
    <row r="139" spans="1:48"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3"/>
      <c r="AT139" s="3"/>
      <c r="AU139" s="3"/>
      <c r="AV139" s="3"/>
    </row>
    <row r="140" spans="1:48"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3"/>
      <c r="AT140" s="3"/>
      <c r="AU140" s="3"/>
      <c r="AV140" s="3"/>
    </row>
    <row r="141" spans="1:48"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3"/>
      <c r="AT141" s="3"/>
      <c r="AU141" s="3"/>
      <c r="AV141" s="3"/>
    </row>
    <row r="142" spans="1:48"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3"/>
      <c r="AT142" s="3"/>
      <c r="AU142" s="3"/>
      <c r="AV142" s="3"/>
    </row>
    <row r="143" spans="1:48"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3"/>
      <c r="AT143" s="3"/>
      <c r="AU143" s="3"/>
      <c r="AV143" s="3"/>
    </row>
    <row r="144" spans="1:48"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3"/>
      <c r="AT144" s="3"/>
      <c r="AU144" s="3"/>
      <c r="AV144" s="3"/>
    </row>
    <row r="145" spans="1:48"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3"/>
      <c r="AT145" s="3"/>
      <c r="AU145" s="3"/>
      <c r="AV145" s="3"/>
    </row>
    <row r="146" spans="1:48"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3"/>
      <c r="AT146" s="3"/>
      <c r="AU146" s="3"/>
      <c r="AV146" s="3"/>
    </row>
    <row r="147" spans="1:48"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3"/>
      <c r="AT147" s="3"/>
      <c r="AU147" s="3"/>
      <c r="AV147" s="3"/>
    </row>
    <row r="148" spans="1:48"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3"/>
      <c r="AT148" s="3"/>
      <c r="AU148" s="3"/>
      <c r="AV148" s="3"/>
    </row>
    <row r="149" spans="1:48"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3"/>
      <c r="AT149" s="3"/>
      <c r="AU149" s="3"/>
      <c r="AV149" s="3"/>
    </row>
    <row r="150" spans="1:48"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3"/>
      <c r="AT150" s="3"/>
      <c r="AU150" s="3"/>
      <c r="AV150" s="3"/>
    </row>
    <row r="151" spans="1:48"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3"/>
      <c r="AT151" s="3"/>
      <c r="AU151" s="3"/>
      <c r="AV151" s="3"/>
    </row>
    <row r="152" spans="1:48"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3"/>
      <c r="AT152" s="3"/>
      <c r="AU152" s="3"/>
      <c r="AV152" s="3"/>
    </row>
    <row r="153" spans="1:48"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3"/>
      <c r="AT153" s="3"/>
      <c r="AU153" s="3"/>
      <c r="AV153" s="3"/>
    </row>
    <row r="154" spans="1:48"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3"/>
      <c r="AT154" s="3"/>
      <c r="AU154" s="3"/>
      <c r="AV154" s="3"/>
    </row>
    <row r="155" spans="1:48"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3"/>
      <c r="AT155" s="3"/>
      <c r="AU155" s="3"/>
      <c r="AV155" s="3"/>
    </row>
    <row r="156" spans="1:48"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3"/>
      <c r="AT156" s="3"/>
      <c r="AU156" s="3"/>
      <c r="AV156" s="3"/>
    </row>
    <row r="157" spans="1:48"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3"/>
      <c r="AT157" s="3"/>
      <c r="AU157" s="3"/>
      <c r="AV157" s="3"/>
    </row>
    <row r="158" spans="1:48"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3"/>
      <c r="AT158" s="3"/>
      <c r="AU158" s="3"/>
      <c r="AV158" s="3"/>
    </row>
    <row r="159" spans="1:48"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3"/>
      <c r="AT159" s="3"/>
      <c r="AU159" s="3"/>
      <c r="AV159" s="3"/>
    </row>
    <row r="160" spans="1:48"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3"/>
      <c r="AT160" s="3"/>
      <c r="AU160" s="3"/>
      <c r="AV160" s="3"/>
    </row>
    <row r="161" spans="1:48"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3"/>
      <c r="AT161" s="3"/>
      <c r="AU161" s="3"/>
      <c r="AV161" s="3"/>
    </row>
    <row r="162" spans="1:48"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3"/>
      <c r="AT162" s="3"/>
      <c r="AU162" s="3"/>
      <c r="AV162" s="3"/>
    </row>
    <row r="163" spans="1:48"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3"/>
      <c r="AT163" s="3"/>
      <c r="AU163" s="3"/>
      <c r="AV163" s="3"/>
    </row>
    <row r="164" spans="1:48"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3"/>
      <c r="AT164" s="3"/>
      <c r="AU164" s="3"/>
      <c r="AV164" s="3"/>
    </row>
    <row r="165" spans="1:48"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3"/>
      <c r="AT165" s="3"/>
      <c r="AU165" s="3"/>
      <c r="AV165" s="3"/>
    </row>
    <row r="166" spans="1:48"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3"/>
      <c r="AT166" s="3"/>
      <c r="AU166" s="3"/>
      <c r="AV166" s="3"/>
    </row>
    <row r="167" spans="1:48"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3"/>
      <c r="AT167" s="3"/>
      <c r="AU167" s="3"/>
      <c r="AV167" s="3"/>
    </row>
    <row r="168" spans="1:48"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3"/>
      <c r="AT168" s="3"/>
      <c r="AU168" s="3"/>
      <c r="AV168" s="3"/>
    </row>
    <row r="169" spans="1:48"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3"/>
      <c r="AT169" s="3"/>
      <c r="AU169" s="3"/>
      <c r="AV169" s="3"/>
    </row>
    <row r="170" spans="1:48"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3"/>
      <c r="AT170" s="3"/>
      <c r="AU170" s="3"/>
      <c r="AV170" s="3"/>
    </row>
    <row r="171" spans="1:48"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3"/>
      <c r="AT171" s="3"/>
      <c r="AU171" s="3"/>
      <c r="AV171" s="3"/>
    </row>
    <row r="172" spans="1:48"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3"/>
      <c r="AT172" s="3"/>
      <c r="AU172" s="3"/>
      <c r="AV172" s="3"/>
    </row>
    <row r="173" spans="1:48"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3"/>
      <c r="AT173" s="3"/>
      <c r="AU173" s="3"/>
      <c r="AV173" s="3"/>
    </row>
    <row r="174" spans="1:48"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3"/>
      <c r="AT174" s="3"/>
      <c r="AU174" s="3"/>
      <c r="AV174" s="3"/>
    </row>
    <row r="175" spans="1:48"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3"/>
      <c r="AT175" s="3"/>
      <c r="AU175" s="3"/>
      <c r="AV175" s="3"/>
    </row>
    <row r="176" spans="1:48"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3"/>
      <c r="AT176" s="3"/>
      <c r="AU176" s="3"/>
      <c r="AV176" s="3"/>
    </row>
    <row r="177" spans="1:48"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3"/>
      <c r="AT177" s="3"/>
      <c r="AU177" s="3"/>
      <c r="AV177" s="3"/>
    </row>
    <row r="178" spans="1:48"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3"/>
      <c r="AT178" s="3"/>
      <c r="AU178" s="3"/>
      <c r="AV178" s="3"/>
    </row>
    <row r="179" spans="1:48"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3"/>
      <c r="AT179" s="3"/>
      <c r="AU179" s="3"/>
      <c r="AV179" s="3"/>
    </row>
    <row r="180" spans="1:48"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3"/>
      <c r="AT180" s="3"/>
      <c r="AU180" s="3"/>
      <c r="AV180" s="3"/>
    </row>
    <row r="181" spans="1:48"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3"/>
      <c r="AT181" s="3"/>
      <c r="AU181" s="3"/>
      <c r="AV181" s="3"/>
    </row>
    <row r="182" spans="1:48"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3"/>
      <c r="AT182" s="3"/>
      <c r="AU182" s="3"/>
      <c r="AV182" s="3"/>
    </row>
    <row r="183" spans="1:48"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3"/>
      <c r="AT183" s="3"/>
      <c r="AU183" s="3"/>
      <c r="AV183" s="3"/>
    </row>
    <row r="184" spans="1:48"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3"/>
      <c r="AT184" s="3"/>
      <c r="AU184" s="3"/>
      <c r="AV184" s="3"/>
    </row>
    <row r="185" spans="1:48"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3"/>
      <c r="AT185" s="3"/>
      <c r="AU185" s="3"/>
      <c r="AV185" s="3"/>
    </row>
    <row r="186" spans="1:48"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3"/>
      <c r="AT186" s="3"/>
      <c r="AU186" s="3"/>
      <c r="AV186" s="3"/>
    </row>
    <row r="187" spans="1:48"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3"/>
      <c r="AT187" s="3"/>
      <c r="AU187" s="3"/>
      <c r="AV187" s="3"/>
    </row>
    <row r="188" spans="1:48"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3"/>
      <c r="AT188" s="3"/>
      <c r="AU188" s="3"/>
      <c r="AV188" s="3"/>
    </row>
    <row r="189" spans="1:48"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3"/>
      <c r="AT189" s="3"/>
      <c r="AU189" s="3"/>
      <c r="AV189" s="3"/>
    </row>
    <row r="190" spans="1:48"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3"/>
      <c r="AT190" s="3"/>
      <c r="AU190" s="3"/>
      <c r="AV190" s="3"/>
    </row>
    <row r="191" spans="1:48"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3"/>
      <c r="AT191" s="3"/>
      <c r="AU191" s="3"/>
      <c r="AV191" s="3"/>
    </row>
    <row r="192" spans="1:48"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c r="AS192" s="3"/>
      <c r="AT192" s="3"/>
      <c r="AU192" s="3"/>
      <c r="AV192" s="3"/>
    </row>
    <row r="193" spans="1:48"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c r="AS193" s="3"/>
      <c r="AT193" s="3"/>
      <c r="AU193" s="3"/>
      <c r="AV193" s="3"/>
    </row>
    <row r="194" spans="1:48"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c r="AS194" s="3"/>
      <c r="AT194" s="3"/>
      <c r="AU194" s="3"/>
      <c r="AV194" s="3"/>
    </row>
    <row r="195" spans="1:48"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c r="AS195" s="3"/>
      <c r="AT195" s="3"/>
      <c r="AU195" s="3"/>
      <c r="AV195" s="3"/>
    </row>
    <row r="196" spans="1:48"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c r="AS196" s="3"/>
      <c r="AT196" s="3"/>
      <c r="AU196" s="3"/>
      <c r="AV196" s="3"/>
    </row>
    <row r="197" spans="1:48"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c r="AS197" s="3"/>
      <c r="AT197" s="3"/>
      <c r="AU197" s="3"/>
      <c r="AV197" s="3"/>
    </row>
    <row r="198" spans="1:48"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c r="AS198" s="3"/>
      <c r="AT198" s="3"/>
      <c r="AU198" s="3"/>
      <c r="AV198" s="3"/>
    </row>
    <row r="199" spans="1:48"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c r="AS199" s="3"/>
      <c r="AT199" s="3"/>
      <c r="AU199" s="3"/>
      <c r="AV199" s="3"/>
    </row>
    <row r="200" spans="1:48"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c r="AS200" s="3"/>
      <c r="AT200" s="3"/>
      <c r="AU200" s="3"/>
      <c r="AV200" s="3"/>
    </row>
    <row r="201" spans="1:48"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c r="AS201" s="3"/>
      <c r="AT201" s="3"/>
      <c r="AU201" s="3"/>
      <c r="AV201" s="3"/>
    </row>
    <row r="202" spans="1:48"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c r="AS202" s="3"/>
      <c r="AT202" s="3"/>
      <c r="AU202" s="3"/>
      <c r="AV202" s="3"/>
    </row>
    <row r="203" spans="1:48"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c r="AS203" s="3"/>
      <c r="AT203" s="3"/>
      <c r="AU203" s="3"/>
      <c r="AV203" s="3"/>
    </row>
    <row r="204" spans="1:48"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c r="AS204" s="3"/>
      <c r="AT204" s="3"/>
      <c r="AU204" s="3"/>
      <c r="AV204" s="3"/>
    </row>
    <row r="205" spans="1:48"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c r="AS205" s="3"/>
      <c r="AT205" s="3"/>
      <c r="AU205" s="3"/>
      <c r="AV205" s="3"/>
    </row>
    <row r="206" spans="1:48"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c r="AS206" s="3"/>
      <c r="AT206" s="3"/>
      <c r="AU206" s="3"/>
      <c r="AV206" s="3"/>
    </row>
    <row r="207" spans="1:48"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c r="AS207" s="3"/>
      <c r="AT207" s="3"/>
      <c r="AU207" s="3"/>
      <c r="AV207" s="3"/>
    </row>
    <row r="208" spans="1:48"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c r="AS208" s="3"/>
      <c r="AT208" s="3"/>
      <c r="AU208" s="3"/>
      <c r="AV208" s="3"/>
    </row>
    <row r="209" spans="1:48"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c r="AS209" s="3"/>
      <c r="AT209" s="3"/>
      <c r="AU209" s="3"/>
      <c r="AV209" s="3"/>
    </row>
    <row r="210" spans="1:48"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c r="AS210" s="3"/>
      <c r="AT210" s="3"/>
      <c r="AU210" s="3"/>
      <c r="AV210" s="3"/>
    </row>
    <row r="211" spans="1:48"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c r="AS211" s="3"/>
      <c r="AT211" s="3"/>
      <c r="AU211" s="3"/>
      <c r="AV211" s="3"/>
    </row>
    <row r="212" spans="1:48"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c r="AS212" s="3"/>
      <c r="AT212" s="3"/>
      <c r="AU212" s="3"/>
      <c r="AV212" s="3"/>
    </row>
    <row r="213" spans="1:48"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c r="AS213" s="3"/>
      <c r="AT213" s="3"/>
      <c r="AU213" s="3"/>
      <c r="AV213" s="3"/>
    </row>
    <row r="214" spans="1:48"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c r="AS214" s="3"/>
      <c r="AT214" s="3"/>
      <c r="AU214" s="3"/>
      <c r="AV214" s="3"/>
    </row>
    <row r="215" spans="1:48"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c r="AS215" s="3"/>
      <c r="AT215" s="3"/>
      <c r="AU215" s="3"/>
      <c r="AV215" s="3"/>
    </row>
    <row r="216" spans="1:48"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c r="AS216" s="3"/>
      <c r="AT216" s="3"/>
      <c r="AU216" s="3"/>
      <c r="AV216" s="3"/>
    </row>
    <row r="217" spans="1:48"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c r="AS217" s="3"/>
      <c r="AT217" s="3"/>
      <c r="AU217" s="3"/>
      <c r="AV217" s="3"/>
    </row>
    <row r="218" spans="1:48"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c r="AS218" s="3"/>
      <c r="AT218" s="3"/>
      <c r="AU218" s="3"/>
      <c r="AV218" s="3"/>
    </row>
    <row r="219" spans="1:48"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c r="AS219" s="3"/>
      <c r="AT219" s="3"/>
      <c r="AU219" s="3"/>
      <c r="AV219" s="3"/>
    </row>
    <row r="220" spans="1:48"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c r="AS220" s="3"/>
      <c r="AT220" s="3"/>
      <c r="AU220" s="3"/>
      <c r="AV220" s="3"/>
    </row>
    <row r="221" spans="1:48"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c r="AS221" s="3"/>
      <c r="AT221" s="3"/>
      <c r="AU221" s="3"/>
      <c r="AV221" s="3"/>
    </row>
    <row r="222" spans="1:48"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c r="AS222" s="3"/>
      <c r="AT222" s="3"/>
      <c r="AU222" s="3"/>
      <c r="AV222" s="3"/>
    </row>
    <row r="223" spans="1:48"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c r="AS223" s="3"/>
      <c r="AT223" s="3"/>
      <c r="AU223" s="3"/>
      <c r="AV223" s="3"/>
    </row>
    <row r="224" spans="1:48"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c r="AS224" s="3"/>
      <c r="AT224" s="3"/>
      <c r="AU224" s="3"/>
      <c r="AV224" s="3"/>
    </row>
    <row r="225" spans="1:48"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c r="AS225" s="3"/>
      <c r="AT225" s="3"/>
      <c r="AU225" s="3"/>
      <c r="AV225" s="3"/>
    </row>
    <row r="226" spans="1:48"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c r="AS226" s="3"/>
      <c r="AT226" s="3"/>
      <c r="AU226" s="3"/>
      <c r="AV226" s="3"/>
    </row>
    <row r="227" spans="1:48"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c r="AS227" s="3"/>
      <c r="AT227" s="3"/>
      <c r="AU227" s="3"/>
      <c r="AV227" s="3"/>
    </row>
    <row r="228" spans="1:48"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c r="AS228" s="3"/>
      <c r="AT228" s="3"/>
      <c r="AU228" s="3"/>
      <c r="AV228" s="3"/>
    </row>
    <row r="229" spans="1:48"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c r="AS229" s="3"/>
      <c r="AT229" s="3"/>
      <c r="AU229" s="3"/>
      <c r="AV229" s="3"/>
    </row>
    <row r="230" spans="1:48"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c r="AS230" s="3"/>
      <c r="AT230" s="3"/>
      <c r="AU230" s="3"/>
      <c r="AV230" s="3"/>
    </row>
    <row r="231" spans="1:48"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c r="AS231" s="3"/>
      <c r="AT231" s="3"/>
      <c r="AU231" s="3"/>
      <c r="AV231" s="3"/>
    </row>
    <row r="232" spans="1:48"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c r="AS232" s="3"/>
      <c r="AT232" s="3"/>
      <c r="AU232" s="3"/>
      <c r="AV232" s="3"/>
    </row>
    <row r="233" spans="1:48"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c r="AS233" s="3"/>
      <c r="AT233" s="3"/>
      <c r="AU233" s="3"/>
      <c r="AV233" s="3"/>
    </row>
    <row r="234" spans="1:48"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c r="AS234" s="3"/>
      <c r="AT234" s="3"/>
      <c r="AU234" s="3"/>
      <c r="AV234" s="3"/>
    </row>
    <row r="235" spans="1:48"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c r="AS235" s="3"/>
      <c r="AT235" s="3"/>
      <c r="AU235" s="3"/>
      <c r="AV235" s="3"/>
    </row>
    <row r="236" spans="1:48"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c r="AS236" s="3"/>
      <c r="AT236" s="3"/>
      <c r="AU236" s="3"/>
      <c r="AV236" s="3"/>
    </row>
    <row r="237" spans="1:48"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c r="AS237" s="3"/>
      <c r="AT237" s="3"/>
      <c r="AU237" s="3"/>
      <c r="AV237" s="3"/>
    </row>
    <row r="238" spans="1:48"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c r="AS238" s="3"/>
      <c r="AT238" s="3"/>
      <c r="AU238" s="3"/>
      <c r="AV238" s="3"/>
    </row>
    <row r="239" spans="1:48"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c r="AS239" s="3"/>
      <c r="AT239" s="3"/>
      <c r="AU239" s="3"/>
      <c r="AV239" s="3"/>
    </row>
    <row r="240" spans="1:48"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c r="AS240" s="3"/>
      <c r="AT240" s="3"/>
      <c r="AU240" s="3"/>
      <c r="AV240" s="3"/>
    </row>
    <row r="241" spans="1:48"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c r="AS241" s="3"/>
      <c r="AT241" s="3"/>
      <c r="AU241" s="3"/>
      <c r="AV241" s="3"/>
    </row>
    <row r="242" spans="1:48"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c r="AS242" s="3"/>
      <c r="AT242" s="3"/>
      <c r="AU242" s="3"/>
      <c r="AV242" s="3"/>
    </row>
    <row r="243" spans="1:48"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c r="AS243" s="3"/>
      <c r="AT243" s="3"/>
      <c r="AU243" s="3"/>
      <c r="AV243" s="3"/>
    </row>
    <row r="244" spans="1:48"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c r="AS244" s="3"/>
      <c r="AT244" s="3"/>
      <c r="AU244" s="3"/>
      <c r="AV244" s="3"/>
    </row>
    <row r="245" spans="1:48"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c r="AS245" s="3"/>
      <c r="AT245" s="3"/>
      <c r="AU245" s="3"/>
      <c r="AV245" s="3"/>
    </row>
    <row r="246" spans="1:48"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c r="AS246" s="3"/>
      <c r="AT246" s="3"/>
      <c r="AU246" s="3"/>
      <c r="AV246" s="3"/>
    </row>
    <row r="247" spans="1:48"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c r="AS247" s="3"/>
      <c r="AT247" s="3"/>
      <c r="AU247" s="3"/>
      <c r="AV247" s="3"/>
    </row>
    <row r="248" spans="1:48"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c r="AS248" s="3"/>
      <c r="AT248" s="3"/>
      <c r="AU248" s="3"/>
      <c r="AV248" s="3"/>
    </row>
    <row r="249" spans="1:48"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c r="AS249" s="3"/>
      <c r="AT249" s="3"/>
      <c r="AU249" s="3"/>
      <c r="AV249" s="3"/>
    </row>
    <row r="250" spans="1:48"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c r="AS250" s="3"/>
      <c r="AT250" s="3"/>
      <c r="AU250" s="3"/>
      <c r="AV250" s="3"/>
    </row>
    <row r="251" spans="1:48"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c r="AS251" s="3"/>
      <c r="AT251" s="3"/>
      <c r="AU251" s="3"/>
      <c r="AV251" s="3"/>
    </row>
    <row r="252" spans="1:48"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c r="AS252" s="3"/>
      <c r="AT252" s="3"/>
      <c r="AU252" s="3"/>
      <c r="AV252" s="3"/>
    </row>
    <row r="253" spans="1:48"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c r="AS253" s="3"/>
      <c r="AT253" s="3"/>
      <c r="AU253" s="3"/>
      <c r="AV253" s="3"/>
    </row>
    <row r="254" spans="1:48"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c r="AS254" s="3"/>
      <c r="AT254" s="3"/>
      <c r="AU254" s="3"/>
      <c r="AV254" s="3"/>
    </row>
    <row r="255" spans="1:48"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c r="AS255" s="3"/>
      <c r="AT255" s="3"/>
      <c r="AU255" s="3"/>
      <c r="AV255" s="3"/>
    </row>
    <row r="256" spans="1:48"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c r="AS256" s="3"/>
      <c r="AT256" s="3"/>
      <c r="AU256" s="3"/>
      <c r="AV256" s="3"/>
    </row>
    <row r="257" spans="1:48"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c r="AS257" s="3"/>
      <c r="AT257" s="3"/>
      <c r="AU257" s="3"/>
      <c r="AV257" s="3"/>
    </row>
    <row r="258" spans="1:48"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c r="AS258" s="3"/>
      <c r="AT258" s="3"/>
      <c r="AU258" s="3"/>
      <c r="AV258" s="3"/>
    </row>
    <row r="259" spans="1:48"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c r="AS259" s="3"/>
      <c r="AT259" s="3"/>
      <c r="AU259" s="3"/>
      <c r="AV259" s="3"/>
    </row>
    <row r="260" spans="1:48"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c r="AS260" s="3"/>
      <c r="AT260" s="3"/>
      <c r="AU260" s="3"/>
      <c r="AV260" s="3"/>
    </row>
    <row r="261" spans="1:48"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c r="AS261" s="3"/>
      <c r="AT261" s="3"/>
      <c r="AU261" s="3"/>
      <c r="AV261" s="3"/>
    </row>
    <row r="262" spans="1:48"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c r="AS262" s="3"/>
      <c r="AT262" s="3"/>
      <c r="AU262" s="3"/>
      <c r="AV262" s="3"/>
    </row>
    <row r="263" spans="1:48"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c r="AS263" s="3"/>
      <c r="AT263" s="3"/>
      <c r="AU263" s="3"/>
      <c r="AV263" s="3"/>
    </row>
    <row r="264" spans="1:48"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c r="AS264" s="3"/>
      <c r="AT264" s="3"/>
      <c r="AU264" s="3"/>
      <c r="AV264" s="3"/>
    </row>
    <row r="265" spans="1:48"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c r="AS265" s="3"/>
      <c r="AT265" s="3"/>
      <c r="AU265" s="3"/>
      <c r="AV265" s="3"/>
    </row>
    <row r="266" spans="1:48"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c r="AS266" s="3"/>
      <c r="AT266" s="3"/>
      <c r="AU266" s="3"/>
      <c r="AV266" s="3"/>
    </row>
    <row r="267" spans="1:48"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c r="AS267" s="3"/>
      <c r="AT267" s="3"/>
      <c r="AU267" s="3"/>
      <c r="AV267" s="3"/>
    </row>
    <row r="268" spans="1:48"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c r="AS268" s="3"/>
      <c r="AT268" s="3"/>
      <c r="AU268" s="3"/>
      <c r="AV268" s="3"/>
    </row>
    <row r="269" spans="1:48"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c r="AS269" s="3"/>
      <c r="AT269" s="3"/>
      <c r="AU269" s="3"/>
      <c r="AV269" s="3"/>
    </row>
    <row r="270" spans="1:48"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c r="AS270" s="3"/>
      <c r="AT270" s="3"/>
      <c r="AU270" s="3"/>
      <c r="AV270" s="3"/>
    </row>
    <row r="271" spans="1:48"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c r="AS271" s="3"/>
      <c r="AT271" s="3"/>
      <c r="AU271" s="3"/>
      <c r="AV271" s="3"/>
    </row>
    <row r="272" spans="1:48"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c r="AS272" s="3"/>
      <c r="AT272" s="3"/>
      <c r="AU272" s="3"/>
      <c r="AV272" s="3"/>
    </row>
    <row r="273" spans="1:48"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c r="AS273" s="3"/>
      <c r="AT273" s="3"/>
      <c r="AU273" s="3"/>
      <c r="AV273" s="3"/>
    </row>
    <row r="274" spans="1:48"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c r="AS274" s="3"/>
      <c r="AT274" s="3"/>
      <c r="AU274" s="3"/>
      <c r="AV274" s="3"/>
    </row>
    <row r="275" spans="1:48"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c r="AS275" s="3"/>
      <c r="AT275" s="3"/>
      <c r="AU275" s="3"/>
      <c r="AV275" s="3"/>
    </row>
    <row r="276" spans="1:48"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3"/>
      <c r="AS276" s="3"/>
      <c r="AT276" s="3"/>
      <c r="AU276" s="3"/>
      <c r="AV276" s="3"/>
    </row>
    <row r="277" spans="1:48"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3"/>
      <c r="AS277" s="3"/>
      <c r="AT277" s="3"/>
      <c r="AU277" s="3"/>
      <c r="AV277" s="3"/>
    </row>
    <row r="278" spans="1:48"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3"/>
      <c r="AS278" s="3"/>
      <c r="AT278" s="3"/>
      <c r="AU278" s="3"/>
      <c r="AV278" s="3"/>
    </row>
    <row r="279" spans="1:48"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3"/>
      <c r="AS279" s="3"/>
      <c r="AT279" s="3"/>
      <c r="AU279" s="3"/>
      <c r="AV279" s="3"/>
    </row>
    <row r="280" spans="1:48"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3"/>
      <c r="AS280" s="3"/>
      <c r="AT280" s="3"/>
      <c r="AU280" s="3"/>
      <c r="AV280" s="3"/>
    </row>
    <row r="281" spans="1:48"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3"/>
      <c r="AS281" s="3"/>
      <c r="AT281" s="3"/>
      <c r="AU281" s="3"/>
      <c r="AV281" s="3"/>
    </row>
    <row r="282" spans="1:48"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3"/>
      <c r="AS282" s="3"/>
      <c r="AT282" s="3"/>
      <c r="AU282" s="3"/>
      <c r="AV282" s="3"/>
    </row>
    <row r="283" spans="1:48"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3"/>
      <c r="AS283" s="3"/>
      <c r="AT283" s="3"/>
      <c r="AU283" s="3"/>
      <c r="AV283" s="3"/>
    </row>
    <row r="284" spans="1:4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E00-000000000000}">
      <formula1>"TOU,non-TOU"</formula1>
    </dataValidation>
    <dataValidation type="list" allowBlank="1" showErrorMessage="1" sqref="E15:E28 E30:E38 E40:E41 E43:E51 E57 E63" xr:uid="{00000000-0002-0000-1E00-000001000000}">
      <formula1>#REF!</formula1>
    </dataValidation>
    <dataValidation type="list" allowBlank="1" showInputMessage="1" showErrorMessage="1" prompt="Select Charge Unit - monthly, per kWh, per kW" sqref="D15:D28 D30:D38 D40:D41 D43:D51 D57 D63" xr:uid="{00000000-0002-0000-1E00-000002000000}">
      <formula1>"Monthly,per kWh,per kW"</formula1>
    </dataValidation>
  </dataValidations>
  <pageMargins left="0.74803149606299213" right="0.74803149606299213" top="0.98425196850393704" bottom="0.98425196850393704"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1000"/>
  <sheetViews>
    <sheetView showGridLines="0" workbookViewId="0">
      <pane ySplit="14" topLeftCell="A54"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1" customWidth="1"/>
    <col min="8" max="8" width="13" customWidth="1"/>
    <col min="9" max="9" width="1.42578125" customWidth="1"/>
    <col min="10" max="11" width="11" customWidth="1"/>
    <col min="12" max="12" width="13" customWidth="1"/>
    <col min="13" max="13" width="1.42578125" customWidth="1"/>
    <col min="14" max="14" width="11" customWidth="1"/>
    <col min="15" max="15" width="10" customWidth="1"/>
    <col min="16" max="16" width="1.7109375" customWidth="1"/>
    <col min="17" max="18" width="11" customWidth="1"/>
    <col min="19" max="19" width="13" customWidth="1"/>
    <col min="20" max="20" width="0.42578125" customWidth="1"/>
    <col min="21" max="21" width="11" customWidth="1"/>
    <col min="22" max="22" width="10" customWidth="1"/>
    <col min="23" max="23" width="2.28515625" customWidth="1"/>
    <col min="24" max="25" width="11" customWidth="1"/>
    <col min="26" max="26" width="13" customWidth="1"/>
    <col min="27" max="27" width="0.42578125" customWidth="1"/>
    <col min="28" max="28" width="11" customWidth="1"/>
    <col min="29" max="29" width="10" customWidth="1"/>
    <col min="30" max="30" width="2.140625" customWidth="1"/>
    <col min="31" max="32" width="11" customWidth="1"/>
    <col min="33" max="33" width="13" customWidth="1"/>
    <col min="34" max="34" width="0.42578125" customWidth="1"/>
    <col min="35" max="35" width="11" customWidth="1"/>
    <col min="36" max="36" width="10" customWidth="1"/>
    <col min="37" max="37" width="0.7109375" customWidth="1"/>
    <col min="38" max="39" width="11" customWidth="1"/>
    <col min="40" max="40" width="13" customWidth="1"/>
    <col min="41" max="41" width="1.28515625" customWidth="1"/>
    <col min="42" max="42" width="11" customWidth="1"/>
    <col min="43" max="43" width="10" customWidth="1"/>
    <col min="44" max="44" width="1.28515625" customWidth="1"/>
    <col min="45" max="48" width="12.42578125" customWidth="1"/>
  </cols>
  <sheetData>
    <row r="1" spans="1:48" ht="7.5" customHeight="1">
      <c r="A1" s="52"/>
      <c r="B1" s="52"/>
      <c r="C1" s="555"/>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8" ht="18.75" customHeight="1">
      <c r="A2" s="52"/>
      <c r="B2" s="52"/>
      <c r="C2" s="556"/>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8" ht="18.75" customHeight="1">
      <c r="A3" s="52"/>
      <c r="B3" s="52"/>
      <c r="C3" s="556"/>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8" ht="7.5" customHeight="1">
      <c r="A4" s="52"/>
      <c r="B4" s="52"/>
      <c r="C4" s="555"/>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8" ht="7.5" customHeight="1">
      <c r="A5" s="52"/>
      <c r="B5" s="52"/>
      <c r="C5" s="555"/>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8" ht="12.75" customHeight="1">
      <c r="A6" s="52"/>
      <c r="B6" s="319" t="s">
        <v>294</v>
      </c>
      <c r="C6" s="555"/>
      <c r="D6" s="505" t="s">
        <v>222</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row>
    <row r="7" spans="1:48"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c r="AV7" s="3"/>
    </row>
    <row r="8" spans="1:48"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8" ht="12.75" customHeight="1">
      <c r="A9" s="52"/>
      <c r="B9" s="383"/>
      <c r="C9" s="555"/>
      <c r="D9" s="306" t="s">
        <v>297</v>
      </c>
      <c r="E9" s="306"/>
      <c r="F9" s="386">
        <v>1277500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8" ht="12.75" customHeight="1">
      <c r="A10" s="52"/>
      <c r="B10" s="52"/>
      <c r="C10" s="555"/>
      <c r="D10" s="52"/>
      <c r="E10" s="52"/>
      <c r="F10" s="386">
        <v>2500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8"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8"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8"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8"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8" ht="12.75" customHeight="1">
      <c r="A15" s="52"/>
      <c r="B15" s="320" t="s">
        <v>218</v>
      </c>
      <c r="C15" s="395" t="str">
        <f t="shared" ref="C15:C28" si="0">D$6&amp;"."&amp;B15</f>
        <v>General Service 1,500 to 4,999 KW.Monthly Service Charge</v>
      </c>
      <c r="D15" s="396" t="s">
        <v>306</v>
      </c>
      <c r="E15" s="320"/>
      <c r="F15" s="397">
        <f>IFERROR(VLOOKUP($C15,'Proposed Rates'!$B:$J,F$11,FALSE),0)</f>
        <v>4126.75</v>
      </c>
      <c r="G15" s="415">
        <f t="shared" ref="G15:G28" si="1">IF($D15="Monthly",1,IF($D15="per KW",$F$10,IF($D15="per kWh",$F$9,0)))</f>
        <v>1</v>
      </c>
      <c r="H15" s="400">
        <f t="shared" ref="H15:H28" si="2">G15*F15</f>
        <v>4126.75</v>
      </c>
      <c r="I15" s="128"/>
      <c r="J15" s="397">
        <f>IFERROR(VLOOKUP($C15,'Proposed Rates'!$B:$J,J$11,FALSE),0)</f>
        <v>4126.75</v>
      </c>
      <c r="K15" s="415">
        <f t="shared" ref="K15:K28" si="3">IF($D15="Monthly",1,IF($D15="per KW",$F$10,IF($D15="per kWh",$F$9,0)))</f>
        <v>1</v>
      </c>
      <c r="L15" s="400">
        <f t="shared" ref="L15:L28" si="4">K15*J15</f>
        <v>4126.75</v>
      </c>
      <c r="M15" s="128"/>
      <c r="N15" s="401">
        <f t="shared" ref="N15:N46" si="5">L15-H15</f>
        <v>0</v>
      </c>
      <c r="O15" s="402">
        <f t="shared" ref="O15:O46" si="6">IF((H15)=0,"",(N15/H15))</f>
        <v>0</v>
      </c>
      <c r="P15" s="52"/>
      <c r="Q15" s="397">
        <f>IFERROR(VLOOKUP($C15,'Proposed Rates'!$B:$J,Q$11,FALSE),0)</f>
        <v>4126.75</v>
      </c>
      <c r="R15" s="415">
        <f t="shared" ref="R15:R28" si="7">IF($D15="Monthly",1,IF($D15="per KW",$F$10,IF($D15="per kWh",$F$9,0)))</f>
        <v>1</v>
      </c>
      <c r="S15" s="400">
        <f t="shared" ref="S15:S28" si="8">R15*Q15</f>
        <v>4126.75</v>
      </c>
      <c r="T15" s="128"/>
      <c r="U15" s="401">
        <f t="shared" ref="U15:U31" si="9">S15-L15</f>
        <v>0</v>
      </c>
      <c r="V15" s="402">
        <f t="shared" ref="V15:V31" si="10">IF((L15)=0,"",(U15/L15))</f>
        <v>0</v>
      </c>
      <c r="W15" s="52"/>
      <c r="X15" s="397">
        <f>IFERROR(VLOOKUP($C15,'Proposed Rates'!$B:$J,X$11,FALSE),0)</f>
        <v>4126.75</v>
      </c>
      <c r="Y15" s="415">
        <f t="shared" ref="Y15:Y28" si="11">IF($D15="Monthly",1,IF($D15="per KW",$F$10,IF($D15="per kWh",$F$9,0)))</f>
        <v>1</v>
      </c>
      <c r="Z15" s="400">
        <f t="shared" ref="Z15:Z28" si="12">Y15*X15</f>
        <v>4126.75</v>
      </c>
      <c r="AA15" s="128"/>
      <c r="AB15" s="401">
        <f t="shared" ref="AB15:AB46" si="13">Z15-S15</f>
        <v>0</v>
      </c>
      <c r="AC15" s="402">
        <f t="shared" ref="AC15:AC46" si="14">IF((S15)=0,"",(AB15/S15))</f>
        <v>0</v>
      </c>
      <c r="AD15" s="52"/>
      <c r="AE15" s="397">
        <f>IFERROR(VLOOKUP($C15,'Proposed Rates'!$B:$J,AE$11,FALSE),0)</f>
        <v>4126.75</v>
      </c>
      <c r="AF15" s="415">
        <f t="shared" ref="AF15:AF28" si="15">IF($D15="Monthly",1,IF($D15="per KW",$F$10,IF($D15="per kWh",$F$9,0)))</f>
        <v>1</v>
      </c>
      <c r="AG15" s="400">
        <f t="shared" ref="AG15:AG28" si="16">AF15*AE15</f>
        <v>4126.75</v>
      </c>
      <c r="AH15" s="128"/>
      <c r="AI15" s="401">
        <f t="shared" ref="AI15:AI46" si="17">AG15-Z15</f>
        <v>0</v>
      </c>
      <c r="AJ15" s="402">
        <f t="shared" ref="AJ15:AJ46" si="18">IF((Z15)=0,"",(AI15/Z15))</f>
        <v>0</v>
      </c>
      <c r="AK15" s="52"/>
      <c r="AL15" s="397">
        <f>IFERROR(VLOOKUP($C15,'Proposed Rates'!$B:$J,AL$11,FALSE),0)</f>
        <v>4126.75</v>
      </c>
      <c r="AM15" s="415">
        <f t="shared" ref="AM15:AM28" si="19">IF($D15="Monthly",1,IF($D15="per KW",$F$10,IF($D15="per kWh",$F$9,0)))</f>
        <v>1</v>
      </c>
      <c r="AN15" s="400">
        <f t="shared" ref="AN15:AN28" si="20">AM15*AL15</f>
        <v>4126.75</v>
      </c>
      <c r="AO15" s="128"/>
      <c r="AP15" s="401">
        <f t="shared" ref="AP15:AP46" si="21">AN15-AG15</f>
        <v>0</v>
      </c>
      <c r="AQ15" s="402">
        <f t="shared" ref="AQ15:AQ46" si="22">IF((AG15)=0,"",(AP15/AG15))</f>
        <v>0</v>
      </c>
      <c r="AR15" s="403"/>
    </row>
    <row r="16" spans="1:48" ht="12.75" customHeight="1">
      <c r="A16" s="52"/>
      <c r="B16" s="320" t="s">
        <v>307</v>
      </c>
      <c r="C16" s="395" t="str">
        <f t="shared" si="0"/>
        <v>General Service 1,500 to 4,999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General Service 1,500 to 4,999 KW.Rate Rider Calculation for PILs</v>
      </c>
      <c r="D17" s="396" t="s">
        <v>377</v>
      </c>
      <c r="E17" s="320"/>
      <c r="F17" s="397">
        <f>IFERROR(VLOOKUP($C17,'Proposed Rates'!$B:$J,F$11,FALSE),0)</f>
        <v>0</v>
      </c>
      <c r="G17" s="415">
        <f t="shared" si="1"/>
        <v>2500</v>
      </c>
      <c r="H17" s="400">
        <f t="shared" si="2"/>
        <v>0</v>
      </c>
      <c r="I17" s="128"/>
      <c r="J17" s="397">
        <f>IFERROR(VLOOKUP($C17,'Proposed Rates'!$B:$J,J$11,FALSE),0)</f>
        <v>0</v>
      </c>
      <c r="K17" s="415">
        <f t="shared" si="3"/>
        <v>2500</v>
      </c>
      <c r="L17" s="400">
        <f t="shared" si="4"/>
        <v>0</v>
      </c>
      <c r="M17" s="128"/>
      <c r="N17" s="401">
        <f t="shared" si="5"/>
        <v>0</v>
      </c>
      <c r="O17" s="402" t="str">
        <f t="shared" si="6"/>
        <v/>
      </c>
      <c r="P17" s="52"/>
      <c r="Q17" s="397">
        <f>IFERROR(VLOOKUP($C17,'Proposed Rates'!$B:$J,Q$11,FALSE),0)</f>
        <v>0</v>
      </c>
      <c r="R17" s="415">
        <f t="shared" si="7"/>
        <v>2500</v>
      </c>
      <c r="S17" s="400">
        <f t="shared" si="8"/>
        <v>0</v>
      </c>
      <c r="T17" s="128"/>
      <c r="U17" s="401">
        <f t="shared" si="9"/>
        <v>0</v>
      </c>
      <c r="V17" s="402" t="str">
        <f t="shared" si="10"/>
        <v/>
      </c>
      <c r="W17" s="52"/>
      <c r="X17" s="397">
        <f>IFERROR(VLOOKUP($C17,'Proposed Rates'!$B:$J,X$11,FALSE),0)</f>
        <v>0</v>
      </c>
      <c r="Y17" s="415">
        <f t="shared" si="11"/>
        <v>2500</v>
      </c>
      <c r="Z17" s="400">
        <f t="shared" si="12"/>
        <v>0</v>
      </c>
      <c r="AA17" s="128"/>
      <c r="AB17" s="401">
        <f t="shared" si="13"/>
        <v>0</v>
      </c>
      <c r="AC17" s="402" t="str">
        <f t="shared" si="14"/>
        <v/>
      </c>
      <c r="AD17" s="52"/>
      <c r="AE17" s="397">
        <f>IFERROR(VLOOKUP($C17,'Proposed Rates'!$B:$J,AE$11,FALSE),0)</f>
        <v>0</v>
      </c>
      <c r="AF17" s="415">
        <f t="shared" si="15"/>
        <v>2500</v>
      </c>
      <c r="AG17" s="400">
        <f t="shared" si="16"/>
        <v>0</v>
      </c>
      <c r="AH17" s="128"/>
      <c r="AI17" s="401">
        <f t="shared" si="17"/>
        <v>0</v>
      </c>
      <c r="AJ17" s="402" t="str">
        <f t="shared" si="18"/>
        <v/>
      </c>
      <c r="AK17" s="52"/>
      <c r="AL17" s="397">
        <f>IFERROR(VLOOKUP($C17,'Proposed Rates'!$B:$J,AL$11,FALSE),0)</f>
        <v>0</v>
      </c>
      <c r="AM17" s="415">
        <f t="shared" si="19"/>
        <v>2500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General Service 1,500 to 4,999 KW.Rate Rider Calculation for Generic</v>
      </c>
      <c r="D18" s="396" t="s">
        <v>377</v>
      </c>
      <c r="E18" s="320"/>
      <c r="F18" s="397">
        <f>IFERROR(VLOOKUP($C18,'Proposed Rates'!$B:$J,F$11,FALSE),0)</f>
        <v>0</v>
      </c>
      <c r="G18" s="415">
        <f t="shared" si="1"/>
        <v>2500</v>
      </c>
      <c r="H18" s="400">
        <f t="shared" si="2"/>
        <v>0</v>
      </c>
      <c r="I18" s="128"/>
      <c r="J18" s="397">
        <f>IFERROR(VLOOKUP($C18,'Proposed Rates'!$B:$J,J$11,FALSE),0)</f>
        <v>0</v>
      </c>
      <c r="K18" s="415">
        <f t="shared" si="3"/>
        <v>2500</v>
      </c>
      <c r="L18" s="400">
        <f t="shared" si="4"/>
        <v>0</v>
      </c>
      <c r="M18" s="128"/>
      <c r="N18" s="401">
        <f t="shared" si="5"/>
        <v>0</v>
      </c>
      <c r="O18" s="402" t="str">
        <f t="shared" si="6"/>
        <v/>
      </c>
      <c r="P18" s="52"/>
      <c r="Q18" s="397">
        <f>IFERROR(VLOOKUP($C18,'Proposed Rates'!$B:$J,Q$11,FALSE),0)</f>
        <v>0</v>
      </c>
      <c r="R18" s="415">
        <f t="shared" si="7"/>
        <v>2500</v>
      </c>
      <c r="S18" s="400">
        <f t="shared" si="8"/>
        <v>0</v>
      </c>
      <c r="T18" s="128"/>
      <c r="U18" s="401">
        <f t="shared" si="9"/>
        <v>0</v>
      </c>
      <c r="V18" s="402" t="str">
        <f t="shared" si="10"/>
        <v/>
      </c>
      <c r="W18" s="52"/>
      <c r="X18" s="397">
        <f>IFERROR(VLOOKUP($C18,'Proposed Rates'!$B:$J,X$11,FALSE),0)</f>
        <v>0</v>
      </c>
      <c r="Y18" s="415">
        <f t="shared" si="11"/>
        <v>2500</v>
      </c>
      <c r="Z18" s="400">
        <f t="shared" si="12"/>
        <v>0</v>
      </c>
      <c r="AA18" s="128"/>
      <c r="AB18" s="401">
        <f t="shared" si="13"/>
        <v>0</v>
      </c>
      <c r="AC18" s="402" t="str">
        <f t="shared" si="14"/>
        <v/>
      </c>
      <c r="AD18" s="52"/>
      <c r="AE18" s="397">
        <f>IFERROR(VLOOKUP($C18,'Proposed Rates'!$B:$J,AE$11,FALSE),0)</f>
        <v>0</v>
      </c>
      <c r="AF18" s="415">
        <f t="shared" si="15"/>
        <v>2500</v>
      </c>
      <c r="AG18" s="400">
        <f t="shared" si="16"/>
        <v>0</v>
      </c>
      <c r="AH18" s="128"/>
      <c r="AI18" s="401">
        <f t="shared" si="17"/>
        <v>0</v>
      </c>
      <c r="AJ18" s="402" t="str">
        <f t="shared" si="18"/>
        <v/>
      </c>
      <c r="AK18" s="52"/>
      <c r="AL18" s="397">
        <f>IFERROR(VLOOKUP($C18,'Proposed Rates'!$B:$J,AL$11,FALSE),0)</f>
        <v>0</v>
      </c>
      <c r="AM18" s="415">
        <f t="shared" si="19"/>
        <v>2500</v>
      </c>
      <c r="AN18" s="400">
        <f t="shared" si="20"/>
        <v>0</v>
      </c>
      <c r="AO18" s="128"/>
      <c r="AP18" s="401">
        <f t="shared" si="21"/>
        <v>0</v>
      </c>
      <c r="AQ18" s="402" t="str">
        <f t="shared" si="22"/>
        <v/>
      </c>
      <c r="AR18" s="403"/>
    </row>
    <row r="19" spans="1:44" ht="12.75" customHeight="1">
      <c r="A19" s="52"/>
      <c r="B19" s="320" t="s">
        <v>59</v>
      </c>
      <c r="C19" s="395" t="str">
        <f t="shared" si="0"/>
        <v>General Service 1,500 to 4,999 KW.Distribution Volumetric Rate</v>
      </c>
      <c r="D19" s="396" t="s">
        <v>377</v>
      </c>
      <c r="E19" s="320"/>
      <c r="F19" s="397">
        <f>IFERROR(VLOOKUP($C19,'Proposed Rates'!$B:$J,F$11,FALSE),0)</f>
        <v>6.0796000000000001</v>
      </c>
      <c r="G19" s="415">
        <f t="shared" si="1"/>
        <v>2500</v>
      </c>
      <c r="H19" s="400">
        <f t="shared" si="2"/>
        <v>15199</v>
      </c>
      <c r="I19" s="128"/>
      <c r="J19" s="397">
        <f>IFERROR(VLOOKUP($C19,'Proposed Rates'!$B:$J,J$11,FALSE),0)</f>
        <v>7.7050000000000001</v>
      </c>
      <c r="K19" s="415">
        <f t="shared" si="3"/>
        <v>2500</v>
      </c>
      <c r="L19" s="400">
        <f t="shared" si="4"/>
        <v>19262.5</v>
      </c>
      <c r="M19" s="128"/>
      <c r="N19" s="401">
        <f t="shared" si="5"/>
        <v>4063.5</v>
      </c>
      <c r="O19" s="402">
        <f t="shared" si="6"/>
        <v>0.26735311533653527</v>
      </c>
      <c r="P19" s="52"/>
      <c r="Q19" s="397">
        <f>IFERROR(VLOOKUP($C19,'Proposed Rates'!$B:$J,Q$11,FALSE),0)</f>
        <v>8.4490999999999996</v>
      </c>
      <c r="R19" s="415">
        <f t="shared" si="7"/>
        <v>2500</v>
      </c>
      <c r="S19" s="400">
        <f t="shared" si="8"/>
        <v>21122.75</v>
      </c>
      <c r="T19" s="128"/>
      <c r="U19" s="401">
        <f t="shared" si="9"/>
        <v>1860.25</v>
      </c>
      <c r="V19" s="402">
        <f t="shared" si="10"/>
        <v>9.6573653471771576E-2</v>
      </c>
      <c r="W19" s="52"/>
      <c r="X19" s="397">
        <f>IFERROR(VLOOKUP($C19,'Proposed Rates'!$B:$J,X$11,FALSE),0)</f>
        <v>9.3969000000000005</v>
      </c>
      <c r="Y19" s="415">
        <f t="shared" si="11"/>
        <v>2500</v>
      </c>
      <c r="Z19" s="400">
        <f t="shared" si="12"/>
        <v>23492.25</v>
      </c>
      <c r="AA19" s="128"/>
      <c r="AB19" s="401">
        <f t="shared" si="13"/>
        <v>2369.5</v>
      </c>
      <c r="AC19" s="402">
        <f t="shared" si="14"/>
        <v>0.11217762838645536</v>
      </c>
      <c r="AD19" s="52"/>
      <c r="AE19" s="397">
        <f>IFERROR(VLOOKUP($C19,'Proposed Rates'!$B:$J,AE$11,FALSE),0)</f>
        <v>10.138</v>
      </c>
      <c r="AF19" s="415">
        <f t="shared" si="15"/>
        <v>2500</v>
      </c>
      <c r="AG19" s="400">
        <f t="shared" si="16"/>
        <v>25345</v>
      </c>
      <c r="AH19" s="128"/>
      <c r="AI19" s="401">
        <f t="shared" si="17"/>
        <v>1852.75</v>
      </c>
      <c r="AJ19" s="402">
        <f t="shared" si="18"/>
        <v>7.8866434675265246E-2</v>
      </c>
      <c r="AK19" s="52"/>
      <c r="AL19" s="397">
        <f>IFERROR(VLOOKUP($C19,'Proposed Rates'!$B:$J,AL$11,FALSE),0)</f>
        <v>10.843</v>
      </c>
      <c r="AM19" s="415">
        <f t="shared" si="19"/>
        <v>2500</v>
      </c>
      <c r="AN19" s="400">
        <f t="shared" si="20"/>
        <v>27107.5</v>
      </c>
      <c r="AO19" s="128"/>
      <c r="AP19" s="401">
        <f t="shared" si="21"/>
        <v>1762.5</v>
      </c>
      <c r="AQ19" s="402">
        <f t="shared" si="22"/>
        <v>6.9540343262970997E-2</v>
      </c>
      <c r="AR19" s="403"/>
    </row>
    <row r="20" spans="1:44" ht="12.75" customHeight="1">
      <c r="A20" s="52"/>
      <c r="B20" s="320" t="s">
        <v>309</v>
      </c>
      <c r="C20" s="395" t="str">
        <f t="shared" si="0"/>
        <v>General Service 1,500 to 4,999 KW.Smart Meter Disposition Rider</v>
      </c>
      <c r="D20" s="396" t="s">
        <v>308</v>
      </c>
      <c r="E20" s="320"/>
      <c r="F20" s="397">
        <f>IFERROR(VLOOKUP($C20,'Proposed Rates'!$B:$J,F$11,FALSE),0)</f>
        <v>0</v>
      </c>
      <c r="G20" s="415">
        <f t="shared" si="1"/>
        <v>1277500</v>
      </c>
      <c r="H20" s="400">
        <f t="shared" si="2"/>
        <v>0</v>
      </c>
      <c r="I20" s="128"/>
      <c r="J20" s="397">
        <f>IFERROR(VLOOKUP($C20,'Proposed Rates'!$B:$J,J$11,FALSE),0)</f>
        <v>0</v>
      </c>
      <c r="K20" s="415">
        <f t="shared" si="3"/>
        <v>1277500</v>
      </c>
      <c r="L20" s="400">
        <f t="shared" si="4"/>
        <v>0</v>
      </c>
      <c r="M20" s="128"/>
      <c r="N20" s="401">
        <f t="shared" si="5"/>
        <v>0</v>
      </c>
      <c r="O20" s="402" t="str">
        <f t="shared" si="6"/>
        <v/>
      </c>
      <c r="P20" s="52"/>
      <c r="Q20" s="397">
        <f>IFERROR(VLOOKUP($C20,'Proposed Rates'!$B:$J,Q$11,FALSE),0)</f>
        <v>0</v>
      </c>
      <c r="R20" s="415">
        <f t="shared" si="7"/>
        <v>1277500</v>
      </c>
      <c r="S20" s="400">
        <f t="shared" si="8"/>
        <v>0</v>
      </c>
      <c r="T20" s="128"/>
      <c r="U20" s="401">
        <f t="shared" si="9"/>
        <v>0</v>
      </c>
      <c r="V20" s="402" t="str">
        <f t="shared" si="10"/>
        <v/>
      </c>
      <c r="W20" s="52"/>
      <c r="X20" s="397">
        <f>IFERROR(VLOOKUP($C20,'Proposed Rates'!$B:$J,X$11,FALSE),0)</f>
        <v>0</v>
      </c>
      <c r="Y20" s="415">
        <f t="shared" si="11"/>
        <v>1277500</v>
      </c>
      <c r="Z20" s="400">
        <f t="shared" si="12"/>
        <v>0</v>
      </c>
      <c r="AA20" s="128"/>
      <c r="AB20" s="401">
        <f t="shared" si="13"/>
        <v>0</v>
      </c>
      <c r="AC20" s="402" t="str">
        <f t="shared" si="14"/>
        <v/>
      </c>
      <c r="AD20" s="52"/>
      <c r="AE20" s="397">
        <f>IFERROR(VLOOKUP($C20,'Proposed Rates'!$B:$J,AE$11,FALSE),0)</f>
        <v>0</v>
      </c>
      <c r="AF20" s="415">
        <f t="shared" si="15"/>
        <v>1277500</v>
      </c>
      <c r="AG20" s="400">
        <f t="shared" si="16"/>
        <v>0</v>
      </c>
      <c r="AH20" s="128"/>
      <c r="AI20" s="401">
        <f t="shared" si="17"/>
        <v>0</v>
      </c>
      <c r="AJ20" s="402" t="str">
        <f t="shared" si="18"/>
        <v/>
      </c>
      <c r="AK20" s="52"/>
      <c r="AL20" s="397">
        <f>IFERROR(VLOOKUP($C20,'Proposed Rates'!$B:$J,AL$11,FALSE),0)</f>
        <v>0</v>
      </c>
      <c r="AM20" s="415">
        <f t="shared" si="19"/>
        <v>1277500</v>
      </c>
      <c r="AN20" s="400">
        <f t="shared" si="20"/>
        <v>0</v>
      </c>
      <c r="AO20" s="128"/>
      <c r="AP20" s="401">
        <f t="shared" si="21"/>
        <v>0</v>
      </c>
      <c r="AQ20" s="402" t="str">
        <f t="shared" si="22"/>
        <v/>
      </c>
      <c r="AR20" s="403"/>
    </row>
    <row r="21" spans="1:44" ht="12.75" customHeight="1">
      <c r="A21" s="52"/>
      <c r="B21" s="320" t="s">
        <v>241</v>
      </c>
      <c r="C21" s="395" t="str">
        <f t="shared" si="0"/>
        <v>General Service 1,500 to 4,999 KW.LRAM Rate Rider</v>
      </c>
      <c r="D21" s="396" t="s">
        <v>377</v>
      </c>
      <c r="E21" s="320"/>
      <c r="F21" s="414">
        <f>'Proposed Rates'!E80+'Proposed Rates'!E93</f>
        <v>0.2021</v>
      </c>
      <c r="G21" s="415">
        <f t="shared" si="1"/>
        <v>2500</v>
      </c>
      <c r="H21" s="400">
        <f t="shared" si="2"/>
        <v>505.25</v>
      </c>
      <c r="I21" s="128"/>
      <c r="J21" s="414">
        <f>'Proposed Rates'!F80+'Proposed Rates'!F93</f>
        <v>-0.3846</v>
      </c>
      <c r="K21" s="415">
        <f t="shared" si="3"/>
        <v>2500</v>
      </c>
      <c r="L21" s="400">
        <f t="shared" si="4"/>
        <v>-961.5</v>
      </c>
      <c r="M21" s="128"/>
      <c r="N21" s="401">
        <f t="shared" si="5"/>
        <v>-1466.75</v>
      </c>
      <c r="O21" s="402">
        <f t="shared" si="6"/>
        <v>-2.9030183077684315</v>
      </c>
      <c r="P21" s="52"/>
      <c r="Q21" s="414">
        <f>'Proposed Rates'!G80+'Proposed Rates'!G93</f>
        <v>0</v>
      </c>
      <c r="R21" s="415">
        <f t="shared" si="7"/>
        <v>2500</v>
      </c>
      <c r="S21" s="400">
        <f t="shared" si="8"/>
        <v>0</v>
      </c>
      <c r="T21" s="128"/>
      <c r="U21" s="401">
        <f t="shared" si="9"/>
        <v>961.5</v>
      </c>
      <c r="V21" s="402">
        <f t="shared" si="10"/>
        <v>-1</v>
      </c>
      <c r="W21" s="52"/>
      <c r="X21" s="397">
        <f>IFERROR(VLOOKUP($C21,'Proposed Rates'!$B:$J,X$11,FALSE),0)</f>
        <v>0</v>
      </c>
      <c r="Y21" s="415">
        <f t="shared" si="11"/>
        <v>2500</v>
      </c>
      <c r="Z21" s="400">
        <f t="shared" si="12"/>
        <v>0</v>
      </c>
      <c r="AA21" s="128"/>
      <c r="AB21" s="401">
        <f t="shared" si="13"/>
        <v>0</v>
      </c>
      <c r="AC21" s="402" t="str">
        <f t="shared" si="14"/>
        <v/>
      </c>
      <c r="AD21" s="52"/>
      <c r="AE21" s="397">
        <f>IFERROR(VLOOKUP($C21,'Proposed Rates'!$B:$J,AE$11,FALSE),0)</f>
        <v>0</v>
      </c>
      <c r="AF21" s="415">
        <f t="shared" si="15"/>
        <v>2500</v>
      </c>
      <c r="AG21" s="400">
        <f t="shared" si="16"/>
        <v>0</v>
      </c>
      <c r="AH21" s="128"/>
      <c r="AI21" s="401">
        <f t="shared" si="17"/>
        <v>0</v>
      </c>
      <c r="AJ21" s="402" t="str">
        <f t="shared" si="18"/>
        <v/>
      </c>
      <c r="AK21" s="52"/>
      <c r="AL21" s="397">
        <f>IFERROR(VLOOKUP($C21,'Proposed Rates'!$B:$J,AL$11,FALSE),0)</f>
        <v>0</v>
      </c>
      <c r="AM21" s="415">
        <f t="shared" si="19"/>
        <v>2500</v>
      </c>
      <c r="AN21" s="400">
        <f t="shared" si="20"/>
        <v>0</v>
      </c>
      <c r="AO21" s="128"/>
      <c r="AP21" s="401">
        <f t="shared" si="21"/>
        <v>0</v>
      </c>
      <c r="AQ21" s="402" t="str">
        <f t="shared" si="22"/>
        <v/>
      </c>
      <c r="AR21" s="403"/>
    </row>
    <row r="22" spans="1:44" ht="12.75" customHeight="1">
      <c r="A22" s="52"/>
      <c r="B22" s="484" t="s">
        <v>237</v>
      </c>
      <c r="C22" s="395" t="str">
        <f t="shared" si="0"/>
        <v>General Service 1,500 to 4,999 KW.Deferral/Variance Account Disposition Rate Rider Group 2</v>
      </c>
      <c r="D22" s="396" t="s">
        <v>377</v>
      </c>
      <c r="E22" s="320"/>
      <c r="F22" s="397">
        <f>IFERROR(VLOOKUP($C22,'Proposed Rates'!$B:$J,F$11,FALSE),0)</f>
        <v>0</v>
      </c>
      <c r="G22" s="415">
        <f t="shared" si="1"/>
        <v>2500</v>
      </c>
      <c r="H22" s="400">
        <f t="shared" si="2"/>
        <v>0</v>
      </c>
      <c r="I22" s="128"/>
      <c r="J22" s="397">
        <f>IFERROR(VLOOKUP($C22,'Proposed Rates'!$B:$J,J$11,FALSE),0)</f>
        <v>-0.1241</v>
      </c>
      <c r="K22" s="415">
        <f t="shared" si="3"/>
        <v>2500</v>
      </c>
      <c r="L22" s="400">
        <f t="shared" si="4"/>
        <v>-310.25</v>
      </c>
      <c r="M22" s="128"/>
      <c r="N22" s="401">
        <f t="shared" si="5"/>
        <v>-310.25</v>
      </c>
      <c r="O22" s="402" t="str">
        <f t="shared" si="6"/>
        <v/>
      </c>
      <c r="P22" s="52"/>
      <c r="Q22" s="397">
        <f>IFERROR(VLOOKUP($C22,'Proposed Rates'!$B:$J,Q$11,FALSE),0)</f>
        <v>0</v>
      </c>
      <c r="R22" s="415">
        <f t="shared" si="7"/>
        <v>2500</v>
      </c>
      <c r="S22" s="400">
        <f t="shared" si="8"/>
        <v>0</v>
      </c>
      <c r="T22" s="128"/>
      <c r="U22" s="401">
        <f t="shared" si="9"/>
        <v>310.25</v>
      </c>
      <c r="V22" s="402">
        <f t="shared" si="10"/>
        <v>-1</v>
      </c>
      <c r="W22" s="52"/>
      <c r="X22" s="397">
        <f>IFERROR(VLOOKUP($C22,'Proposed Rates'!$B:$J,X$11,FALSE),0)</f>
        <v>0</v>
      </c>
      <c r="Y22" s="415">
        <f t="shared" si="11"/>
        <v>2500</v>
      </c>
      <c r="Z22" s="400">
        <f t="shared" si="12"/>
        <v>0</v>
      </c>
      <c r="AA22" s="128"/>
      <c r="AB22" s="401">
        <f t="shared" si="13"/>
        <v>0</v>
      </c>
      <c r="AC22" s="402" t="str">
        <f t="shared" si="14"/>
        <v/>
      </c>
      <c r="AD22" s="52"/>
      <c r="AE22" s="397">
        <f>IFERROR(VLOOKUP($C22,'Proposed Rates'!$B:$J,AE$11,FALSE),0)</f>
        <v>0</v>
      </c>
      <c r="AF22" s="415">
        <f t="shared" si="15"/>
        <v>2500</v>
      </c>
      <c r="AG22" s="400">
        <f t="shared" si="16"/>
        <v>0</v>
      </c>
      <c r="AH22" s="128"/>
      <c r="AI22" s="401">
        <f t="shared" si="17"/>
        <v>0</v>
      </c>
      <c r="AJ22" s="402" t="str">
        <f t="shared" si="18"/>
        <v/>
      </c>
      <c r="AK22" s="52"/>
      <c r="AL22" s="397">
        <f>IFERROR(VLOOKUP($C22,'Proposed Rates'!$B:$J,AL$11,FALSE),0)</f>
        <v>0</v>
      </c>
      <c r="AM22" s="415">
        <f t="shared" si="19"/>
        <v>2500</v>
      </c>
      <c r="AN22" s="400">
        <f t="shared" si="20"/>
        <v>0</v>
      </c>
      <c r="AO22" s="128"/>
      <c r="AP22" s="401">
        <f t="shared" si="21"/>
        <v>0</v>
      </c>
      <c r="AQ22" s="402" t="str">
        <f t="shared" si="22"/>
        <v/>
      </c>
      <c r="AR22" s="403"/>
    </row>
    <row r="23" spans="1:44" ht="12.75" customHeight="1">
      <c r="A23" s="52"/>
      <c r="B23" s="404"/>
      <c r="C23" s="395" t="str">
        <f t="shared" si="0"/>
        <v>General Service 1,500 to 4,999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General Service 1,500 to 4,999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General Service 1,500 to 4,999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General Service 1,500 to 4,999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General Service 1,500 to 4,999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General Service 1,500 to 4,999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557"/>
      <c r="D29" s="406"/>
      <c r="E29" s="406"/>
      <c r="F29" s="407"/>
      <c r="G29" s="500"/>
      <c r="H29" s="409">
        <f>SUM(H15:H28)</f>
        <v>19831</v>
      </c>
      <c r="I29" s="410"/>
      <c r="J29" s="407"/>
      <c r="K29" s="500"/>
      <c r="L29" s="409">
        <f>SUM(L15:L28)</f>
        <v>22117.5</v>
      </c>
      <c r="M29" s="410"/>
      <c r="N29" s="411">
        <f t="shared" si="5"/>
        <v>2286.5</v>
      </c>
      <c r="O29" s="412">
        <f t="shared" si="6"/>
        <v>0.11529927890676214</v>
      </c>
      <c r="P29" s="306"/>
      <c r="Q29" s="407"/>
      <c r="R29" s="500"/>
      <c r="S29" s="409">
        <f>SUM(S15:S28)</f>
        <v>25249.5</v>
      </c>
      <c r="T29" s="410"/>
      <c r="U29" s="411">
        <f t="shared" si="9"/>
        <v>3132</v>
      </c>
      <c r="V29" s="412">
        <f t="shared" si="10"/>
        <v>0.14160732451678534</v>
      </c>
      <c r="W29" s="306"/>
      <c r="X29" s="407"/>
      <c r="Y29" s="500"/>
      <c r="Z29" s="409">
        <f>SUM(Z15:Z28)</f>
        <v>27619</v>
      </c>
      <c r="AA29" s="410"/>
      <c r="AB29" s="411">
        <f t="shared" si="13"/>
        <v>2369.5</v>
      </c>
      <c r="AC29" s="412">
        <f t="shared" si="14"/>
        <v>9.3843442444404845E-2</v>
      </c>
      <c r="AD29" s="306"/>
      <c r="AE29" s="407"/>
      <c r="AF29" s="500"/>
      <c r="AG29" s="409">
        <f>SUM(AG15:AG28)</f>
        <v>29471.75</v>
      </c>
      <c r="AH29" s="410"/>
      <c r="AI29" s="411">
        <f t="shared" si="17"/>
        <v>1852.75</v>
      </c>
      <c r="AJ29" s="412">
        <f t="shared" si="18"/>
        <v>6.7082443245591802E-2</v>
      </c>
      <c r="AK29" s="306"/>
      <c r="AL29" s="407"/>
      <c r="AM29" s="500"/>
      <c r="AN29" s="409">
        <f>SUM(AN15:AN28)</f>
        <v>31234.25</v>
      </c>
      <c r="AO29" s="410"/>
      <c r="AP29" s="411">
        <f t="shared" si="21"/>
        <v>1762.5</v>
      </c>
      <c r="AQ29" s="412">
        <f t="shared" si="22"/>
        <v>5.9803031716813559E-2</v>
      </c>
      <c r="AR29" s="413"/>
    </row>
    <row r="30" spans="1:44" ht="12.75" customHeight="1">
      <c r="A30" s="52"/>
      <c r="B30" s="404" t="s">
        <v>234</v>
      </c>
      <c r="C30" s="395" t="str">
        <f t="shared" ref="C30:C38" si="23">D$6&amp;"."&amp;B30</f>
        <v>General Service 1,500 to 4,999 KW.DVA Disposition Rate Rider Group 1 -2025</v>
      </c>
      <c r="D30" s="396" t="s">
        <v>377</v>
      </c>
      <c r="E30" s="320"/>
      <c r="F30" s="414">
        <f>IFERROR(VLOOKUP($C30,'Proposed Rates'!$B:$J,F$11,FALSE),0)</f>
        <v>5.3600000000000002E-2</v>
      </c>
      <c r="G30" s="415">
        <f t="shared" ref="G30:G36" si="24">IF($D30="Monthly",1,IF($D30="per KW",$F$10,IF($D30="per kWh",$F$9,0)))</f>
        <v>2500</v>
      </c>
      <c r="H30" s="400">
        <f t="shared" ref="H30:H38" si="25">G30*F30</f>
        <v>134</v>
      </c>
      <c r="I30" s="128"/>
      <c r="J30" s="414">
        <f>IFERROR(VLOOKUP($C30,'Proposed Rates'!$B:$J,J$11,FALSE),0)</f>
        <v>-0.22459999999999999</v>
      </c>
      <c r="K30" s="415">
        <f t="shared" ref="K30:K36" si="26">IF($D30="Monthly",1,IF($D30="per KW",$F$10,IF($D30="per kWh",$F$9,0)))</f>
        <v>2500</v>
      </c>
      <c r="L30" s="400">
        <f t="shared" ref="L30:L38" si="27">K30*J30</f>
        <v>-561.5</v>
      </c>
      <c r="M30" s="128"/>
      <c r="N30" s="401">
        <f t="shared" si="5"/>
        <v>-695.5</v>
      </c>
      <c r="O30" s="402">
        <f t="shared" si="6"/>
        <v>-5.1902985074626864</v>
      </c>
      <c r="P30" s="52"/>
      <c r="Q30" s="414">
        <f>IFERROR(VLOOKUP($C30,'Proposed Rates'!$B:$J,Q$11,FALSE),0)</f>
        <v>0</v>
      </c>
      <c r="R30" s="415">
        <f t="shared" ref="R30:R36" si="28">IF($D30="Monthly",1,IF($D30="per KW",$F$10,IF($D30="per kWh",$F$9,0)))</f>
        <v>2500</v>
      </c>
      <c r="S30" s="400">
        <f t="shared" ref="S30:S38" si="29">R30*Q30</f>
        <v>0</v>
      </c>
      <c r="T30" s="128"/>
      <c r="U30" s="401">
        <f t="shared" si="9"/>
        <v>561.5</v>
      </c>
      <c r="V30" s="402">
        <f t="shared" si="10"/>
        <v>-1</v>
      </c>
      <c r="W30" s="52"/>
      <c r="X30" s="414">
        <f>IFERROR(VLOOKUP($C30,'Proposed Rates'!$B:$J,X$11,FALSE),0)</f>
        <v>0</v>
      </c>
      <c r="Y30" s="415">
        <f t="shared" ref="Y30:Y36" si="30">IF($D30="Monthly",1,IF($D30="per KW",$F$10,IF($D30="per kWh",$F$9,0)))</f>
        <v>2500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2500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2500</v>
      </c>
      <c r="AN30" s="400">
        <f t="shared" ref="AN30:AN38" si="35">AM30*AL30</f>
        <v>0</v>
      </c>
      <c r="AO30" s="128"/>
      <c r="AP30" s="401">
        <f t="shared" si="21"/>
        <v>0</v>
      </c>
      <c r="AQ30" s="402" t="str">
        <f t="shared" si="22"/>
        <v/>
      </c>
      <c r="AR30" s="403"/>
    </row>
    <row r="31" spans="1:44" ht="12.75" customHeight="1">
      <c r="A31" s="52"/>
      <c r="B31" s="484" t="s">
        <v>236</v>
      </c>
      <c r="C31" s="395" t="str">
        <f t="shared" si="23"/>
        <v>General Service 1,500 to 4,999 KW.DVA Disposition Rate Rider Group 1 - 2024</v>
      </c>
      <c r="D31" s="396" t="s">
        <v>377</v>
      </c>
      <c r="E31" s="320"/>
      <c r="F31" s="414">
        <f>IFERROR(VLOOKUP($C31,'Proposed Rates'!$B:$J,F$11,FALSE),0)</f>
        <v>0</v>
      </c>
      <c r="G31" s="415">
        <f t="shared" si="24"/>
        <v>2500</v>
      </c>
      <c r="H31" s="400">
        <f t="shared" si="25"/>
        <v>0</v>
      </c>
      <c r="I31" s="128"/>
      <c r="J31" s="414">
        <f>IFERROR(VLOOKUP($C31,'Proposed Rates'!$B:$J,J$11,FALSE),0)</f>
        <v>0</v>
      </c>
      <c r="K31" s="415">
        <f t="shared" si="26"/>
        <v>2500</v>
      </c>
      <c r="L31" s="400">
        <f t="shared" si="27"/>
        <v>0</v>
      </c>
      <c r="M31" s="128"/>
      <c r="N31" s="401">
        <f t="shared" si="5"/>
        <v>0</v>
      </c>
      <c r="O31" s="402" t="str">
        <f t="shared" si="6"/>
        <v/>
      </c>
      <c r="P31" s="52"/>
      <c r="Q31" s="414">
        <f>IFERROR(VLOOKUP($C31,'Proposed Rates'!$B:$J,Q$11,FALSE),0)</f>
        <v>0</v>
      </c>
      <c r="R31" s="415">
        <f t="shared" si="28"/>
        <v>2500</v>
      </c>
      <c r="S31" s="400">
        <f t="shared" si="29"/>
        <v>0</v>
      </c>
      <c r="T31" s="128"/>
      <c r="U31" s="401">
        <f t="shared" si="9"/>
        <v>0</v>
      </c>
      <c r="V31" s="402" t="str">
        <f t="shared" si="10"/>
        <v/>
      </c>
      <c r="W31" s="52"/>
      <c r="X31" s="414">
        <f>IFERROR(VLOOKUP($C31,'Proposed Rates'!$B:$J,X$11,FALSE),0)</f>
        <v>0</v>
      </c>
      <c r="Y31" s="415">
        <f t="shared" si="30"/>
        <v>2500</v>
      </c>
      <c r="Z31" s="400">
        <f t="shared" si="31"/>
        <v>0</v>
      </c>
      <c r="AA31" s="128"/>
      <c r="AB31" s="401">
        <f t="shared" si="13"/>
        <v>0</v>
      </c>
      <c r="AC31" s="402" t="str">
        <f t="shared" si="14"/>
        <v/>
      </c>
      <c r="AD31" s="52"/>
      <c r="AE31" s="414">
        <f>IFERROR(VLOOKUP($C31,'Proposed Rates'!$B:$J,AE$11,FALSE),0)</f>
        <v>0</v>
      </c>
      <c r="AF31" s="415">
        <f t="shared" si="32"/>
        <v>2500</v>
      </c>
      <c r="AG31" s="400">
        <f t="shared" si="33"/>
        <v>0</v>
      </c>
      <c r="AH31" s="128"/>
      <c r="AI31" s="401">
        <f t="shared" si="17"/>
        <v>0</v>
      </c>
      <c r="AJ31" s="402" t="str">
        <f t="shared" si="18"/>
        <v/>
      </c>
      <c r="AK31" s="52"/>
      <c r="AL31" s="414">
        <f>IFERROR(VLOOKUP($C31,'Proposed Rates'!$B:$J,AL$11,FALSE),0)</f>
        <v>0</v>
      </c>
      <c r="AM31" s="415">
        <f t="shared" si="34"/>
        <v>2500</v>
      </c>
      <c r="AN31" s="400">
        <f t="shared" si="35"/>
        <v>0</v>
      </c>
      <c r="AO31" s="128"/>
      <c r="AP31" s="401">
        <f t="shared" si="21"/>
        <v>0</v>
      </c>
      <c r="AQ31" s="402" t="str">
        <f t="shared" si="22"/>
        <v/>
      </c>
      <c r="AR31" s="403"/>
    </row>
    <row r="32" spans="1:44" ht="12.75" customHeight="1">
      <c r="A32" s="52"/>
      <c r="B32" s="484" t="s">
        <v>244</v>
      </c>
      <c r="C32" s="395" t="str">
        <f t="shared" si="23"/>
        <v>General Service 1,500 to 4,999 KW.CBR Class B Rate Riders</v>
      </c>
      <c r="D32" s="396" t="s">
        <v>308</v>
      </c>
      <c r="E32" s="320"/>
      <c r="F32" s="414">
        <f>IFERROR(VLOOKUP($C32,'Proposed Rates'!$B:$J,F$11,FALSE),0)</f>
        <v>2.0000000000000001E-4</v>
      </c>
      <c r="G32" s="415">
        <f t="shared" si="24"/>
        <v>1277500</v>
      </c>
      <c r="H32" s="400">
        <f t="shared" si="25"/>
        <v>255.5</v>
      </c>
      <c r="I32" s="485"/>
      <c r="J32" s="414">
        <f>IFERROR(VLOOKUP($C32,'Proposed Rates'!$B:$J,J$11,FALSE),0)</f>
        <v>4.0000000000000002E-4</v>
      </c>
      <c r="K32" s="415">
        <f t="shared" si="26"/>
        <v>1277500</v>
      </c>
      <c r="L32" s="400">
        <f t="shared" si="27"/>
        <v>511</v>
      </c>
      <c r="M32" s="417"/>
      <c r="N32" s="401">
        <f t="shared" si="5"/>
        <v>255.5</v>
      </c>
      <c r="O32" s="402">
        <f t="shared" si="6"/>
        <v>1</v>
      </c>
      <c r="P32" s="52"/>
      <c r="Q32" s="414">
        <f>IFERROR(VLOOKUP($C32,'Proposed Rates'!$B:$J,Q$11,FALSE),0)</f>
        <v>0</v>
      </c>
      <c r="R32" s="415">
        <f t="shared" si="28"/>
        <v>1277500</v>
      </c>
      <c r="S32" s="400">
        <f t="shared" si="29"/>
        <v>0</v>
      </c>
      <c r="T32" s="417"/>
      <c r="U32" s="401"/>
      <c r="V32" s="402"/>
      <c r="W32" s="52"/>
      <c r="X32" s="414">
        <f>IFERROR(VLOOKUP($C32,'Proposed Rates'!$B:$J,X$11,FALSE),0)</f>
        <v>0</v>
      </c>
      <c r="Y32" s="415">
        <f t="shared" si="30"/>
        <v>1277500</v>
      </c>
      <c r="Z32" s="400">
        <f t="shared" si="31"/>
        <v>0</v>
      </c>
      <c r="AA32" s="128"/>
      <c r="AB32" s="401">
        <f t="shared" si="13"/>
        <v>0</v>
      </c>
      <c r="AC32" s="402" t="str">
        <f t="shared" si="14"/>
        <v/>
      </c>
      <c r="AD32" s="52"/>
      <c r="AE32" s="414">
        <f>IFERROR(VLOOKUP($C32,'Proposed Rates'!$B:$J,AE$11,FALSE),0)</f>
        <v>0</v>
      </c>
      <c r="AF32" s="415">
        <f t="shared" si="32"/>
        <v>1277500</v>
      </c>
      <c r="AG32" s="400">
        <f t="shared" si="33"/>
        <v>0</v>
      </c>
      <c r="AH32" s="128"/>
      <c r="AI32" s="401">
        <f t="shared" si="17"/>
        <v>0</v>
      </c>
      <c r="AJ32" s="402" t="str">
        <f t="shared" si="18"/>
        <v/>
      </c>
      <c r="AK32" s="52"/>
      <c r="AL32" s="414">
        <f>IFERROR(VLOOKUP($C32,'Proposed Rates'!$B:$J,AL$11,FALSE),0)</f>
        <v>0</v>
      </c>
      <c r="AM32" s="415">
        <f t="shared" si="34"/>
        <v>1277500</v>
      </c>
      <c r="AN32" s="400">
        <f t="shared" si="35"/>
        <v>0</v>
      </c>
      <c r="AO32" s="417"/>
      <c r="AP32" s="401">
        <f t="shared" si="21"/>
        <v>0</v>
      </c>
      <c r="AQ32" s="402" t="str">
        <f t="shared" si="22"/>
        <v/>
      </c>
      <c r="AR32" s="403"/>
    </row>
    <row r="33" spans="1:44" ht="12.75" customHeight="1">
      <c r="A33" s="52"/>
      <c r="B33" s="484" t="s">
        <v>249</v>
      </c>
      <c r="C33" s="395" t="str">
        <f t="shared" si="23"/>
        <v>General Service 1,500 to 4,999 KW.GA Rate Riders</v>
      </c>
      <c r="D33" s="396" t="s">
        <v>308</v>
      </c>
      <c r="E33" s="320"/>
      <c r="F33" s="414">
        <f>IFERROR(VLOOKUP($C33,'Proposed Rates'!$B:$J,F$11,FALSE),0)</f>
        <v>3.8999999999999998E-3</v>
      </c>
      <c r="G33" s="415">
        <f t="shared" si="24"/>
        <v>1277500</v>
      </c>
      <c r="H33" s="400">
        <f t="shared" si="25"/>
        <v>4982.25</v>
      </c>
      <c r="I33" s="485"/>
      <c r="J33" s="414">
        <f>IFERROR(VLOOKUP($C33,'Proposed Rates'!$B:$J,J$11,FALSE),0)</f>
        <v>4.4999999999999997E-3</v>
      </c>
      <c r="K33" s="415">
        <f t="shared" si="26"/>
        <v>1277500</v>
      </c>
      <c r="L33" s="400">
        <f t="shared" si="27"/>
        <v>5748.75</v>
      </c>
      <c r="M33" s="417"/>
      <c r="N33" s="401">
        <f t="shared" si="5"/>
        <v>766.5</v>
      </c>
      <c r="O33" s="402">
        <f t="shared" si="6"/>
        <v>0.15384615384615385</v>
      </c>
      <c r="P33" s="52"/>
      <c r="Q33" s="414">
        <f>IFERROR(VLOOKUP($C33,'Proposed Rates'!$B:$J,Q$11,FALSE),0)</f>
        <v>0</v>
      </c>
      <c r="R33" s="415">
        <f t="shared" si="28"/>
        <v>1277500</v>
      </c>
      <c r="S33" s="400">
        <f t="shared" si="29"/>
        <v>0</v>
      </c>
      <c r="T33" s="417"/>
      <c r="U33" s="401">
        <f t="shared" ref="U33:U34" si="36">S33-L33</f>
        <v>-5748.75</v>
      </c>
      <c r="V33" s="402">
        <f t="shared" ref="V33:V34" si="37">IF((L33)=0,"",(U33/L33))</f>
        <v>-1</v>
      </c>
      <c r="W33" s="52"/>
      <c r="X33" s="414">
        <f>IFERROR(VLOOKUP($C33,'Proposed Rates'!$B:$J,X$11,FALSE),0)</f>
        <v>0</v>
      </c>
      <c r="Y33" s="415">
        <f t="shared" si="30"/>
        <v>1277500</v>
      </c>
      <c r="Z33" s="400">
        <f t="shared" si="31"/>
        <v>0</v>
      </c>
      <c r="AA33" s="417"/>
      <c r="AB33" s="401">
        <f t="shared" si="13"/>
        <v>0</v>
      </c>
      <c r="AC33" s="402" t="str">
        <f t="shared" si="14"/>
        <v/>
      </c>
      <c r="AD33" s="52"/>
      <c r="AE33" s="414">
        <f>IFERROR(VLOOKUP($C33,'Proposed Rates'!$B:$J,AE$11,FALSE),0)</f>
        <v>0</v>
      </c>
      <c r="AF33" s="415">
        <f t="shared" si="32"/>
        <v>1277500</v>
      </c>
      <c r="AG33" s="400">
        <f t="shared" si="33"/>
        <v>0</v>
      </c>
      <c r="AH33" s="417"/>
      <c r="AI33" s="401">
        <f t="shared" si="17"/>
        <v>0</v>
      </c>
      <c r="AJ33" s="402" t="str">
        <f t="shared" si="18"/>
        <v/>
      </c>
      <c r="AK33" s="52"/>
      <c r="AL33" s="414">
        <f>IFERROR(VLOOKUP($C33,'Proposed Rates'!$B:$J,AL$11,FALSE),0)</f>
        <v>0</v>
      </c>
      <c r="AM33" s="415">
        <f t="shared" si="34"/>
        <v>1277500</v>
      </c>
      <c r="AN33" s="400">
        <f t="shared" si="35"/>
        <v>0</v>
      </c>
      <c r="AO33" s="417"/>
      <c r="AP33" s="401">
        <f t="shared" si="21"/>
        <v>0</v>
      </c>
      <c r="AQ33" s="402" t="str">
        <f t="shared" si="22"/>
        <v/>
      </c>
      <c r="AR33" s="403"/>
    </row>
    <row r="34" spans="1:44" ht="12.75" customHeight="1">
      <c r="A34" s="52"/>
      <c r="B34" s="484" t="s">
        <v>252</v>
      </c>
      <c r="C34" s="395" t="str">
        <f t="shared" si="23"/>
        <v>General Service 1,500 to 4,999 KW.Total Deferral/Variance Account Rate RidersYr2</v>
      </c>
      <c r="D34" s="396" t="s">
        <v>377</v>
      </c>
      <c r="E34" s="320"/>
      <c r="F34" s="414">
        <f>IFERROR(VLOOKUP($C34,'Proposed Rates'!$B:$J,F$11,FALSE),0)</f>
        <v>0</v>
      </c>
      <c r="G34" s="415">
        <f t="shared" si="24"/>
        <v>2500</v>
      </c>
      <c r="H34" s="400">
        <f t="shared" si="25"/>
        <v>0</v>
      </c>
      <c r="I34" s="485"/>
      <c r="J34" s="414">
        <f>IFERROR(VLOOKUP($C34,'Proposed Rates'!$B:$J,J$11,FALSE),0)</f>
        <v>0</v>
      </c>
      <c r="K34" s="415">
        <f t="shared" si="26"/>
        <v>2500</v>
      </c>
      <c r="L34" s="400">
        <f t="shared" si="27"/>
        <v>0</v>
      </c>
      <c r="M34" s="417"/>
      <c r="N34" s="401">
        <f t="shared" si="5"/>
        <v>0</v>
      </c>
      <c r="O34" s="402" t="str">
        <f t="shared" si="6"/>
        <v/>
      </c>
      <c r="P34" s="52"/>
      <c r="Q34" s="414">
        <f>IFERROR(VLOOKUP($C34,'Proposed Rates'!$B:$J,Q$11,FALSE),0)</f>
        <v>0</v>
      </c>
      <c r="R34" s="415">
        <f t="shared" si="28"/>
        <v>2500</v>
      </c>
      <c r="S34" s="400">
        <f t="shared" si="29"/>
        <v>0</v>
      </c>
      <c r="T34" s="417"/>
      <c r="U34" s="401">
        <f t="shared" si="36"/>
        <v>0</v>
      </c>
      <c r="V34" s="402" t="str">
        <f t="shared" si="37"/>
        <v/>
      </c>
      <c r="W34" s="52"/>
      <c r="X34" s="414">
        <f>IFERROR(VLOOKUP($C34,'Proposed Rates'!$B:$J,X$11,FALSE),0)</f>
        <v>0</v>
      </c>
      <c r="Y34" s="415">
        <f t="shared" si="30"/>
        <v>2500</v>
      </c>
      <c r="Z34" s="400">
        <f t="shared" si="31"/>
        <v>0</v>
      </c>
      <c r="AA34" s="417"/>
      <c r="AB34" s="401">
        <f t="shared" si="13"/>
        <v>0</v>
      </c>
      <c r="AC34" s="402" t="str">
        <f t="shared" si="14"/>
        <v/>
      </c>
      <c r="AD34" s="52"/>
      <c r="AE34" s="414">
        <f>IFERROR(VLOOKUP($C34,'Proposed Rates'!$B:$J,AE$11,FALSE),0)</f>
        <v>0</v>
      </c>
      <c r="AF34" s="415">
        <f t="shared" si="32"/>
        <v>2500</v>
      </c>
      <c r="AG34" s="400">
        <f t="shared" si="33"/>
        <v>0</v>
      </c>
      <c r="AH34" s="417"/>
      <c r="AI34" s="401">
        <f t="shared" si="17"/>
        <v>0</v>
      </c>
      <c r="AJ34" s="402" t="str">
        <f t="shared" si="18"/>
        <v/>
      </c>
      <c r="AK34" s="52"/>
      <c r="AL34" s="414">
        <f>IFERROR(VLOOKUP($C34,'Proposed Rates'!$B:$J,AL$11,FALSE),0)</f>
        <v>0</v>
      </c>
      <c r="AM34" s="415">
        <f t="shared" si="34"/>
        <v>2500</v>
      </c>
      <c r="AN34" s="400">
        <f t="shared" si="35"/>
        <v>0</v>
      </c>
      <c r="AO34" s="417"/>
      <c r="AP34" s="401">
        <f t="shared" si="21"/>
        <v>0</v>
      </c>
      <c r="AQ34" s="402" t="str">
        <f t="shared" si="22"/>
        <v/>
      </c>
      <c r="AR34" s="403"/>
    </row>
    <row r="35" spans="1:44" ht="12.75" customHeight="1">
      <c r="A35" s="52"/>
      <c r="B35" s="484" t="s">
        <v>254</v>
      </c>
      <c r="C35" s="395" t="str">
        <f t="shared" si="23"/>
        <v>General Service 1,500 to 4,999 KW.Total Deferral/Variance Account Rate Riders</v>
      </c>
      <c r="D35" s="396" t="s">
        <v>377</v>
      </c>
      <c r="E35" s="320"/>
      <c r="F35" s="414">
        <f>IFERROR(VLOOKUP($C35,'Proposed Rates'!$B:$J,F$11,FALSE),0)</f>
        <v>0</v>
      </c>
      <c r="G35" s="415">
        <f t="shared" si="24"/>
        <v>2500</v>
      </c>
      <c r="H35" s="400">
        <f t="shared" si="25"/>
        <v>0</v>
      </c>
      <c r="I35" s="128"/>
      <c r="J35" s="414">
        <f>IFERROR(VLOOKUP($C35,'Proposed Rates'!$B:$J,J$11,FALSE),0)</f>
        <v>0</v>
      </c>
      <c r="K35" s="415">
        <f t="shared" si="26"/>
        <v>2500</v>
      </c>
      <c r="L35" s="400">
        <f t="shared" si="27"/>
        <v>0</v>
      </c>
      <c r="M35" s="128"/>
      <c r="N35" s="401">
        <f t="shared" si="5"/>
        <v>0</v>
      </c>
      <c r="O35" s="402" t="str">
        <f t="shared" si="6"/>
        <v/>
      </c>
      <c r="P35" s="52"/>
      <c r="Q35" s="414">
        <f>IFERROR(VLOOKUP($C35,'Proposed Rates'!$B:$J,Q$11,FALSE),0)</f>
        <v>0</v>
      </c>
      <c r="R35" s="415">
        <f t="shared" si="28"/>
        <v>2500</v>
      </c>
      <c r="S35" s="400">
        <f t="shared" si="29"/>
        <v>0</v>
      </c>
      <c r="T35" s="128"/>
      <c r="U35" s="401"/>
      <c r="V35" s="402"/>
      <c r="W35" s="52"/>
      <c r="X35" s="414">
        <f>IFERROR(VLOOKUP($C35,'Proposed Rates'!$B:$J,X$11,FALSE),0)</f>
        <v>0</v>
      </c>
      <c r="Y35" s="415">
        <f t="shared" si="30"/>
        <v>2500</v>
      </c>
      <c r="Z35" s="400">
        <f t="shared" si="31"/>
        <v>0</v>
      </c>
      <c r="AA35" s="128"/>
      <c r="AB35" s="401">
        <f t="shared" si="13"/>
        <v>0</v>
      </c>
      <c r="AC35" s="402" t="str">
        <f t="shared" si="14"/>
        <v/>
      </c>
      <c r="AD35" s="52"/>
      <c r="AE35" s="414">
        <f>IFERROR(VLOOKUP($C35,'Proposed Rates'!$B:$J,AE$11,FALSE),0)</f>
        <v>0</v>
      </c>
      <c r="AF35" s="415">
        <f t="shared" si="32"/>
        <v>2500</v>
      </c>
      <c r="AG35" s="400">
        <f t="shared" si="33"/>
        <v>0</v>
      </c>
      <c r="AH35" s="128"/>
      <c r="AI35" s="401">
        <f t="shared" si="17"/>
        <v>0</v>
      </c>
      <c r="AJ35" s="402" t="str">
        <f t="shared" si="18"/>
        <v/>
      </c>
      <c r="AK35" s="52"/>
      <c r="AL35" s="414">
        <f>IFERROR(VLOOKUP($C35,'Proposed Rates'!$B:$J,AL$11,FALSE),0)</f>
        <v>0</v>
      </c>
      <c r="AM35" s="415">
        <f t="shared" si="34"/>
        <v>2500</v>
      </c>
      <c r="AN35" s="400">
        <f t="shared" si="35"/>
        <v>0</v>
      </c>
      <c r="AO35" s="128"/>
      <c r="AP35" s="401">
        <f t="shared" si="21"/>
        <v>0</v>
      </c>
      <c r="AQ35" s="402" t="str">
        <f t="shared" si="22"/>
        <v/>
      </c>
      <c r="AR35" s="403"/>
    </row>
    <row r="36" spans="1:44" ht="12.75" customHeight="1">
      <c r="A36" s="52"/>
      <c r="B36" s="320" t="s">
        <v>269</v>
      </c>
      <c r="C36" s="395" t="str">
        <f t="shared" si="23"/>
        <v>General Service 1,500 to 4,999 KW.Low Voltage Service Charge</v>
      </c>
      <c r="D36" s="396" t="s">
        <v>377</v>
      </c>
      <c r="E36" s="320"/>
      <c r="F36" s="418">
        <f>IFERROR(VLOOKUP($C36,'Proposed Rates'!$B:$J,F$11,FALSE),0)</f>
        <v>2.2040000000000001E-2</v>
      </c>
      <c r="G36" s="415">
        <f t="shared" si="24"/>
        <v>2500</v>
      </c>
      <c r="H36" s="400">
        <f t="shared" si="25"/>
        <v>55.1</v>
      </c>
      <c r="I36" s="128"/>
      <c r="J36" s="418">
        <f>IFERROR(VLOOKUP($C36,'Proposed Rates'!$B:$J,J$11,FALSE),0)</f>
        <v>2.315E-2</v>
      </c>
      <c r="K36" s="415">
        <f t="shared" si="26"/>
        <v>2500</v>
      </c>
      <c r="L36" s="400">
        <f t="shared" si="27"/>
        <v>57.875</v>
      </c>
      <c r="M36" s="128"/>
      <c r="N36" s="401">
        <f t="shared" si="5"/>
        <v>2.7749999999999986</v>
      </c>
      <c r="O36" s="402">
        <f t="shared" si="6"/>
        <v>5.0362976406533547E-2</v>
      </c>
      <c r="P36" s="52"/>
      <c r="Q36" s="418">
        <f>IFERROR(VLOOKUP($C36,'Proposed Rates'!$B:$J,Q$11,FALSE),0)</f>
        <v>2.375E-2</v>
      </c>
      <c r="R36" s="415">
        <f t="shared" si="28"/>
        <v>2500</v>
      </c>
      <c r="S36" s="400">
        <f t="shared" si="29"/>
        <v>59.375</v>
      </c>
      <c r="T36" s="128"/>
      <c r="U36" s="401">
        <f t="shared" ref="U36:U37" si="38">S36-L36</f>
        <v>1.5</v>
      </c>
      <c r="V36" s="402">
        <f t="shared" ref="V36:V37" si="39">IF((L36)=0,"",(U36/L36))</f>
        <v>2.591792656587473E-2</v>
      </c>
      <c r="W36" s="52"/>
      <c r="X36" s="418">
        <f>IFERROR(VLOOKUP($C36,'Proposed Rates'!$B:$J,X$11,FALSE),0)</f>
        <v>2.4060000000000002E-2</v>
      </c>
      <c r="Y36" s="415">
        <f t="shared" si="30"/>
        <v>2500</v>
      </c>
      <c r="Z36" s="400">
        <f t="shared" si="31"/>
        <v>60.150000000000006</v>
      </c>
      <c r="AA36" s="128"/>
      <c r="AB36" s="401">
        <f t="shared" si="13"/>
        <v>0.77500000000000568</v>
      </c>
      <c r="AC36" s="402">
        <f t="shared" si="14"/>
        <v>1.3052631578947465E-2</v>
      </c>
      <c r="AD36" s="52"/>
      <c r="AE36" s="418">
        <f>IFERROR(VLOOKUP($C36,'Proposed Rates'!$B:$J,AE$11,FALSE),0)</f>
        <v>2.4459999999999999E-2</v>
      </c>
      <c r="AF36" s="415">
        <f t="shared" si="32"/>
        <v>2500</v>
      </c>
      <c r="AG36" s="400">
        <f t="shared" si="33"/>
        <v>61.15</v>
      </c>
      <c r="AH36" s="128"/>
      <c r="AI36" s="401">
        <f t="shared" si="17"/>
        <v>0.99999999999999289</v>
      </c>
      <c r="AJ36" s="402">
        <f t="shared" si="18"/>
        <v>1.6625103906899297E-2</v>
      </c>
      <c r="AK36" s="52"/>
      <c r="AL36" s="418">
        <f>IFERROR(VLOOKUP($C36,'Proposed Rates'!$B:$J,AL$11,FALSE),0)</f>
        <v>2.4879999999999999E-2</v>
      </c>
      <c r="AM36" s="415">
        <f t="shared" si="34"/>
        <v>2500</v>
      </c>
      <c r="AN36" s="400">
        <f t="shared" si="35"/>
        <v>62.199999999999996</v>
      </c>
      <c r="AO36" s="128"/>
      <c r="AP36" s="401">
        <f t="shared" si="21"/>
        <v>1.0499999999999972</v>
      </c>
      <c r="AQ36" s="402">
        <f t="shared" si="22"/>
        <v>1.717089125102203E-2</v>
      </c>
      <c r="AR36" s="403"/>
    </row>
    <row r="37" spans="1:44" ht="12.75" customHeight="1">
      <c r="A37" s="52"/>
      <c r="B37" s="320" t="s">
        <v>312</v>
      </c>
      <c r="C37" s="395" t="str">
        <f t="shared" si="23"/>
        <v>General Service 1,500 to 4,999 KW.Line Losses on Cost of Power</v>
      </c>
      <c r="D37" s="396" t="s">
        <v>308</v>
      </c>
      <c r="E37" s="320"/>
      <c r="F37" s="558"/>
      <c r="G37" s="507">
        <f>$F$9*(1+F65)-$F$9</f>
        <v>43179.5</v>
      </c>
      <c r="H37" s="400">
        <f t="shared" si="25"/>
        <v>0</v>
      </c>
      <c r="I37" s="128"/>
      <c r="J37" s="558"/>
      <c r="K37" s="507">
        <f>$F$9*(1+J65)-$F$9</f>
        <v>42412.999999999767</v>
      </c>
      <c r="L37" s="400">
        <f t="shared" si="27"/>
        <v>0</v>
      </c>
      <c r="M37" s="128"/>
      <c r="N37" s="401">
        <f t="shared" si="5"/>
        <v>0</v>
      </c>
      <c r="O37" s="402" t="str">
        <f t="shared" si="6"/>
        <v/>
      </c>
      <c r="P37" s="52"/>
      <c r="Q37" s="558"/>
      <c r="R37" s="507">
        <f>$F$9*(1+Q65)-$F$9</f>
        <v>42412.999999999767</v>
      </c>
      <c r="S37" s="400">
        <f t="shared" si="29"/>
        <v>0</v>
      </c>
      <c r="T37" s="128"/>
      <c r="U37" s="401">
        <f t="shared" si="38"/>
        <v>0</v>
      </c>
      <c r="V37" s="402" t="str">
        <f t="shared" si="39"/>
        <v/>
      </c>
      <c r="W37" s="52"/>
      <c r="X37" s="558"/>
      <c r="Y37" s="507">
        <f>$F$9*(1+X65)-$F$9</f>
        <v>42412.999999999767</v>
      </c>
      <c r="Z37" s="400">
        <f t="shared" si="31"/>
        <v>0</v>
      </c>
      <c r="AA37" s="128"/>
      <c r="AB37" s="401">
        <f t="shared" si="13"/>
        <v>0</v>
      </c>
      <c r="AC37" s="402" t="str">
        <f t="shared" si="14"/>
        <v/>
      </c>
      <c r="AD37" s="52"/>
      <c r="AE37" s="558"/>
      <c r="AF37" s="507">
        <f>$F$9*(1+AE65)-$F$9</f>
        <v>42412.999999999767</v>
      </c>
      <c r="AG37" s="400">
        <f t="shared" si="33"/>
        <v>0</v>
      </c>
      <c r="AH37" s="128"/>
      <c r="AI37" s="401">
        <f t="shared" si="17"/>
        <v>0</v>
      </c>
      <c r="AJ37" s="402" t="str">
        <f t="shared" si="18"/>
        <v/>
      </c>
      <c r="AK37" s="52"/>
      <c r="AL37" s="558"/>
      <c r="AM37" s="507">
        <f>$F$9*(1+AL65)-$F$9</f>
        <v>42412.999999999767</v>
      </c>
      <c r="AN37" s="400">
        <f t="shared" si="35"/>
        <v>0</v>
      </c>
      <c r="AO37" s="128"/>
      <c r="AP37" s="401">
        <f t="shared" si="21"/>
        <v>0</v>
      </c>
      <c r="AQ37" s="402" t="str">
        <f t="shared" si="22"/>
        <v/>
      </c>
      <c r="AR37" s="403"/>
    </row>
    <row r="38" spans="1:44" ht="12.75" customHeight="1">
      <c r="A38" s="52"/>
      <c r="B38" s="320" t="s">
        <v>271</v>
      </c>
      <c r="C38" s="395" t="str">
        <f t="shared" si="23"/>
        <v>General Service 1,500 to 4,999 KW.Smart Meter Entity Charge</v>
      </c>
      <c r="D38" s="396" t="s">
        <v>306</v>
      </c>
      <c r="E38" s="320"/>
      <c r="F38" s="418">
        <f>IFERROR(VLOOKUP($C38,'Proposed Rates'!$B:$J,F$11,FALSE),0)</f>
        <v>0</v>
      </c>
      <c r="G38" s="415">
        <f>IF($D38="Monthly",1,IF($D38="per KW",$F$10,IF($D38="per kWh",$F$9,0)))</f>
        <v>1</v>
      </c>
      <c r="H38" s="400">
        <f t="shared" si="25"/>
        <v>0</v>
      </c>
      <c r="I38" s="128"/>
      <c r="J38" s="418">
        <f>IFERROR(VLOOKUP($C38,'Proposed Rates'!$B:$J,J$11,FALSE),0)</f>
        <v>0</v>
      </c>
      <c r="K38" s="415">
        <f>IF($D38="Monthly",1,IF($D38="per KW",$F$10,IF($D38="per kWh",$F$9,0)))</f>
        <v>1</v>
      </c>
      <c r="L38" s="400">
        <f t="shared" si="27"/>
        <v>0</v>
      </c>
      <c r="M38" s="128"/>
      <c r="N38" s="401">
        <f t="shared" si="5"/>
        <v>0</v>
      </c>
      <c r="O38" s="402" t="str">
        <f t="shared" si="6"/>
        <v/>
      </c>
      <c r="P38" s="52"/>
      <c r="Q38" s="418">
        <f>IFERROR(VLOOKUP($C38,'Proposed Rates'!$B:$J,Q$11,FALSE),0)</f>
        <v>0</v>
      </c>
      <c r="R38" s="415">
        <f>IF($D38="Monthly",1,IF($D38="per KW",$F$10,IF($D38="per kWh",$F$9,0)))</f>
        <v>1</v>
      </c>
      <c r="S38" s="400">
        <f t="shared" si="29"/>
        <v>0</v>
      </c>
      <c r="T38" s="128"/>
      <c r="U38" s="401"/>
      <c r="V38" s="402"/>
      <c r="W38" s="52"/>
      <c r="X38" s="418">
        <f>IFERROR(VLOOKUP($C38,'Proposed Rates'!$B:$J,X$11,FALSE),0)</f>
        <v>0</v>
      </c>
      <c r="Y38" s="415">
        <f>IF($D38="Monthly",1,IF($D38="per KW",$F$10,IF($D38="per kWh",$F$9,0)))</f>
        <v>1</v>
      </c>
      <c r="Z38" s="400">
        <f t="shared" si="31"/>
        <v>0</v>
      </c>
      <c r="AA38" s="128"/>
      <c r="AB38" s="401">
        <f t="shared" si="13"/>
        <v>0</v>
      </c>
      <c r="AC38" s="402" t="str">
        <f t="shared" si="14"/>
        <v/>
      </c>
      <c r="AD38" s="52"/>
      <c r="AE38" s="418">
        <f>IFERROR(VLOOKUP($C38,'Proposed Rates'!$B:$J,AE$11,FALSE),0)</f>
        <v>0</v>
      </c>
      <c r="AF38" s="415">
        <f>IF($D38="Monthly",1,IF($D38="per KW",$F$10,IF($D38="per kWh",$F$9,0)))</f>
        <v>1</v>
      </c>
      <c r="AG38" s="400">
        <f t="shared" si="33"/>
        <v>0</v>
      </c>
      <c r="AH38" s="128"/>
      <c r="AI38" s="401">
        <f t="shared" si="17"/>
        <v>0</v>
      </c>
      <c r="AJ38" s="402" t="str">
        <f t="shared" si="18"/>
        <v/>
      </c>
      <c r="AK38" s="52"/>
      <c r="AL38" s="418">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559"/>
      <c r="D39" s="422"/>
      <c r="E39" s="422"/>
      <c r="F39" s="423"/>
      <c r="G39" s="501"/>
      <c r="H39" s="409">
        <f>SUM(H30:H38)+H29</f>
        <v>25257.85</v>
      </c>
      <c r="I39" s="425"/>
      <c r="J39" s="423"/>
      <c r="K39" s="501"/>
      <c r="L39" s="409">
        <f>SUM(L30:L38)+L29</f>
        <v>27873.625</v>
      </c>
      <c r="M39" s="425"/>
      <c r="N39" s="411">
        <f t="shared" si="5"/>
        <v>2615.7750000000015</v>
      </c>
      <c r="O39" s="412">
        <f t="shared" si="6"/>
        <v>0.10356285273687196</v>
      </c>
      <c r="P39" s="52"/>
      <c r="Q39" s="423"/>
      <c r="R39" s="501"/>
      <c r="S39" s="409">
        <f>SUM(S30:S38)+S29</f>
        <v>25308.875</v>
      </c>
      <c r="T39" s="425"/>
      <c r="U39" s="411">
        <f t="shared" ref="U39:U46" si="40">S39-L39</f>
        <v>-2564.75</v>
      </c>
      <c r="V39" s="412">
        <f t="shared" ref="V39:V46" si="41">IF((L39)=0,"",(U39/L39))</f>
        <v>-9.2013507392741348E-2</v>
      </c>
      <c r="W39" s="52"/>
      <c r="X39" s="423"/>
      <c r="Y39" s="501"/>
      <c r="Z39" s="409">
        <f>SUM(Z30:Z38)+Z29</f>
        <v>27679.15</v>
      </c>
      <c r="AA39" s="425"/>
      <c r="AB39" s="411">
        <f t="shared" si="13"/>
        <v>2370.2750000000015</v>
      </c>
      <c r="AC39" s="412">
        <f t="shared" si="14"/>
        <v>9.3653905991475384E-2</v>
      </c>
      <c r="AD39" s="52"/>
      <c r="AE39" s="423"/>
      <c r="AF39" s="501"/>
      <c r="AG39" s="409">
        <f>SUM(AG30:AG38)+AG29</f>
        <v>29532.9</v>
      </c>
      <c r="AH39" s="425"/>
      <c r="AI39" s="411">
        <f t="shared" si="17"/>
        <v>1853.75</v>
      </c>
      <c r="AJ39" s="412">
        <f t="shared" si="18"/>
        <v>6.6972793600959563E-2</v>
      </c>
      <c r="AK39" s="52"/>
      <c r="AL39" s="423"/>
      <c r="AM39" s="501"/>
      <c r="AN39" s="409">
        <f>SUM(AN30:AN38)+AN29</f>
        <v>31296.45</v>
      </c>
      <c r="AO39" s="425"/>
      <c r="AP39" s="411">
        <f t="shared" si="21"/>
        <v>1763.5499999999993</v>
      </c>
      <c r="AQ39" s="412">
        <f t="shared" si="22"/>
        <v>5.9714758794429237E-2</v>
      </c>
      <c r="AR39" s="413"/>
    </row>
    <row r="40" spans="1:44" ht="12.75" customHeight="1">
      <c r="A40" s="52"/>
      <c r="B40" s="128" t="s">
        <v>255</v>
      </c>
      <c r="C40" s="395" t="str">
        <f t="shared" ref="C40:C41" si="42">D$6&amp;"."&amp;B40</f>
        <v>General Service 1,500 to 4,999 KW.RTSR - Network</v>
      </c>
      <c r="D40" s="426" t="s">
        <v>377</v>
      </c>
      <c r="E40" s="128"/>
      <c r="F40" s="414">
        <f>IFERROR(VLOOKUP($C40,'Proposed Rates'!$B:$J,F$11,FALSE),0)</f>
        <v>5.0336999999999996</v>
      </c>
      <c r="G40" s="415">
        <f t="shared" ref="G40:G41" si="43">IF($D40="Monthly",1,IF($D40="per KW",$F$10,IF($D40="per kWh",$F$9,0)))</f>
        <v>2500</v>
      </c>
      <c r="H40" s="400">
        <f t="shared" ref="H40:H41" si="44">G40*F40</f>
        <v>12584.249999999998</v>
      </c>
      <c r="I40" s="128"/>
      <c r="J40" s="414">
        <f>IFERROR(VLOOKUP($C40,'Proposed Rates'!$B:$J,J$11,FALSE),0)</f>
        <v>4.5423999999999998</v>
      </c>
      <c r="K40" s="415">
        <f t="shared" ref="K40:K41" si="45">IF($D40="Monthly",1,IF($D40="per KW",$F$10,IF($D40="per kWh",$F$9,0)))</f>
        <v>2500</v>
      </c>
      <c r="L40" s="400">
        <f t="shared" ref="L40:L41" si="46">K40*J40</f>
        <v>11356</v>
      </c>
      <c r="M40" s="128"/>
      <c r="N40" s="401">
        <f t="shared" si="5"/>
        <v>-1228.2499999999982</v>
      </c>
      <c r="O40" s="402">
        <f t="shared" si="6"/>
        <v>-9.7602161431948539E-2</v>
      </c>
      <c r="P40" s="52"/>
      <c r="Q40" s="414">
        <f>IFERROR(VLOOKUP($C40,'Proposed Rates'!$B:$J,Q$11,FALSE),0)</f>
        <v>4.5423999999999998</v>
      </c>
      <c r="R40" s="415">
        <f t="shared" ref="R40:R41" si="47">IF($D40="Monthly",1,IF($D40="per KW",$F$10,IF($D40="per kWh",$F$9,0)))</f>
        <v>2500</v>
      </c>
      <c r="S40" s="400">
        <f t="shared" ref="S40:S41" si="48">R40*Q40</f>
        <v>11356</v>
      </c>
      <c r="T40" s="128"/>
      <c r="U40" s="401">
        <f t="shared" si="40"/>
        <v>0</v>
      </c>
      <c r="V40" s="402">
        <f t="shared" si="41"/>
        <v>0</v>
      </c>
      <c r="W40" s="52"/>
      <c r="X40" s="414">
        <f>IFERROR(VLOOKUP($C40,'Proposed Rates'!$B:$J,X$11,FALSE),0)</f>
        <v>4.5423999999999998</v>
      </c>
      <c r="Y40" s="415">
        <f t="shared" ref="Y40:Y41" si="49">IF($D40="Monthly",1,IF($D40="per KW",$F$10,IF($D40="per kWh",$F$9,0)))</f>
        <v>2500</v>
      </c>
      <c r="Z40" s="400">
        <f t="shared" ref="Z40:Z41" si="50">Y40*X40</f>
        <v>11356</v>
      </c>
      <c r="AA40" s="128"/>
      <c r="AB40" s="401">
        <f t="shared" si="13"/>
        <v>0</v>
      </c>
      <c r="AC40" s="402">
        <f t="shared" si="14"/>
        <v>0</v>
      </c>
      <c r="AD40" s="52"/>
      <c r="AE40" s="414">
        <f>IFERROR(VLOOKUP($C40,'Proposed Rates'!$B:$J,AE$11,FALSE),0)</f>
        <v>4.5423999999999998</v>
      </c>
      <c r="AF40" s="415">
        <f t="shared" ref="AF40:AF41" si="51">IF($D40="Monthly",1,IF($D40="per KW",$F$10,IF($D40="per kWh",$F$9,0)))</f>
        <v>2500</v>
      </c>
      <c r="AG40" s="400">
        <f t="shared" ref="AG40:AG41" si="52">AF40*AE40</f>
        <v>11356</v>
      </c>
      <c r="AH40" s="128"/>
      <c r="AI40" s="401">
        <f t="shared" si="17"/>
        <v>0</v>
      </c>
      <c r="AJ40" s="402">
        <f t="shared" si="18"/>
        <v>0</v>
      </c>
      <c r="AK40" s="52"/>
      <c r="AL40" s="414">
        <f>IFERROR(VLOOKUP($C40,'Proposed Rates'!$B:$J,AL$11,FALSE),0)</f>
        <v>4.5423999999999998</v>
      </c>
      <c r="AM40" s="415">
        <f t="shared" ref="AM40:AM41" si="53">IF($D40="Monthly",1,IF($D40="per KW",$F$10,IF($D40="per kWh",$F$9,0)))</f>
        <v>2500</v>
      </c>
      <c r="AN40" s="400">
        <f t="shared" ref="AN40:AN41" si="54">AM40*AL40</f>
        <v>11356</v>
      </c>
      <c r="AO40" s="128"/>
      <c r="AP40" s="401">
        <f t="shared" si="21"/>
        <v>0</v>
      </c>
      <c r="AQ40" s="402">
        <f t="shared" si="22"/>
        <v>0</v>
      </c>
      <c r="AR40" s="403"/>
    </row>
    <row r="41" spans="1:44" ht="12.75" customHeight="1">
      <c r="A41" s="52"/>
      <c r="B41" s="487" t="s">
        <v>256</v>
      </c>
      <c r="C41" s="395" t="str">
        <f t="shared" si="42"/>
        <v>General Service 1,500 to 4,999 KW.RTSR - Line and Transformation Connection</v>
      </c>
      <c r="D41" s="426" t="s">
        <v>377</v>
      </c>
      <c r="E41" s="128"/>
      <c r="F41" s="414">
        <f>IFERROR(VLOOKUP($C41,'Proposed Rates'!$B:$J,F$11,FALSE),0)</f>
        <v>3.0125999999999999</v>
      </c>
      <c r="G41" s="415">
        <f t="shared" si="43"/>
        <v>2500</v>
      </c>
      <c r="H41" s="400">
        <f t="shared" si="44"/>
        <v>7531.5</v>
      </c>
      <c r="I41" s="128"/>
      <c r="J41" s="414">
        <f>IFERROR(VLOOKUP($C41,'Proposed Rates'!$B:$J,J$11,FALSE),0)</f>
        <v>2.5712000000000002</v>
      </c>
      <c r="K41" s="415">
        <f t="shared" si="45"/>
        <v>2500</v>
      </c>
      <c r="L41" s="400">
        <f t="shared" si="46"/>
        <v>6428</v>
      </c>
      <c r="M41" s="128"/>
      <c r="N41" s="401">
        <f t="shared" si="5"/>
        <v>-1103.5</v>
      </c>
      <c r="O41" s="402">
        <f t="shared" si="6"/>
        <v>-0.14651795791011088</v>
      </c>
      <c r="P41" s="52"/>
      <c r="Q41" s="414">
        <f>IFERROR(VLOOKUP($C41,'Proposed Rates'!$B:$J,Q$11,FALSE),0)</f>
        <v>2.5712000000000002</v>
      </c>
      <c r="R41" s="415">
        <f t="shared" si="47"/>
        <v>2500</v>
      </c>
      <c r="S41" s="400">
        <f t="shared" si="48"/>
        <v>6428</v>
      </c>
      <c r="T41" s="128"/>
      <c r="U41" s="401">
        <f t="shared" si="40"/>
        <v>0</v>
      </c>
      <c r="V41" s="402">
        <f t="shared" si="41"/>
        <v>0</v>
      </c>
      <c r="W41" s="52"/>
      <c r="X41" s="414">
        <f>IFERROR(VLOOKUP($C41,'Proposed Rates'!$B:$J,X$11,FALSE),0)</f>
        <v>2.5712000000000002</v>
      </c>
      <c r="Y41" s="415">
        <f t="shared" si="49"/>
        <v>2500</v>
      </c>
      <c r="Z41" s="400">
        <f t="shared" si="50"/>
        <v>6428</v>
      </c>
      <c r="AA41" s="128"/>
      <c r="AB41" s="401">
        <f t="shared" si="13"/>
        <v>0</v>
      </c>
      <c r="AC41" s="402">
        <f t="shared" si="14"/>
        <v>0</v>
      </c>
      <c r="AD41" s="52"/>
      <c r="AE41" s="414">
        <f>IFERROR(VLOOKUP($C41,'Proposed Rates'!$B:$J,AE$11,FALSE),0)</f>
        <v>2.5712000000000002</v>
      </c>
      <c r="AF41" s="415">
        <f t="shared" si="51"/>
        <v>2500</v>
      </c>
      <c r="AG41" s="400">
        <f t="shared" si="52"/>
        <v>6428</v>
      </c>
      <c r="AH41" s="128"/>
      <c r="AI41" s="401">
        <f t="shared" si="17"/>
        <v>0</v>
      </c>
      <c r="AJ41" s="402">
        <f t="shared" si="18"/>
        <v>0</v>
      </c>
      <c r="AK41" s="52"/>
      <c r="AL41" s="414">
        <f>IFERROR(VLOOKUP($C41,'Proposed Rates'!$B:$J,AL$11,FALSE),0)</f>
        <v>2.5712000000000002</v>
      </c>
      <c r="AM41" s="415">
        <f t="shared" si="53"/>
        <v>2500</v>
      </c>
      <c r="AN41" s="400">
        <f t="shared" si="54"/>
        <v>6428</v>
      </c>
      <c r="AO41" s="128"/>
      <c r="AP41" s="401">
        <f t="shared" si="21"/>
        <v>0</v>
      </c>
      <c r="AQ41" s="402">
        <f t="shared" si="22"/>
        <v>0</v>
      </c>
      <c r="AR41" s="403"/>
    </row>
    <row r="42" spans="1:44" ht="12.75" customHeight="1">
      <c r="A42" s="52"/>
      <c r="B42" s="486" t="s">
        <v>314</v>
      </c>
      <c r="C42" s="560"/>
      <c r="D42" s="427"/>
      <c r="E42" s="427"/>
      <c r="F42" s="428"/>
      <c r="G42" s="501"/>
      <c r="H42" s="409">
        <f>SUM(H39:H41)</f>
        <v>45373.599999999999</v>
      </c>
      <c r="I42" s="410"/>
      <c r="J42" s="428"/>
      <c r="K42" s="501"/>
      <c r="L42" s="409">
        <f>SUM(L39:L41)</f>
        <v>45657.625</v>
      </c>
      <c r="M42" s="410"/>
      <c r="N42" s="411">
        <f t="shared" si="5"/>
        <v>284.02500000000146</v>
      </c>
      <c r="O42" s="412">
        <f t="shared" si="6"/>
        <v>6.259697268896483E-3</v>
      </c>
      <c r="P42" s="52"/>
      <c r="Q42" s="428"/>
      <c r="R42" s="501"/>
      <c r="S42" s="409">
        <f>SUM(S39:S41)</f>
        <v>43092.875</v>
      </c>
      <c r="T42" s="410"/>
      <c r="U42" s="411">
        <f t="shared" si="40"/>
        <v>-2564.75</v>
      </c>
      <c r="V42" s="412">
        <f t="shared" si="41"/>
        <v>-5.6173530708178536E-2</v>
      </c>
      <c r="W42" s="52"/>
      <c r="X42" s="428"/>
      <c r="Y42" s="501"/>
      <c r="Z42" s="409">
        <f>SUM(Z39:Z41)</f>
        <v>45463.15</v>
      </c>
      <c r="AA42" s="410"/>
      <c r="AB42" s="411">
        <f t="shared" si="13"/>
        <v>2370.2750000000015</v>
      </c>
      <c r="AC42" s="412">
        <f t="shared" si="14"/>
        <v>5.5003872449911999E-2</v>
      </c>
      <c r="AD42" s="52"/>
      <c r="AE42" s="428"/>
      <c r="AF42" s="501"/>
      <c r="AG42" s="409">
        <f>SUM(AG39:AG41)</f>
        <v>47316.9</v>
      </c>
      <c r="AH42" s="410"/>
      <c r="AI42" s="411">
        <f t="shared" si="17"/>
        <v>1853.75</v>
      </c>
      <c r="AJ42" s="412">
        <f t="shared" si="18"/>
        <v>4.0774781333893492E-2</v>
      </c>
      <c r="AK42" s="52"/>
      <c r="AL42" s="428"/>
      <c r="AM42" s="501"/>
      <c r="AN42" s="409">
        <f>SUM(AN39:AN41)</f>
        <v>49080.45</v>
      </c>
      <c r="AO42" s="410"/>
      <c r="AP42" s="411">
        <f t="shared" si="21"/>
        <v>1763.5499999999956</v>
      </c>
      <c r="AQ42" s="412">
        <f t="shared" si="22"/>
        <v>3.7271038466171615E-2</v>
      </c>
      <c r="AR42" s="413"/>
    </row>
    <row r="43" spans="1:44" ht="12.75" customHeight="1">
      <c r="A43" s="52"/>
      <c r="B43" s="488" t="s">
        <v>257</v>
      </c>
      <c r="C43" s="395" t="str">
        <f t="shared" ref="C43:C45" si="55">D$6&amp;"."&amp;B43</f>
        <v>General Service 1,500 to 4,999 KW.Wholesale Market Service Charge (WMSC)</v>
      </c>
      <c r="D43" s="396" t="s">
        <v>308</v>
      </c>
      <c r="E43" s="320"/>
      <c r="F43" s="414">
        <f>IFERROR(VLOOKUP($C43,'Proposed Rates'!$B:$J,F$11,FALSE),0)</f>
        <v>4.4999999999999997E-3</v>
      </c>
      <c r="G43" s="508">
        <f t="shared" ref="G43:G44" si="56">$F$9+G$37</f>
        <v>1320679.5</v>
      </c>
      <c r="H43" s="400">
        <f t="shared" ref="H43:H46" si="57">G43*F43</f>
        <v>5943.0577499999999</v>
      </c>
      <c r="I43" s="128"/>
      <c r="J43" s="414">
        <f>IFERROR(VLOOKUP($C43,'Proposed Rates'!$B:$J,J$11,FALSE),0)</f>
        <v>4.4999999999999997E-3</v>
      </c>
      <c r="K43" s="508">
        <f t="shared" ref="K43:K44" si="58">$F$9+K$37</f>
        <v>1319912.9999999998</v>
      </c>
      <c r="L43" s="400">
        <f t="shared" ref="L43:L46" si="59">K43*J43</f>
        <v>5939.6084999999985</v>
      </c>
      <c r="M43" s="128"/>
      <c r="N43" s="401">
        <f t="shared" si="5"/>
        <v>-3.4492500000014843</v>
      </c>
      <c r="O43" s="402">
        <f t="shared" si="6"/>
        <v>-5.8038305281510761E-4</v>
      </c>
      <c r="P43" s="52"/>
      <c r="Q43" s="414">
        <f>IFERROR(VLOOKUP($C43,'Proposed Rates'!$B:$J,Q$11,FALSE),0)</f>
        <v>4.4999999999999997E-3</v>
      </c>
      <c r="R43" s="508">
        <f t="shared" ref="R43:R44" si="60">$F$9+R$37</f>
        <v>1319912.9999999998</v>
      </c>
      <c r="S43" s="400">
        <f t="shared" ref="S43:S46" si="61">R43*Q43</f>
        <v>5939.6084999999985</v>
      </c>
      <c r="T43" s="128"/>
      <c r="U43" s="401">
        <f t="shared" si="40"/>
        <v>0</v>
      </c>
      <c r="V43" s="402">
        <f t="shared" si="41"/>
        <v>0</v>
      </c>
      <c r="W43" s="52"/>
      <c r="X43" s="414">
        <f>IFERROR(VLOOKUP($C43,'Proposed Rates'!$B:$J,X$11,FALSE),0)</f>
        <v>4.4999999999999997E-3</v>
      </c>
      <c r="Y43" s="508">
        <f t="shared" ref="Y43:Y44" si="62">$F$9+Y$37</f>
        <v>1319912.9999999998</v>
      </c>
      <c r="Z43" s="400">
        <f t="shared" ref="Z43:Z46" si="63">Y43*X43</f>
        <v>5939.6084999999985</v>
      </c>
      <c r="AA43" s="128"/>
      <c r="AB43" s="401">
        <f t="shared" si="13"/>
        <v>0</v>
      </c>
      <c r="AC43" s="402">
        <f t="shared" si="14"/>
        <v>0</v>
      </c>
      <c r="AD43" s="52"/>
      <c r="AE43" s="414">
        <f>IFERROR(VLOOKUP($C43,'Proposed Rates'!$B:$J,AE$11,FALSE),0)</f>
        <v>4.4999999999999997E-3</v>
      </c>
      <c r="AF43" s="508">
        <f t="shared" ref="AF43:AF44" si="64">$F$9+AF$37</f>
        <v>1319912.9999999998</v>
      </c>
      <c r="AG43" s="400">
        <f t="shared" ref="AG43:AG46" si="65">AF43*AE43</f>
        <v>5939.6084999999985</v>
      </c>
      <c r="AH43" s="128"/>
      <c r="AI43" s="401">
        <f t="shared" si="17"/>
        <v>0</v>
      </c>
      <c r="AJ43" s="402">
        <f t="shared" si="18"/>
        <v>0</v>
      </c>
      <c r="AK43" s="52"/>
      <c r="AL43" s="414">
        <f>IFERROR(VLOOKUP($C43,'Proposed Rates'!$B:$J,AL$11,FALSE),0)</f>
        <v>4.4999999999999997E-3</v>
      </c>
      <c r="AM43" s="508">
        <f t="shared" ref="AM43:AM44" si="66">$F$9+AM$37</f>
        <v>1319912.9999999998</v>
      </c>
      <c r="AN43" s="400">
        <f t="shared" ref="AN43:AN46" si="67">AM43*AL43</f>
        <v>5939.6084999999985</v>
      </c>
      <c r="AO43" s="128"/>
      <c r="AP43" s="401">
        <f t="shared" si="21"/>
        <v>0</v>
      </c>
      <c r="AQ43" s="402">
        <f t="shared" si="22"/>
        <v>0</v>
      </c>
      <c r="AR43" s="403"/>
    </row>
    <row r="44" spans="1:44" ht="12.75" customHeight="1">
      <c r="A44" s="52"/>
      <c r="B44" s="488" t="s">
        <v>258</v>
      </c>
      <c r="C44" s="395" t="str">
        <f t="shared" si="55"/>
        <v>General Service 1,500 to 4,999 KW.Rural and Remote Rate Protection (RRRP)</v>
      </c>
      <c r="D44" s="396" t="s">
        <v>308</v>
      </c>
      <c r="E44" s="320"/>
      <c r="F44" s="414">
        <f>IFERROR(VLOOKUP($C44,'Proposed Rates'!$B:$J,F$11,FALSE),0)</f>
        <v>1.5E-3</v>
      </c>
      <c r="G44" s="508">
        <f t="shared" si="56"/>
        <v>1320679.5</v>
      </c>
      <c r="H44" s="400">
        <f t="shared" si="57"/>
        <v>1981.0192500000001</v>
      </c>
      <c r="I44" s="128"/>
      <c r="J44" s="414">
        <f>IFERROR(VLOOKUP($C44,'Proposed Rates'!$B:$J,J$11,FALSE),0)</f>
        <v>1.5E-3</v>
      </c>
      <c r="K44" s="508">
        <f t="shared" si="58"/>
        <v>1319912.9999999998</v>
      </c>
      <c r="L44" s="400">
        <f t="shared" si="59"/>
        <v>1979.8694999999998</v>
      </c>
      <c r="M44" s="128"/>
      <c r="N44" s="401">
        <f t="shared" si="5"/>
        <v>-1.1497500000002674</v>
      </c>
      <c r="O44" s="402">
        <f t="shared" si="6"/>
        <v>-5.8038305281499279E-4</v>
      </c>
      <c r="P44" s="52"/>
      <c r="Q44" s="414">
        <f>IFERROR(VLOOKUP($C44,'Proposed Rates'!$B:$J,Q$11,FALSE),0)</f>
        <v>1.5E-3</v>
      </c>
      <c r="R44" s="508">
        <f t="shared" si="60"/>
        <v>1319912.9999999998</v>
      </c>
      <c r="S44" s="400">
        <f t="shared" si="61"/>
        <v>1979.8694999999998</v>
      </c>
      <c r="T44" s="128"/>
      <c r="U44" s="401">
        <f t="shared" si="40"/>
        <v>0</v>
      </c>
      <c r="V44" s="402">
        <f t="shared" si="41"/>
        <v>0</v>
      </c>
      <c r="W44" s="52"/>
      <c r="X44" s="414">
        <f>IFERROR(VLOOKUP($C44,'Proposed Rates'!$B:$J,X$11,FALSE),0)</f>
        <v>1.5E-3</v>
      </c>
      <c r="Y44" s="508">
        <f t="shared" si="62"/>
        <v>1319912.9999999998</v>
      </c>
      <c r="Z44" s="400">
        <f t="shared" si="63"/>
        <v>1979.8694999999998</v>
      </c>
      <c r="AA44" s="128"/>
      <c r="AB44" s="401">
        <f t="shared" si="13"/>
        <v>0</v>
      </c>
      <c r="AC44" s="402">
        <f t="shared" si="14"/>
        <v>0</v>
      </c>
      <c r="AD44" s="52"/>
      <c r="AE44" s="414">
        <f>IFERROR(VLOOKUP($C44,'Proposed Rates'!$B:$J,AE$11,FALSE),0)</f>
        <v>1.5E-3</v>
      </c>
      <c r="AF44" s="508">
        <f t="shared" si="64"/>
        <v>1319912.9999999998</v>
      </c>
      <c r="AG44" s="400">
        <f t="shared" si="65"/>
        <v>1979.8694999999998</v>
      </c>
      <c r="AH44" s="128"/>
      <c r="AI44" s="401">
        <f t="shared" si="17"/>
        <v>0</v>
      </c>
      <c r="AJ44" s="402">
        <f t="shared" si="18"/>
        <v>0</v>
      </c>
      <c r="AK44" s="52"/>
      <c r="AL44" s="414">
        <f>IFERROR(VLOOKUP($C44,'Proposed Rates'!$B:$J,AL$11,FALSE),0)</f>
        <v>1.5E-3</v>
      </c>
      <c r="AM44" s="508">
        <f t="shared" si="66"/>
        <v>1319912.9999999998</v>
      </c>
      <c r="AN44" s="400">
        <f t="shared" si="67"/>
        <v>1979.8694999999998</v>
      </c>
      <c r="AO44" s="128"/>
      <c r="AP44" s="401">
        <f t="shared" si="21"/>
        <v>0</v>
      </c>
      <c r="AQ44" s="402">
        <f t="shared" si="22"/>
        <v>0</v>
      </c>
      <c r="AR44" s="403"/>
    </row>
    <row r="45" spans="1:44" ht="12.75" customHeight="1">
      <c r="A45" s="52"/>
      <c r="B45" s="320" t="s">
        <v>260</v>
      </c>
      <c r="C45" s="395" t="str">
        <f t="shared" si="55"/>
        <v>General Service 1,500 to 4,999 KW.Standard Supply Service Charge</v>
      </c>
      <c r="D45" s="396" t="s">
        <v>306</v>
      </c>
      <c r="E45" s="320"/>
      <c r="F45" s="414">
        <f>IFERROR(VLOOKUP($C45,'Proposed Rates'!$B:$J,F$11,FALSE),0)</f>
        <v>0.25</v>
      </c>
      <c r="G45" s="415">
        <f>IF($D45="Monthly",1,IF($D45="per KW",$F$10,IF($D45="per kWh",$F$9,0)))</f>
        <v>1</v>
      </c>
      <c r="H45" s="400">
        <f t="shared" si="57"/>
        <v>0.25</v>
      </c>
      <c r="I45" s="128"/>
      <c r="J45" s="414">
        <f>IFERROR(VLOOKUP($C45,'Proposed Rates'!$B:$J,J$11,FALSE),0)</f>
        <v>1.51</v>
      </c>
      <c r="K45" s="415">
        <f>IF($D45="Monthly",1,IF($D45="per KW",$F$10,IF($D45="per kWh",$F$9,0)))</f>
        <v>1</v>
      </c>
      <c r="L45" s="400">
        <f t="shared" si="59"/>
        <v>1.51</v>
      </c>
      <c r="M45" s="128"/>
      <c r="N45" s="401">
        <f t="shared" si="5"/>
        <v>1.26</v>
      </c>
      <c r="O45" s="402">
        <f t="shared" si="6"/>
        <v>5.04</v>
      </c>
      <c r="P45" s="52"/>
      <c r="Q45" s="414">
        <f>IFERROR(VLOOKUP($C45,'Proposed Rates'!$B:$J,Q$11,FALSE),0)</f>
        <v>1.54</v>
      </c>
      <c r="R45" s="415">
        <f>IF($D45="Monthly",1,IF($D45="per KW",$F$10,IF($D45="per kWh",$F$9,0)))</f>
        <v>1</v>
      </c>
      <c r="S45" s="400">
        <f t="shared" si="61"/>
        <v>1.54</v>
      </c>
      <c r="T45" s="128"/>
      <c r="U45" s="401">
        <f t="shared" si="40"/>
        <v>3.0000000000000027E-2</v>
      </c>
      <c r="V45" s="402">
        <f t="shared" si="41"/>
        <v>1.986754966887419E-2</v>
      </c>
      <c r="W45" s="52"/>
      <c r="X45" s="414">
        <f>IFERROR(VLOOKUP($C45,'Proposed Rates'!$B:$J,X$11,FALSE),0)</f>
        <v>1.57</v>
      </c>
      <c r="Y45" s="415">
        <f>IF($D45="Monthly",1,IF($D45="per KW",$F$10,IF($D45="per kWh",$F$9,0)))</f>
        <v>1</v>
      </c>
      <c r="Z45" s="400">
        <f t="shared" si="63"/>
        <v>1.57</v>
      </c>
      <c r="AA45" s="128"/>
      <c r="AB45" s="401">
        <f t="shared" si="13"/>
        <v>3.0000000000000027E-2</v>
      </c>
      <c r="AC45" s="402">
        <f t="shared" si="14"/>
        <v>1.9480519480519497E-2</v>
      </c>
      <c r="AD45" s="52"/>
      <c r="AE45" s="414">
        <f>IFERROR(VLOOKUP($C45,'Proposed Rates'!$B:$J,AE$11,FALSE),0)</f>
        <v>1.6</v>
      </c>
      <c r="AF45" s="415">
        <f>IF($D45="Monthly",1,IF($D45="per KW",$F$10,IF($D45="per kWh",$F$9,0)))</f>
        <v>1</v>
      </c>
      <c r="AG45" s="400">
        <f t="shared" si="65"/>
        <v>1.6</v>
      </c>
      <c r="AH45" s="128"/>
      <c r="AI45" s="401">
        <f t="shared" si="17"/>
        <v>3.0000000000000027E-2</v>
      </c>
      <c r="AJ45" s="402">
        <f t="shared" si="18"/>
        <v>1.9108280254777087E-2</v>
      </c>
      <c r="AK45" s="52"/>
      <c r="AL45" s="414">
        <f>IFERROR(VLOOKUP($C45,'Proposed Rates'!$B:$J,AL$11,FALSE),0)</f>
        <v>1.63</v>
      </c>
      <c r="AM45" s="415">
        <f>IF($D45="Monthly",1,IF($D45="per KW",$F$10,IF($D45="per kWh",$F$9,0)))</f>
        <v>1</v>
      </c>
      <c r="AN45" s="400">
        <f t="shared" si="67"/>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508">
        <f>$F$9+G$37</f>
        <v>1320679.5</v>
      </c>
      <c r="H46" s="400">
        <f t="shared" si="57"/>
        <v>138011.00774999999</v>
      </c>
      <c r="I46" s="128"/>
      <c r="J46" s="414">
        <f>IFERROR(VLOOKUP($C46,'Proposed Rates'!$B:$J,J$11,FALSE),0)</f>
        <v>0.1045</v>
      </c>
      <c r="K46" s="508">
        <f>$F$9+K$37</f>
        <v>1319912.9999999998</v>
      </c>
      <c r="L46" s="400">
        <f t="shared" si="59"/>
        <v>137930.90849999996</v>
      </c>
      <c r="M46" s="128"/>
      <c r="N46" s="401">
        <f t="shared" si="5"/>
        <v>-80.099250000028405</v>
      </c>
      <c r="O46" s="402">
        <f t="shared" si="6"/>
        <v>-5.803830528150637E-4</v>
      </c>
      <c r="P46" s="52"/>
      <c r="Q46" s="414">
        <f>IFERROR(VLOOKUP($C46,'Proposed Rates'!$B:$J,Q$11,FALSE),0)</f>
        <v>0.1045</v>
      </c>
      <c r="R46" s="508">
        <f>$F$9+R$37</f>
        <v>1319912.9999999998</v>
      </c>
      <c r="S46" s="400">
        <f t="shared" si="61"/>
        <v>137930.90849999996</v>
      </c>
      <c r="T46" s="128"/>
      <c r="U46" s="401">
        <f t="shared" si="40"/>
        <v>0</v>
      </c>
      <c r="V46" s="402">
        <f t="shared" si="41"/>
        <v>0</v>
      </c>
      <c r="W46" s="52"/>
      <c r="X46" s="414">
        <f>IFERROR(VLOOKUP($C46,'Proposed Rates'!$B:$J,X$11,FALSE),0)</f>
        <v>0.1045</v>
      </c>
      <c r="Y46" s="508">
        <f>$F$9+Y$37</f>
        <v>1319912.9999999998</v>
      </c>
      <c r="Z46" s="400">
        <f t="shared" si="63"/>
        <v>137930.90849999996</v>
      </c>
      <c r="AA46" s="128"/>
      <c r="AB46" s="401">
        <f t="shared" si="13"/>
        <v>0</v>
      </c>
      <c r="AC46" s="402">
        <f t="shared" si="14"/>
        <v>0</v>
      </c>
      <c r="AD46" s="52"/>
      <c r="AE46" s="414">
        <f>IFERROR(VLOOKUP($C46,'Proposed Rates'!$B:$J,AE$11,FALSE),0)</f>
        <v>0.1045</v>
      </c>
      <c r="AF46" s="508">
        <f>$F$9+AF$37</f>
        <v>1319912.9999999998</v>
      </c>
      <c r="AG46" s="400">
        <f t="shared" si="65"/>
        <v>137930.90849999996</v>
      </c>
      <c r="AH46" s="128"/>
      <c r="AI46" s="401">
        <f t="shared" si="17"/>
        <v>0</v>
      </c>
      <c r="AJ46" s="402">
        <f t="shared" si="18"/>
        <v>0</v>
      </c>
      <c r="AK46" s="52"/>
      <c r="AL46" s="414">
        <f>IFERROR(VLOOKUP($C46,'Proposed Rates'!$B:$J,AL$11,FALSE),0)</f>
        <v>0.1045</v>
      </c>
      <c r="AM46" s="508">
        <f>$F$9+AM$37</f>
        <v>1319912.9999999998</v>
      </c>
      <c r="AN46" s="400">
        <f t="shared" si="67"/>
        <v>137930.90849999996</v>
      </c>
      <c r="AO46" s="128"/>
      <c r="AP46" s="401">
        <f t="shared" si="21"/>
        <v>0</v>
      </c>
      <c r="AQ46" s="402">
        <f t="shared" si="22"/>
        <v>0</v>
      </c>
      <c r="AR46" s="403"/>
    </row>
    <row r="47" spans="1:44" ht="7.5" customHeight="1">
      <c r="A47" s="52"/>
      <c r="B47" s="320"/>
      <c r="C47" s="395" t="str">
        <f t="shared" ref="C47:C50" si="68">D$6&amp;"."&amp;B47</f>
        <v>General Service 1,500 to 4,999 KW.</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68"/>
        <v>General Service 1,500 to 4,999 KW.</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68"/>
        <v>General Service 1,500 to 4,999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68"/>
        <v>General Service 1,500 to 4,999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562"/>
      <c r="D52" s="320"/>
      <c r="E52" s="320"/>
      <c r="F52" s="445"/>
      <c r="G52" s="489"/>
      <c r="H52" s="447">
        <f>SUM(H43:H48,H42)</f>
        <v>191308.93474999999</v>
      </c>
      <c r="I52" s="482"/>
      <c r="J52" s="446"/>
      <c r="K52" s="446"/>
      <c r="L52" s="447">
        <f>SUM(L43:L48,L42)</f>
        <v>191509.52149999997</v>
      </c>
      <c r="M52" s="449"/>
      <c r="N52" s="448">
        <f t="shared" ref="N52:N56" si="69">L52-H52</f>
        <v>200.58674999998766</v>
      </c>
      <c r="O52" s="450">
        <f t="shared" ref="O52:O56" si="70">IF((H52)=0,"",(N52/H52))</f>
        <v>1.0484965078192078E-3</v>
      </c>
      <c r="P52" s="52"/>
      <c r="Q52" s="446"/>
      <c r="R52" s="446"/>
      <c r="S52" s="447">
        <f>SUM(S43:S48,S42)</f>
        <v>188944.80149999997</v>
      </c>
      <c r="T52" s="449"/>
      <c r="U52" s="448">
        <f t="shared" ref="U52:U56" si="71">S52-L52</f>
        <v>-2564.7200000000012</v>
      </c>
      <c r="V52" s="450">
        <f t="shared" ref="V52:V56" si="72">IF((L52)=0,"",(U52/L52))</f>
        <v>-1.3392127868691905E-2</v>
      </c>
      <c r="W52" s="52"/>
      <c r="X52" s="446"/>
      <c r="Y52" s="446"/>
      <c r="Z52" s="447">
        <f>SUM(Z43:Z48,Z42)</f>
        <v>191315.10649999997</v>
      </c>
      <c r="AA52" s="449"/>
      <c r="AB52" s="448">
        <f t="shared" ref="AB52:AB56" si="73">Z52-S52</f>
        <v>2370.304999999993</v>
      </c>
      <c r="AC52" s="450">
        <f t="shared" ref="AC52:AC56" si="74">IF((S52)=0,"",(AB52/S52))</f>
        <v>1.2544960121593996E-2</v>
      </c>
      <c r="AD52" s="52"/>
      <c r="AE52" s="446"/>
      <c r="AF52" s="446"/>
      <c r="AG52" s="447">
        <f>SUM(AG43:AG48,AG42)</f>
        <v>193168.88649999996</v>
      </c>
      <c r="AH52" s="449"/>
      <c r="AI52" s="448">
        <f t="shared" ref="AI52:AI56" si="75">AG52-Z52</f>
        <v>1853.7799999999988</v>
      </c>
      <c r="AJ52" s="450">
        <f t="shared" ref="AJ52:AJ56" si="76">IF((Z52)=0,"",(AI52/Z52))</f>
        <v>9.6896687037100193E-3</v>
      </c>
      <c r="AK52" s="52"/>
      <c r="AL52" s="446"/>
      <c r="AM52" s="446"/>
      <c r="AN52" s="447">
        <f>SUM(AN43:AN48,AN42)</f>
        <v>194932.46649999998</v>
      </c>
      <c r="AO52" s="449"/>
      <c r="AP52" s="448">
        <f t="shared" ref="AP52:AP56" si="77">AN52-AG52</f>
        <v>1763.5800000000163</v>
      </c>
      <c r="AQ52" s="450">
        <f t="shared" ref="AQ52:AQ56" si="78">IF((AG52)=0,"",(AP52/AG52))</f>
        <v>9.1297311484995099E-3</v>
      </c>
      <c r="AR52" s="451"/>
    </row>
    <row r="53" spans="1:44" ht="12.75" customHeight="1">
      <c r="A53" s="52"/>
      <c r="B53" s="452" t="s">
        <v>316</v>
      </c>
      <c r="C53" s="562"/>
      <c r="D53" s="320"/>
      <c r="E53" s="320"/>
      <c r="F53" s="445">
        <v>0.13</v>
      </c>
      <c r="G53" s="128"/>
      <c r="H53" s="490">
        <f>H52*F53</f>
        <v>24870.161517500001</v>
      </c>
      <c r="I53" s="417"/>
      <c r="J53" s="453">
        <v>0.13</v>
      </c>
      <c r="K53" s="417"/>
      <c r="L53" s="400">
        <f>L52*J53</f>
        <v>24896.237794999997</v>
      </c>
      <c r="M53" s="128"/>
      <c r="N53" s="401">
        <f t="shared" si="69"/>
        <v>26.07627749999665</v>
      </c>
      <c r="O53" s="402">
        <f t="shared" si="70"/>
        <v>1.0484965078191373E-3</v>
      </c>
      <c r="P53" s="52"/>
      <c r="Q53" s="453">
        <v>0.13</v>
      </c>
      <c r="R53" s="417"/>
      <c r="S53" s="400">
        <f>S52*Q53</f>
        <v>24562.824194999997</v>
      </c>
      <c r="T53" s="128"/>
      <c r="U53" s="401">
        <f t="shared" si="71"/>
        <v>-333.41359999999986</v>
      </c>
      <c r="V53" s="402">
        <f t="shared" si="72"/>
        <v>-1.3392127868691893E-2</v>
      </c>
      <c r="W53" s="52"/>
      <c r="X53" s="453">
        <v>0.13</v>
      </c>
      <c r="Y53" s="417"/>
      <c r="Z53" s="400">
        <f>Z52*X53</f>
        <v>24870.963844999995</v>
      </c>
      <c r="AA53" s="128"/>
      <c r="AB53" s="401">
        <f t="shared" si="73"/>
        <v>308.13964999999735</v>
      </c>
      <c r="AC53" s="402">
        <f t="shared" si="74"/>
        <v>1.2544960121593923E-2</v>
      </c>
      <c r="AD53" s="52"/>
      <c r="AE53" s="453">
        <v>0.13</v>
      </c>
      <c r="AF53" s="417"/>
      <c r="AG53" s="400">
        <f>AG52*AE53</f>
        <v>25111.955244999997</v>
      </c>
      <c r="AH53" s="128"/>
      <c r="AI53" s="401">
        <f t="shared" si="75"/>
        <v>240.99140000000261</v>
      </c>
      <c r="AJ53" s="402">
        <f t="shared" si="76"/>
        <v>9.6896687037101303E-3</v>
      </c>
      <c r="AK53" s="52"/>
      <c r="AL53" s="453">
        <v>0.13</v>
      </c>
      <c r="AM53" s="417"/>
      <c r="AN53" s="400">
        <f>AN52*AL53</f>
        <v>25341.220644999998</v>
      </c>
      <c r="AO53" s="128"/>
      <c r="AP53" s="401">
        <f t="shared" si="77"/>
        <v>229.26540000000023</v>
      </c>
      <c r="AQ53" s="402">
        <f t="shared" si="78"/>
        <v>9.1297311484994353E-3</v>
      </c>
      <c r="AR53" s="403"/>
    </row>
    <row r="54" spans="1:44" ht="12.75" customHeight="1">
      <c r="A54" s="52"/>
      <c r="B54" s="491" t="s">
        <v>399</v>
      </c>
      <c r="C54" s="562"/>
      <c r="D54" s="320"/>
      <c r="E54" s="320"/>
      <c r="F54" s="455"/>
      <c r="G54" s="128"/>
      <c r="H54" s="490">
        <f>H52+H53</f>
        <v>216179.09626749999</v>
      </c>
      <c r="I54" s="417"/>
      <c r="J54" s="417"/>
      <c r="K54" s="417"/>
      <c r="L54" s="400">
        <f>L52+L53</f>
        <v>216405.75929499997</v>
      </c>
      <c r="M54" s="128"/>
      <c r="N54" s="401">
        <f t="shared" si="69"/>
        <v>226.66302749997703</v>
      </c>
      <c r="O54" s="402">
        <f t="shared" si="70"/>
        <v>1.0484965078191659E-3</v>
      </c>
      <c r="P54" s="52"/>
      <c r="Q54" s="417"/>
      <c r="R54" s="417"/>
      <c r="S54" s="400">
        <f>S52+S53</f>
        <v>213507.62569499997</v>
      </c>
      <c r="T54" s="128"/>
      <c r="U54" s="401">
        <f t="shared" si="71"/>
        <v>-2898.133600000001</v>
      </c>
      <c r="V54" s="402">
        <f t="shared" si="72"/>
        <v>-1.3392127868691903E-2</v>
      </c>
      <c r="W54" s="52"/>
      <c r="X54" s="417"/>
      <c r="Y54" s="417"/>
      <c r="Z54" s="400">
        <f>Z52+Z53</f>
        <v>216186.07034499996</v>
      </c>
      <c r="AA54" s="128"/>
      <c r="AB54" s="401">
        <f t="shared" si="73"/>
        <v>2678.4446499999904</v>
      </c>
      <c r="AC54" s="402">
        <f t="shared" si="74"/>
        <v>1.2544960121593987E-2</v>
      </c>
      <c r="AD54" s="52"/>
      <c r="AE54" s="417"/>
      <c r="AF54" s="417"/>
      <c r="AG54" s="400">
        <f>AG52+AG53</f>
        <v>218280.84174499995</v>
      </c>
      <c r="AH54" s="128"/>
      <c r="AI54" s="401">
        <f t="shared" si="75"/>
        <v>2094.7713999999978</v>
      </c>
      <c r="AJ54" s="402">
        <f t="shared" si="76"/>
        <v>9.6896687037100141E-3</v>
      </c>
      <c r="AK54" s="52"/>
      <c r="AL54" s="417"/>
      <c r="AM54" s="417"/>
      <c r="AN54" s="400">
        <f>AN52+AN53</f>
        <v>220273.68714499997</v>
      </c>
      <c r="AO54" s="128"/>
      <c r="AP54" s="401">
        <f t="shared" si="77"/>
        <v>1992.8454000000202</v>
      </c>
      <c r="AQ54" s="402">
        <f t="shared" si="78"/>
        <v>9.1297311484995185E-3</v>
      </c>
      <c r="AR54" s="403"/>
    </row>
    <row r="55" spans="1:44" ht="15.75" customHeight="1">
      <c r="A55" s="52"/>
      <c r="B55" s="628" t="s">
        <v>273</v>
      </c>
      <c r="C55" s="615"/>
      <c r="D55" s="615"/>
      <c r="E55" s="320"/>
      <c r="F55" s="455"/>
      <c r="G55" s="128"/>
      <c r="H55" s="492">
        <f>F55*H52</f>
        <v>0</v>
      </c>
      <c r="I55" s="417"/>
      <c r="J55" s="417"/>
      <c r="K55" s="417"/>
      <c r="L55" s="512">
        <f>J55*L52</f>
        <v>0</v>
      </c>
      <c r="M55" s="128"/>
      <c r="N55" s="457">
        <f t="shared" si="69"/>
        <v>0</v>
      </c>
      <c r="O55" s="459" t="str">
        <f t="shared" si="70"/>
        <v/>
      </c>
      <c r="P55" s="52"/>
      <c r="Q55" s="417"/>
      <c r="R55" s="417"/>
      <c r="S55" s="512">
        <f>Q55*S52</f>
        <v>0</v>
      </c>
      <c r="T55" s="128"/>
      <c r="U55" s="457">
        <f t="shared" si="71"/>
        <v>0</v>
      </c>
      <c r="V55" s="459" t="str">
        <f t="shared" si="72"/>
        <v/>
      </c>
      <c r="W55" s="52"/>
      <c r="X55" s="417"/>
      <c r="Y55" s="417"/>
      <c r="Z55" s="512">
        <f>X55*Z52</f>
        <v>0</v>
      </c>
      <c r="AA55" s="128"/>
      <c r="AB55" s="457">
        <f t="shared" si="73"/>
        <v>0</v>
      </c>
      <c r="AC55" s="459" t="str">
        <f t="shared" si="74"/>
        <v/>
      </c>
      <c r="AD55" s="52"/>
      <c r="AE55" s="417"/>
      <c r="AF55" s="417"/>
      <c r="AG55" s="512">
        <f>AE55*AG52</f>
        <v>0</v>
      </c>
      <c r="AH55" s="128"/>
      <c r="AI55" s="457">
        <f t="shared" si="75"/>
        <v>0</v>
      </c>
      <c r="AJ55" s="459" t="str">
        <f t="shared" si="76"/>
        <v/>
      </c>
      <c r="AK55" s="52"/>
      <c r="AL55" s="417"/>
      <c r="AM55" s="417"/>
      <c r="AN55" s="512">
        <f>AL55*AN52</f>
        <v>0</v>
      </c>
      <c r="AO55" s="128"/>
      <c r="AP55" s="457">
        <f t="shared" si="77"/>
        <v>0</v>
      </c>
      <c r="AQ55" s="459" t="str">
        <f t="shared" si="78"/>
        <v/>
      </c>
      <c r="AR55" s="460"/>
    </row>
    <row r="56" spans="1:44" ht="13.5" customHeight="1">
      <c r="A56" s="52"/>
      <c r="B56" s="627" t="s">
        <v>318</v>
      </c>
      <c r="C56" s="613"/>
      <c r="D56" s="613"/>
      <c r="E56" s="461"/>
      <c r="F56" s="462"/>
      <c r="G56" s="493"/>
      <c r="H56" s="494">
        <f>H54-H55</f>
        <v>216179.09626749999</v>
      </c>
      <c r="I56" s="463"/>
      <c r="J56" s="463"/>
      <c r="K56" s="463"/>
      <c r="L56" s="464">
        <f>L54-L55</f>
        <v>216405.75929499997</v>
      </c>
      <c r="M56" s="465"/>
      <c r="N56" s="466">
        <f t="shared" si="69"/>
        <v>226.66302749997703</v>
      </c>
      <c r="O56" s="467">
        <f t="shared" si="70"/>
        <v>1.0484965078191659E-3</v>
      </c>
      <c r="P56" s="52"/>
      <c r="Q56" s="463"/>
      <c r="R56" s="463"/>
      <c r="S56" s="464">
        <f>S54-S55</f>
        <v>213507.62569499997</v>
      </c>
      <c r="T56" s="465"/>
      <c r="U56" s="466">
        <f t="shared" si="71"/>
        <v>-2898.133600000001</v>
      </c>
      <c r="V56" s="467">
        <f t="shared" si="72"/>
        <v>-1.3392127868691903E-2</v>
      </c>
      <c r="W56" s="52"/>
      <c r="X56" s="463"/>
      <c r="Y56" s="463"/>
      <c r="Z56" s="464">
        <f>Z54-Z55</f>
        <v>216186.07034499996</v>
      </c>
      <c r="AA56" s="465"/>
      <c r="AB56" s="466">
        <f t="shared" si="73"/>
        <v>2678.4446499999904</v>
      </c>
      <c r="AC56" s="467">
        <f t="shared" si="74"/>
        <v>1.2544960121593987E-2</v>
      </c>
      <c r="AD56" s="52"/>
      <c r="AE56" s="463"/>
      <c r="AF56" s="463"/>
      <c r="AG56" s="464">
        <f>AG54-AG55</f>
        <v>218280.84174499995</v>
      </c>
      <c r="AH56" s="465"/>
      <c r="AI56" s="466">
        <f t="shared" si="75"/>
        <v>2094.7713999999978</v>
      </c>
      <c r="AJ56" s="467">
        <f t="shared" si="76"/>
        <v>9.6896687037100141E-3</v>
      </c>
      <c r="AK56" s="52"/>
      <c r="AL56" s="463"/>
      <c r="AM56" s="463"/>
      <c r="AN56" s="464">
        <f>AN54-AN55</f>
        <v>220273.68714499997</v>
      </c>
      <c r="AO56" s="465"/>
      <c r="AP56" s="466">
        <f t="shared" si="77"/>
        <v>1992.8454000000202</v>
      </c>
      <c r="AQ56" s="467">
        <f t="shared" si="78"/>
        <v>9.1297311484995185E-3</v>
      </c>
      <c r="AR56" s="468"/>
    </row>
    <row r="57" spans="1:44"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63"/>
      <c r="D58" s="515"/>
      <c r="E58" s="515"/>
      <c r="F58" s="516"/>
      <c r="G58" s="517"/>
      <c r="H58" s="518">
        <f>SUM(H49:H50,H42,H43:H45)</f>
        <v>53297.926999999996</v>
      </c>
      <c r="I58" s="519"/>
      <c r="J58" s="520"/>
      <c r="K58" s="520"/>
      <c r="L58" s="518">
        <f>SUM(L49:L50,L42,L43:L45)</f>
        <v>53578.613000000005</v>
      </c>
      <c r="M58" s="521"/>
      <c r="N58" s="522">
        <f t="shared" ref="N58:N62" si="79">L58-H58</f>
        <v>280.68600000000879</v>
      </c>
      <c r="O58" s="523">
        <f t="shared" ref="O58:O62" si="80">IF((H58)=0,"",(N58/H58))</f>
        <v>5.2663586709480988E-3</v>
      </c>
      <c r="P58" s="513"/>
      <c r="Q58" s="520"/>
      <c r="R58" s="520"/>
      <c r="S58" s="518">
        <f>SUM(S49:S50,S42,S43:S45)</f>
        <v>51013.893000000004</v>
      </c>
      <c r="T58" s="521"/>
      <c r="U58" s="522">
        <f t="shared" ref="U58:U62" si="81">S58-L58</f>
        <v>-2564.7200000000012</v>
      </c>
      <c r="V58" s="523">
        <f t="shared" ref="V58:V62" si="82">IF((L58)=0,"",(U58/L58))</f>
        <v>-4.786835374032547E-2</v>
      </c>
      <c r="W58" s="513"/>
      <c r="X58" s="520"/>
      <c r="Y58" s="520"/>
      <c r="Z58" s="518">
        <f>SUM(Z49:Z50,Z42,Z43:Z45)</f>
        <v>53384.197999999997</v>
      </c>
      <c r="AA58" s="521"/>
      <c r="AB58" s="522">
        <f t="shared" ref="AB58:AB62" si="83">Z58-S58</f>
        <v>2370.304999999993</v>
      </c>
      <c r="AC58" s="523">
        <f t="shared" ref="AC58:AC62" si="84">IF((S58)=0,"",(AB58/S58))</f>
        <v>4.6463911311375374E-2</v>
      </c>
      <c r="AD58" s="513"/>
      <c r="AE58" s="520"/>
      <c r="AF58" s="520"/>
      <c r="AG58" s="518">
        <f>SUM(AG49:AG50,AG42,AG43:AG45)</f>
        <v>55237.977999999996</v>
      </c>
      <c r="AH58" s="521"/>
      <c r="AI58" s="522">
        <f t="shared" ref="AI58:AI62" si="85">AG58-Z58</f>
        <v>1853.7799999999988</v>
      </c>
      <c r="AJ58" s="523">
        <f t="shared" ref="AJ58:AJ62" si="86">IF((Z58)=0,"",(AI58/Z58))</f>
        <v>3.4725257088249202E-2</v>
      </c>
      <c r="AK58" s="513"/>
      <c r="AL58" s="520"/>
      <c r="AM58" s="520"/>
      <c r="AN58" s="518">
        <f>SUM(AN49:AN50,AN42,AN43:AN45)</f>
        <v>57001.557999999997</v>
      </c>
      <c r="AO58" s="521"/>
      <c r="AP58" s="522">
        <f t="shared" ref="AP58:AP62" si="87">AN58-AG58</f>
        <v>1763.5800000000017</v>
      </c>
      <c r="AQ58" s="523">
        <f t="shared" ref="AQ58:AQ62" si="88">IF((AG58)=0,"",(AP58/AG58))</f>
        <v>3.1926947072537702E-2</v>
      </c>
      <c r="AR58" s="524"/>
    </row>
    <row r="59" spans="1:44" ht="12.75" customHeight="1">
      <c r="A59" s="513"/>
      <c r="B59" s="525" t="s">
        <v>316</v>
      </c>
      <c r="C59" s="563"/>
      <c r="D59" s="515"/>
      <c r="E59" s="515"/>
      <c r="F59" s="516">
        <v>0.13</v>
      </c>
      <c r="G59" s="517"/>
      <c r="H59" s="526">
        <f>H58*F59</f>
        <v>6928.7305099999994</v>
      </c>
      <c r="I59" s="527"/>
      <c r="J59" s="516">
        <v>0.13</v>
      </c>
      <c r="K59" s="528"/>
      <c r="L59" s="529">
        <f>L58*J59</f>
        <v>6965.2196900000008</v>
      </c>
      <c r="M59" s="530"/>
      <c r="N59" s="531">
        <f t="shared" si="79"/>
        <v>36.489180000001397</v>
      </c>
      <c r="O59" s="532">
        <f t="shared" si="80"/>
        <v>5.2663586709481361E-3</v>
      </c>
      <c r="P59" s="513"/>
      <c r="Q59" s="516">
        <v>0.13</v>
      </c>
      <c r="R59" s="528"/>
      <c r="S59" s="529">
        <f>S58*Q59</f>
        <v>6631.8060900000009</v>
      </c>
      <c r="T59" s="530"/>
      <c r="U59" s="531">
        <f t="shared" si="81"/>
        <v>-333.41359999999986</v>
      </c>
      <c r="V59" s="532">
        <f t="shared" si="82"/>
        <v>-4.7868353740325428E-2</v>
      </c>
      <c r="W59" s="513"/>
      <c r="X59" s="516">
        <v>0.13</v>
      </c>
      <c r="Y59" s="528"/>
      <c r="Z59" s="529">
        <f>Z58*X59</f>
        <v>6939.9457400000001</v>
      </c>
      <c r="AA59" s="530"/>
      <c r="AB59" s="531">
        <f t="shared" si="83"/>
        <v>308.13964999999916</v>
      </c>
      <c r="AC59" s="532">
        <f t="shared" si="84"/>
        <v>4.646391131137538E-2</v>
      </c>
      <c r="AD59" s="513"/>
      <c r="AE59" s="516">
        <v>0.13</v>
      </c>
      <c r="AF59" s="528"/>
      <c r="AG59" s="529">
        <f>AG58*AE59</f>
        <v>7180.93714</v>
      </c>
      <c r="AH59" s="530"/>
      <c r="AI59" s="531">
        <f t="shared" si="85"/>
        <v>240.99139999999989</v>
      </c>
      <c r="AJ59" s="532">
        <f t="shared" si="86"/>
        <v>3.4725257088249209E-2</v>
      </c>
      <c r="AK59" s="513"/>
      <c r="AL59" s="516">
        <v>0.13</v>
      </c>
      <c r="AM59" s="528"/>
      <c r="AN59" s="529">
        <f>AN58*AL59</f>
        <v>7410.2025400000002</v>
      </c>
      <c r="AO59" s="530"/>
      <c r="AP59" s="531">
        <f t="shared" si="87"/>
        <v>229.26540000000023</v>
      </c>
      <c r="AQ59" s="532">
        <f t="shared" si="88"/>
        <v>3.1926947072537695E-2</v>
      </c>
      <c r="AR59" s="533"/>
    </row>
    <row r="60" spans="1:44" ht="12.75" customHeight="1">
      <c r="A60" s="513"/>
      <c r="B60" s="554" t="s">
        <v>400</v>
      </c>
      <c r="C60" s="563"/>
      <c r="D60" s="515"/>
      <c r="E60" s="515"/>
      <c r="F60" s="535"/>
      <c r="G60" s="530"/>
      <c r="H60" s="526">
        <f>H58+H59</f>
        <v>60226.657509999997</v>
      </c>
      <c r="I60" s="527"/>
      <c r="J60" s="527"/>
      <c r="K60" s="527"/>
      <c r="L60" s="529">
        <f>L58+L59</f>
        <v>60543.832690000003</v>
      </c>
      <c r="M60" s="530"/>
      <c r="N60" s="531">
        <f t="shared" si="79"/>
        <v>317.17518000000564</v>
      </c>
      <c r="O60" s="532">
        <f t="shared" si="80"/>
        <v>5.2663586709480277E-3</v>
      </c>
      <c r="P60" s="513"/>
      <c r="Q60" s="527"/>
      <c r="R60" s="527"/>
      <c r="S60" s="529">
        <f>S58+S59</f>
        <v>57645.699090000002</v>
      </c>
      <c r="T60" s="530"/>
      <c r="U60" s="531">
        <f t="shared" si="81"/>
        <v>-2898.133600000001</v>
      </c>
      <c r="V60" s="532">
        <f t="shared" si="82"/>
        <v>-4.786835374032547E-2</v>
      </c>
      <c r="W60" s="513"/>
      <c r="X60" s="527"/>
      <c r="Y60" s="527"/>
      <c r="Z60" s="529">
        <f>Z58+Z59</f>
        <v>60324.14374</v>
      </c>
      <c r="AA60" s="530"/>
      <c r="AB60" s="531">
        <f t="shared" si="83"/>
        <v>2678.4446499999976</v>
      </c>
      <c r="AC60" s="532">
        <f t="shared" si="84"/>
        <v>4.6463911311375471E-2</v>
      </c>
      <c r="AD60" s="513"/>
      <c r="AE60" s="527"/>
      <c r="AF60" s="527"/>
      <c r="AG60" s="529">
        <f>AG58+AG59</f>
        <v>62418.915139999997</v>
      </c>
      <c r="AH60" s="530"/>
      <c r="AI60" s="531">
        <f t="shared" si="85"/>
        <v>2094.7713999999978</v>
      </c>
      <c r="AJ60" s="532">
        <f t="shared" si="86"/>
        <v>3.4725257088249188E-2</v>
      </c>
      <c r="AK60" s="513"/>
      <c r="AL60" s="527"/>
      <c r="AM60" s="527"/>
      <c r="AN60" s="529">
        <f>AN58+AN59</f>
        <v>64411.760539999996</v>
      </c>
      <c r="AO60" s="530"/>
      <c r="AP60" s="531">
        <f t="shared" si="87"/>
        <v>1992.8453999999983</v>
      </c>
      <c r="AQ60" s="532">
        <f t="shared" si="88"/>
        <v>3.192694707253764E-2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79"/>
        <v>0</v>
      </c>
      <c r="O61" s="539" t="str">
        <f t="shared" si="80"/>
        <v/>
      </c>
      <c r="P61" s="513"/>
      <c r="Q61" s="527"/>
      <c r="R61" s="527"/>
      <c r="S61" s="537">
        <f>Q61*S58</f>
        <v>0</v>
      </c>
      <c r="T61" s="530"/>
      <c r="U61" s="538">
        <f t="shared" si="81"/>
        <v>0</v>
      </c>
      <c r="V61" s="539" t="str">
        <f t="shared" si="82"/>
        <v/>
      </c>
      <c r="W61" s="513"/>
      <c r="X61" s="527"/>
      <c r="Y61" s="527"/>
      <c r="Z61" s="537">
        <f>X61*Z58</f>
        <v>0</v>
      </c>
      <c r="AA61" s="530"/>
      <c r="AB61" s="538">
        <f t="shared" si="83"/>
        <v>0</v>
      </c>
      <c r="AC61" s="539" t="str">
        <f t="shared" si="84"/>
        <v/>
      </c>
      <c r="AD61" s="513"/>
      <c r="AE61" s="527"/>
      <c r="AF61" s="527"/>
      <c r="AG61" s="537">
        <f>AE61*AG58</f>
        <v>0</v>
      </c>
      <c r="AH61" s="530"/>
      <c r="AI61" s="538">
        <f t="shared" si="85"/>
        <v>0</v>
      </c>
      <c r="AJ61" s="539" t="str">
        <f t="shared" si="86"/>
        <v/>
      </c>
      <c r="AK61" s="513"/>
      <c r="AL61" s="527"/>
      <c r="AM61" s="527"/>
      <c r="AN61" s="537">
        <f>AL61*AN58</f>
        <v>0</v>
      </c>
      <c r="AO61" s="530"/>
      <c r="AP61" s="538">
        <f t="shared" si="87"/>
        <v>0</v>
      </c>
      <c r="AQ61" s="539" t="str">
        <f t="shared" si="88"/>
        <v/>
      </c>
      <c r="AR61" s="540"/>
    </row>
    <row r="62" spans="1:44" ht="13.5" customHeight="1">
      <c r="A62" s="513"/>
      <c r="B62" s="635" t="s">
        <v>321</v>
      </c>
      <c r="C62" s="613"/>
      <c r="D62" s="613"/>
      <c r="E62" s="541"/>
      <c r="F62" s="542"/>
      <c r="G62" s="543"/>
      <c r="H62" s="544">
        <f>H60-H61</f>
        <v>60226.657509999997</v>
      </c>
      <c r="I62" s="545"/>
      <c r="J62" s="545"/>
      <c r="K62" s="545"/>
      <c r="L62" s="546">
        <f>L60-L61</f>
        <v>60543.832690000003</v>
      </c>
      <c r="M62" s="547"/>
      <c r="N62" s="548">
        <f t="shared" si="79"/>
        <v>317.17518000000564</v>
      </c>
      <c r="O62" s="549">
        <f t="shared" si="80"/>
        <v>5.2663586709480277E-3</v>
      </c>
      <c r="P62" s="513"/>
      <c r="Q62" s="545"/>
      <c r="R62" s="545"/>
      <c r="S62" s="546">
        <f>S60-S61</f>
        <v>57645.699090000002</v>
      </c>
      <c r="T62" s="547"/>
      <c r="U62" s="548">
        <f t="shared" si="81"/>
        <v>-2898.133600000001</v>
      </c>
      <c r="V62" s="549">
        <f t="shared" si="82"/>
        <v>-4.786835374032547E-2</v>
      </c>
      <c r="W62" s="513"/>
      <c r="X62" s="545"/>
      <c r="Y62" s="545"/>
      <c r="Z62" s="546">
        <f>Z60-Z61</f>
        <v>60324.14374</v>
      </c>
      <c r="AA62" s="547"/>
      <c r="AB62" s="548">
        <f t="shared" si="83"/>
        <v>2678.4446499999976</v>
      </c>
      <c r="AC62" s="549">
        <f t="shared" si="84"/>
        <v>4.6463911311375471E-2</v>
      </c>
      <c r="AD62" s="513"/>
      <c r="AE62" s="545"/>
      <c r="AF62" s="545"/>
      <c r="AG62" s="546">
        <f>AG60-AG61</f>
        <v>62418.915139999997</v>
      </c>
      <c r="AH62" s="547"/>
      <c r="AI62" s="548">
        <f t="shared" si="85"/>
        <v>2094.7713999999978</v>
      </c>
      <c r="AJ62" s="549">
        <f t="shared" si="86"/>
        <v>3.4725257088249188E-2</v>
      </c>
      <c r="AK62" s="513"/>
      <c r="AL62" s="545"/>
      <c r="AM62" s="545"/>
      <c r="AN62" s="546">
        <f>AN60-AN61</f>
        <v>64411.760539999996</v>
      </c>
      <c r="AO62" s="547"/>
      <c r="AP62" s="548">
        <f t="shared" si="87"/>
        <v>1992.8453999999983</v>
      </c>
      <c r="AQ62" s="549">
        <f t="shared" si="88"/>
        <v>3.192694707253764E-2</v>
      </c>
      <c r="AR62" s="550"/>
    </row>
    <row r="63" spans="1:44"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55"/>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401</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F00-000000000000}">
      <formula1>"TOU,non-TOU"</formula1>
    </dataValidation>
    <dataValidation type="list" allowBlank="1" showErrorMessage="1" sqref="E15:E28 E30:E38 E40:E41 E43:E51 E57 E63" xr:uid="{00000000-0002-0000-1F00-000001000000}">
      <formula1>#REF!</formula1>
    </dataValidation>
    <dataValidation type="list" allowBlank="1" showInputMessage="1" showErrorMessage="1" prompt="Select Charge Unit - monthly, per kWh, per kW" sqref="D15:D28 D30:D38 D40:D41 D43:D51 D57 D63" xr:uid="{00000000-0002-0000-1F00-000002000000}">
      <formula1>"Monthly,per kWh,per kW"</formula1>
    </dataValidation>
  </dataValidations>
  <pageMargins left="0.74803149606299213" right="0.74803149606299213" top="0.98425196850393704" bottom="0.98425196850393704"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A1000"/>
  <sheetViews>
    <sheetView showGridLines="0" topLeftCell="Z1" workbookViewId="0">
      <pane ySplit="14" topLeftCell="A24"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1" customWidth="1"/>
    <col min="8" max="8" width="13" customWidth="1"/>
    <col min="9" max="9" width="1.42578125" customWidth="1"/>
    <col min="10" max="11" width="11" customWidth="1"/>
    <col min="12" max="12" width="13" customWidth="1"/>
    <col min="13" max="13" width="1.42578125" customWidth="1"/>
    <col min="14" max="14" width="11" customWidth="1"/>
    <col min="15" max="15" width="10" customWidth="1"/>
    <col min="16" max="16" width="1.7109375" customWidth="1"/>
    <col min="17" max="18" width="11" customWidth="1"/>
    <col min="19" max="19" width="13" customWidth="1"/>
    <col min="20" max="20" width="0.42578125" customWidth="1"/>
    <col min="21" max="21" width="11" customWidth="1"/>
    <col min="22" max="22" width="10" customWidth="1"/>
    <col min="23" max="23" width="2.28515625" customWidth="1"/>
    <col min="24" max="25" width="11" customWidth="1"/>
    <col min="26" max="26" width="13" customWidth="1"/>
    <col min="27" max="27" width="0.42578125" customWidth="1"/>
    <col min="28" max="28" width="11" customWidth="1"/>
    <col min="29" max="29" width="10" customWidth="1"/>
    <col min="30" max="30" width="2.140625" customWidth="1"/>
    <col min="31" max="32" width="11" customWidth="1"/>
    <col min="33" max="33" width="13" customWidth="1"/>
    <col min="34" max="34" width="0.42578125" customWidth="1"/>
    <col min="35" max="35" width="11" customWidth="1"/>
    <col min="36" max="36" width="10" customWidth="1"/>
    <col min="37" max="37" width="0.7109375" customWidth="1"/>
    <col min="38" max="39" width="11" customWidth="1"/>
    <col min="40" max="40" width="13" customWidth="1"/>
    <col min="41" max="41" width="1.28515625" customWidth="1"/>
    <col min="42" max="42" width="11" customWidth="1"/>
    <col min="43" max="43" width="10" customWidth="1"/>
    <col min="44" max="44" width="1.28515625" customWidth="1"/>
    <col min="45" max="53" width="12.42578125" customWidth="1"/>
  </cols>
  <sheetData>
    <row r="1" spans="1:53" ht="7.5" customHeight="1">
      <c r="A1" s="52"/>
      <c r="B1" s="52"/>
      <c r="C1" s="555"/>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53" ht="18.75" customHeight="1">
      <c r="A2" s="52"/>
      <c r="B2" s="52"/>
      <c r="C2" s="556"/>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53" ht="18.75" customHeight="1">
      <c r="A3" s="52"/>
      <c r="B3" s="52"/>
      <c r="C3" s="556"/>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3"/>
      <c r="AT3" s="3"/>
      <c r="AU3" s="3"/>
      <c r="AV3" s="3"/>
      <c r="AW3" s="3"/>
      <c r="AX3" s="3"/>
      <c r="AY3" s="3"/>
      <c r="AZ3" s="3"/>
      <c r="BA3" s="3"/>
    </row>
    <row r="4" spans="1:53" ht="7.5" customHeight="1">
      <c r="A4" s="52"/>
      <c r="B4" s="52"/>
      <c r="C4" s="555"/>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3"/>
      <c r="AT4" s="3"/>
      <c r="AU4" s="3"/>
      <c r="AV4" s="3"/>
      <c r="AW4" s="3"/>
      <c r="AX4" s="3"/>
      <c r="AY4" s="3"/>
      <c r="AZ4" s="3"/>
      <c r="BA4" s="3"/>
    </row>
    <row r="5" spans="1:53" ht="7.5" customHeight="1">
      <c r="A5" s="52"/>
      <c r="B5" s="52"/>
      <c r="C5" s="555"/>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c r="AU5" s="3"/>
      <c r="AV5" s="3"/>
      <c r="AW5" s="3"/>
      <c r="AX5" s="3"/>
      <c r="AY5" s="3"/>
      <c r="AZ5" s="3"/>
      <c r="BA5" s="3"/>
    </row>
    <row r="6" spans="1:53" ht="12.75" customHeight="1">
      <c r="A6" s="52"/>
      <c r="B6" s="319" t="s">
        <v>294</v>
      </c>
      <c r="C6" s="555"/>
      <c r="D6" s="505" t="s">
        <v>222</v>
      </c>
      <c r="E6" s="506"/>
      <c r="F6" s="506"/>
      <c r="G6" s="506"/>
      <c r="H6" s="506"/>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c r="AV6" s="3"/>
      <c r="AW6" s="3"/>
      <c r="AX6" s="3"/>
      <c r="AY6" s="3"/>
      <c r="AZ6" s="3"/>
      <c r="BA6" s="3"/>
    </row>
    <row r="7" spans="1:53"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53"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53" ht="12.75" customHeight="1">
      <c r="A9" s="52"/>
      <c r="B9" s="383"/>
      <c r="C9" s="555"/>
      <c r="D9" s="306" t="s">
        <v>297</v>
      </c>
      <c r="E9" s="306"/>
      <c r="F9" s="386">
        <v>1277500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53" ht="12.75" customHeight="1">
      <c r="A10" s="52"/>
      <c r="B10" s="52"/>
      <c r="C10" s="555"/>
      <c r="D10" s="52"/>
      <c r="E10" s="52"/>
      <c r="F10" s="386">
        <v>4000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53"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53"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53"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53"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53" ht="12.75" customHeight="1">
      <c r="A15" s="52"/>
      <c r="B15" s="320" t="s">
        <v>218</v>
      </c>
      <c r="C15" s="395" t="str">
        <f t="shared" ref="C15:C28" si="0">D$6&amp;"."&amp;B15</f>
        <v>General Service 1,500 to 4,999 KW.Monthly Service Charge</v>
      </c>
      <c r="D15" s="396" t="s">
        <v>306</v>
      </c>
      <c r="E15" s="320"/>
      <c r="F15" s="397">
        <f>IFERROR(VLOOKUP($C15,'Proposed Rates'!$B:$J,F$11,FALSE),0)</f>
        <v>4126.75</v>
      </c>
      <c r="G15" s="415">
        <f t="shared" ref="G15:G28" si="1">IF($D15="Monthly",1,IF($D15="per KW",$F$10,IF($D15="per kWh",$F$9,0)))</f>
        <v>1</v>
      </c>
      <c r="H15" s="400">
        <f t="shared" ref="H15:H28" si="2">G15*F15</f>
        <v>4126.75</v>
      </c>
      <c r="I15" s="128"/>
      <c r="J15" s="397">
        <f>IFERROR(VLOOKUP($C15,'Proposed Rates'!$B:$J,J$11,FALSE),0)</f>
        <v>4126.75</v>
      </c>
      <c r="K15" s="415">
        <f t="shared" ref="K15:K28" si="3">IF($D15="Monthly",1,IF($D15="per KW",$F$10,IF($D15="per kWh",$F$9,0)))</f>
        <v>1</v>
      </c>
      <c r="L15" s="400">
        <f t="shared" ref="L15:L28" si="4">K15*J15</f>
        <v>4126.75</v>
      </c>
      <c r="M15" s="128"/>
      <c r="N15" s="401">
        <f t="shared" ref="N15:N46" si="5">L15-H15</f>
        <v>0</v>
      </c>
      <c r="O15" s="402">
        <f t="shared" ref="O15:O46" si="6">IF((H15)=0,"",(N15/H15))</f>
        <v>0</v>
      </c>
      <c r="P15" s="52"/>
      <c r="Q15" s="397">
        <f>IFERROR(VLOOKUP($C15,'Proposed Rates'!$B:$J,Q$11,FALSE),0)</f>
        <v>4126.75</v>
      </c>
      <c r="R15" s="415">
        <f t="shared" ref="R15:R28" si="7">IF($D15="Monthly",1,IF($D15="per KW",$F$10,IF($D15="per kWh",$F$9,0)))</f>
        <v>1</v>
      </c>
      <c r="S15" s="400">
        <f t="shared" ref="S15:S28" si="8">R15*Q15</f>
        <v>4126.75</v>
      </c>
      <c r="T15" s="128"/>
      <c r="U15" s="401">
        <f t="shared" ref="U15:U46" si="9">S15-L15</f>
        <v>0</v>
      </c>
      <c r="V15" s="402">
        <f t="shared" ref="V15:V46" si="10">IF((L15)=0,"",(U15/L15))</f>
        <v>0</v>
      </c>
      <c r="W15" s="52"/>
      <c r="X15" s="397">
        <f>IFERROR(VLOOKUP($C15,'Proposed Rates'!$B:$J,X$11,FALSE),0)</f>
        <v>4126.75</v>
      </c>
      <c r="Y15" s="415">
        <f t="shared" ref="Y15:Y28" si="11">IF($D15="Monthly",1,IF($D15="per KW",$F$10,IF($D15="per kWh",$F$9,0)))</f>
        <v>1</v>
      </c>
      <c r="Z15" s="400">
        <f t="shared" ref="Z15:Z28" si="12">Y15*X15</f>
        <v>4126.75</v>
      </c>
      <c r="AA15" s="128"/>
      <c r="AB15" s="401">
        <f t="shared" ref="AB15:AB46" si="13">Z15-S15</f>
        <v>0</v>
      </c>
      <c r="AC15" s="402">
        <f t="shared" ref="AC15:AC46" si="14">IF((S15)=0,"",(AB15/S15))</f>
        <v>0</v>
      </c>
      <c r="AD15" s="52"/>
      <c r="AE15" s="397">
        <f>IFERROR(VLOOKUP($C15,'Proposed Rates'!$B:$J,AE$11,FALSE),0)</f>
        <v>4126.75</v>
      </c>
      <c r="AF15" s="415">
        <f t="shared" ref="AF15:AF28" si="15">IF($D15="Monthly",1,IF($D15="per KW",$F$10,IF($D15="per kWh",$F$9,0)))</f>
        <v>1</v>
      </c>
      <c r="AG15" s="400">
        <f t="shared" ref="AG15:AG28" si="16">AF15*AE15</f>
        <v>4126.75</v>
      </c>
      <c r="AH15" s="128"/>
      <c r="AI15" s="401">
        <f t="shared" ref="AI15:AI46" si="17">AG15-Z15</f>
        <v>0</v>
      </c>
      <c r="AJ15" s="402">
        <f t="shared" ref="AJ15:AJ46" si="18">IF((Z15)=0,"",(AI15/Z15))</f>
        <v>0</v>
      </c>
      <c r="AK15" s="52"/>
      <c r="AL15" s="397">
        <f>IFERROR(VLOOKUP($C15,'Proposed Rates'!$B:$J,AL$11,FALSE),0)</f>
        <v>4126.75</v>
      </c>
      <c r="AM15" s="415">
        <f t="shared" ref="AM15:AM28" si="19">IF($D15="Monthly",1,IF($D15="per KW",$F$10,IF($D15="per kWh",$F$9,0)))</f>
        <v>1</v>
      </c>
      <c r="AN15" s="400">
        <f t="shared" ref="AN15:AN28" si="20">AM15*AL15</f>
        <v>4126.75</v>
      </c>
      <c r="AO15" s="128"/>
      <c r="AP15" s="401">
        <f t="shared" ref="AP15:AP46" si="21">AN15-AG15</f>
        <v>0</v>
      </c>
      <c r="AQ15" s="402">
        <f t="shared" ref="AQ15:AQ46" si="22">IF((AG15)=0,"",(AP15/AG15))</f>
        <v>0</v>
      </c>
      <c r="AR15" s="403"/>
    </row>
    <row r="16" spans="1:53" ht="12.75" customHeight="1">
      <c r="A16" s="52"/>
      <c r="B16" s="320" t="s">
        <v>307</v>
      </c>
      <c r="C16" s="395" t="str">
        <f t="shared" si="0"/>
        <v>General Service 1,500 to 4,999 KW.Smart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General Service 1,500 to 4,999 KW.Rate Rider Calculation for PILs</v>
      </c>
      <c r="D17" s="396" t="s">
        <v>377</v>
      </c>
      <c r="E17" s="320"/>
      <c r="F17" s="397">
        <f>IFERROR(VLOOKUP($C17,'Proposed Rates'!$B:$J,F$11,FALSE),0)</f>
        <v>0</v>
      </c>
      <c r="G17" s="415">
        <f t="shared" si="1"/>
        <v>4000</v>
      </c>
      <c r="H17" s="400">
        <f t="shared" si="2"/>
        <v>0</v>
      </c>
      <c r="I17" s="128"/>
      <c r="J17" s="397">
        <f>IFERROR(VLOOKUP($C17,'Proposed Rates'!$B:$J,J$11,FALSE),0)</f>
        <v>0</v>
      </c>
      <c r="K17" s="415">
        <f t="shared" si="3"/>
        <v>4000</v>
      </c>
      <c r="L17" s="400">
        <f t="shared" si="4"/>
        <v>0</v>
      </c>
      <c r="M17" s="128"/>
      <c r="N17" s="401">
        <f t="shared" si="5"/>
        <v>0</v>
      </c>
      <c r="O17" s="402" t="str">
        <f t="shared" si="6"/>
        <v/>
      </c>
      <c r="P17" s="52"/>
      <c r="Q17" s="397">
        <f>IFERROR(VLOOKUP($C17,'Proposed Rates'!$B:$J,Q$11,FALSE),0)</f>
        <v>0</v>
      </c>
      <c r="R17" s="415">
        <f t="shared" si="7"/>
        <v>4000</v>
      </c>
      <c r="S17" s="400">
        <f t="shared" si="8"/>
        <v>0</v>
      </c>
      <c r="T17" s="128"/>
      <c r="U17" s="401">
        <f t="shared" si="9"/>
        <v>0</v>
      </c>
      <c r="V17" s="402" t="str">
        <f t="shared" si="10"/>
        <v/>
      </c>
      <c r="W17" s="52"/>
      <c r="X17" s="397">
        <f>IFERROR(VLOOKUP($C17,'Proposed Rates'!$B:$J,X$11,FALSE),0)</f>
        <v>0</v>
      </c>
      <c r="Y17" s="415">
        <f t="shared" si="11"/>
        <v>4000</v>
      </c>
      <c r="Z17" s="400">
        <f t="shared" si="12"/>
        <v>0</v>
      </c>
      <c r="AA17" s="128"/>
      <c r="AB17" s="401">
        <f t="shared" si="13"/>
        <v>0</v>
      </c>
      <c r="AC17" s="402" t="str">
        <f t="shared" si="14"/>
        <v/>
      </c>
      <c r="AD17" s="52"/>
      <c r="AE17" s="397">
        <f>IFERROR(VLOOKUP($C17,'Proposed Rates'!$B:$J,AE$11,FALSE),0)</f>
        <v>0</v>
      </c>
      <c r="AF17" s="415">
        <f t="shared" si="15"/>
        <v>4000</v>
      </c>
      <c r="AG17" s="400">
        <f t="shared" si="16"/>
        <v>0</v>
      </c>
      <c r="AH17" s="128"/>
      <c r="AI17" s="401">
        <f t="shared" si="17"/>
        <v>0</v>
      </c>
      <c r="AJ17" s="402" t="str">
        <f t="shared" si="18"/>
        <v/>
      </c>
      <c r="AK17" s="52"/>
      <c r="AL17" s="397">
        <f>IFERROR(VLOOKUP($C17,'Proposed Rates'!$B:$J,AL$11,FALSE),0)</f>
        <v>0</v>
      </c>
      <c r="AM17" s="415">
        <f t="shared" si="19"/>
        <v>4000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General Service 1,500 to 4,999 KW.Rate Rider Calculation for Generic</v>
      </c>
      <c r="D18" s="396" t="s">
        <v>377</v>
      </c>
      <c r="E18" s="320"/>
      <c r="F18" s="397">
        <f>IFERROR(VLOOKUP($C18,'Proposed Rates'!$B:$J,F$11,FALSE),0)</f>
        <v>0</v>
      </c>
      <c r="G18" s="415">
        <f t="shared" si="1"/>
        <v>4000</v>
      </c>
      <c r="H18" s="400">
        <f t="shared" si="2"/>
        <v>0</v>
      </c>
      <c r="I18" s="128"/>
      <c r="J18" s="397">
        <f>IFERROR(VLOOKUP($C18,'Proposed Rates'!$B:$J,J$11,FALSE),0)</f>
        <v>0</v>
      </c>
      <c r="K18" s="415">
        <f t="shared" si="3"/>
        <v>4000</v>
      </c>
      <c r="L18" s="400">
        <f t="shared" si="4"/>
        <v>0</v>
      </c>
      <c r="M18" s="128"/>
      <c r="N18" s="401">
        <f t="shared" si="5"/>
        <v>0</v>
      </c>
      <c r="O18" s="402" t="str">
        <f t="shared" si="6"/>
        <v/>
      </c>
      <c r="P18" s="52"/>
      <c r="Q18" s="397">
        <f>IFERROR(VLOOKUP($C18,'Proposed Rates'!$B:$J,Q$11,FALSE),0)</f>
        <v>0</v>
      </c>
      <c r="R18" s="415">
        <f t="shared" si="7"/>
        <v>4000</v>
      </c>
      <c r="S18" s="400">
        <f t="shared" si="8"/>
        <v>0</v>
      </c>
      <c r="T18" s="128"/>
      <c r="U18" s="401">
        <f t="shared" si="9"/>
        <v>0</v>
      </c>
      <c r="V18" s="402" t="str">
        <f t="shared" si="10"/>
        <v/>
      </c>
      <c r="W18" s="52"/>
      <c r="X18" s="397">
        <f>IFERROR(VLOOKUP($C18,'Proposed Rates'!$B:$J,X$11,FALSE),0)</f>
        <v>0</v>
      </c>
      <c r="Y18" s="415">
        <f t="shared" si="11"/>
        <v>4000</v>
      </c>
      <c r="Z18" s="400">
        <f t="shared" si="12"/>
        <v>0</v>
      </c>
      <c r="AA18" s="128"/>
      <c r="AB18" s="401">
        <f t="shared" si="13"/>
        <v>0</v>
      </c>
      <c r="AC18" s="402" t="str">
        <f t="shared" si="14"/>
        <v/>
      </c>
      <c r="AD18" s="52"/>
      <c r="AE18" s="397">
        <f>IFERROR(VLOOKUP($C18,'Proposed Rates'!$B:$J,AE$11,FALSE),0)</f>
        <v>0</v>
      </c>
      <c r="AF18" s="415">
        <f t="shared" si="15"/>
        <v>4000</v>
      </c>
      <c r="AG18" s="400">
        <f t="shared" si="16"/>
        <v>0</v>
      </c>
      <c r="AH18" s="128"/>
      <c r="AI18" s="401">
        <f t="shared" si="17"/>
        <v>0</v>
      </c>
      <c r="AJ18" s="402" t="str">
        <f t="shared" si="18"/>
        <v/>
      </c>
      <c r="AK18" s="52"/>
      <c r="AL18" s="397">
        <f>IFERROR(VLOOKUP($C18,'Proposed Rates'!$B:$J,AL$11,FALSE),0)</f>
        <v>0</v>
      </c>
      <c r="AM18" s="415">
        <f t="shared" si="19"/>
        <v>4000</v>
      </c>
      <c r="AN18" s="400">
        <f t="shared" si="20"/>
        <v>0</v>
      </c>
      <c r="AO18" s="128"/>
      <c r="AP18" s="401">
        <f t="shared" si="21"/>
        <v>0</v>
      </c>
      <c r="AQ18" s="402" t="str">
        <f t="shared" si="22"/>
        <v/>
      </c>
      <c r="AR18" s="403"/>
    </row>
    <row r="19" spans="1:44" ht="12.75" customHeight="1">
      <c r="A19" s="52"/>
      <c r="B19" s="320" t="s">
        <v>59</v>
      </c>
      <c r="C19" s="395" t="str">
        <f t="shared" si="0"/>
        <v>General Service 1,500 to 4,999 KW.Distribution Volumetric Rate</v>
      </c>
      <c r="D19" s="396" t="s">
        <v>377</v>
      </c>
      <c r="E19" s="320"/>
      <c r="F19" s="397">
        <f>IFERROR(VLOOKUP($C19,'Proposed Rates'!$B:$J,F$11,FALSE),0)</f>
        <v>6.0796000000000001</v>
      </c>
      <c r="G19" s="415">
        <f t="shared" si="1"/>
        <v>4000</v>
      </c>
      <c r="H19" s="400">
        <f t="shared" si="2"/>
        <v>24318.400000000001</v>
      </c>
      <c r="I19" s="128"/>
      <c r="J19" s="397">
        <f>IFERROR(VLOOKUP($C19,'Proposed Rates'!$B:$J,J$11,FALSE),0)</f>
        <v>7.7050000000000001</v>
      </c>
      <c r="K19" s="415">
        <f t="shared" si="3"/>
        <v>4000</v>
      </c>
      <c r="L19" s="400">
        <f t="shared" si="4"/>
        <v>30820</v>
      </c>
      <c r="M19" s="128"/>
      <c r="N19" s="401">
        <f t="shared" si="5"/>
        <v>6501.5999999999985</v>
      </c>
      <c r="O19" s="402">
        <f t="shared" si="6"/>
        <v>0.26735311533653522</v>
      </c>
      <c r="P19" s="52"/>
      <c r="Q19" s="397">
        <f>IFERROR(VLOOKUP($C19,'Proposed Rates'!$B:$J,Q$11,FALSE),0)</f>
        <v>8.4490999999999996</v>
      </c>
      <c r="R19" s="415">
        <f t="shared" si="7"/>
        <v>4000</v>
      </c>
      <c r="S19" s="400">
        <f t="shared" si="8"/>
        <v>33796.400000000001</v>
      </c>
      <c r="T19" s="128"/>
      <c r="U19" s="401">
        <f t="shared" si="9"/>
        <v>2976.4000000000015</v>
      </c>
      <c r="V19" s="402">
        <f t="shared" si="10"/>
        <v>9.6573653471771617E-2</v>
      </c>
      <c r="W19" s="52"/>
      <c r="X19" s="397">
        <f>IFERROR(VLOOKUP($C19,'Proposed Rates'!$B:$J,X$11,FALSE),0)</f>
        <v>9.3969000000000005</v>
      </c>
      <c r="Y19" s="415">
        <f t="shared" si="11"/>
        <v>4000</v>
      </c>
      <c r="Z19" s="400">
        <f t="shared" si="12"/>
        <v>37587.599999999999</v>
      </c>
      <c r="AA19" s="128"/>
      <c r="AB19" s="401">
        <f t="shared" si="13"/>
        <v>3791.1999999999971</v>
      </c>
      <c r="AC19" s="402">
        <f t="shared" si="14"/>
        <v>0.11217762838645527</v>
      </c>
      <c r="AD19" s="52"/>
      <c r="AE19" s="397">
        <f>IFERROR(VLOOKUP($C19,'Proposed Rates'!$B:$J,AE$11,FALSE),0)</f>
        <v>10.138</v>
      </c>
      <c r="AF19" s="415">
        <f t="shared" si="15"/>
        <v>4000</v>
      </c>
      <c r="AG19" s="400">
        <f t="shared" si="16"/>
        <v>40552</v>
      </c>
      <c r="AH19" s="128"/>
      <c r="AI19" s="401">
        <f t="shared" si="17"/>
        <v>2964.4000000000015</v>
      </c>
      <c r="AJ19" s="402">
        <f t="shared" si="18"/>
        <v>7.8866434675265287E-2</v>
      </c>
      <c r="AK19" s="52"/>
      <c r="AL19" s="397">
        <f>IFERROR(VLOOKUP($C19,'Proposed Rates'!$B:$J,AL$11,FALSE),0)</f>
        <v>10.843</v>
      </c>
      <c r="AM19" s="415">
        <f t="shared" si="19"/>
        <v>4000</v>
      </c>
      <c r="AN19" s="400">
        <f t="shared" si="20"/>
        <v>43372</v>
      </c>
      <c r="AO19" s="128"/>
      <c r="AP19" s="401">
        <f t="shared" si="21"/>
        <v>2820</v>
      </c>
      <c r="AQ19" s="402">
        <f t="shared" si="22"/>
        <v>6.9540343262970997E-2</v>
      </c>
      <c r="AR19" s="403"/>
    </row>
    <row r="20" spans="1:44" ht="12.75" customHeight="1">
      <c r="A20" s="52"/>
      <c r="B20" s="320" t="s">
        <v>309</v>
      </c>
      <c r="C20" s="395" t="str">
        <f t="shared" si="0"/>
        <v>General Service 1,500 to 4,999 KW.Smart Meter Disposition Rider</v>
      </c>
      <c r="D20" s="396" t="s">
        <v>308</v>
      </c>
      <c r="E20" s="320"/>
      <c r="F20" s="397">
        <f>IFERROR(VLOOKUP($C20,'Proposed Rates'!$B:$J,F$11,FALSE),0)</f>
        <v>0</v>
      </c>
      <c r="G20" s="415">
        <f t="shared" si="1"/>
        <v>1277500</v>
      </c>
      <c r="H20" s="400">
        <f t="shared" si="2"/>
        <v>0</v>
      </c>
      <c r="I20" s="128"/>
      <c r="J20" s="397">
        <f>IFERROR(VLOOKUP($C20,'Proposed Rates'!$B:$J,J$11,FALSE),0)</f>
        <v>0</v>
      </c>
      <c r="K20" s="415">
        <f t="shared" si="3"/>
        <v>1277500</v>
      </c>
      <c r="L20" s="400">
        <f t="shared" si="4"/>
        <v>0</v>
      </c>
      <c r="M20" s="128"/>
      <c r="N20" s="401">
        <f t="shared" si="5"/>
        <v>0</v>
      </c>
      <c r="O20" s="402" t="str">
        <f t="shared" si="6"/>
        <v/>
      </c>
      <c r="P20" s="52"/>
      <c r="Q20" s="397">
        <f>IFERROR(VLOOKUP($C20,'Proposed Rates'!$B:$J,Q$11,FALSE),0)</f>
        <v>0</v>
      </c>
      <c r="R20" s="415">
        <f t="shared" si="7"/>
        <v>1277500</v>
      </c>
      <c r="S20" s="400">
        <f t="shared" si="8"/>
        <v>0</v>
      </c>
      <c r="T20" s="128"/>
      <c r="U20" s="401">
        <f t="shared" si="9"/>
        <v>0</v>
      </c>
      <c r="V20" s="402" t="str">
        <f t="shared" si="10"/>
        <v/>
      </c>
      <c r="W20" s="52"/>
      <c r="X20" s="397">
        <f>IFERROR(VLOOKUP($C20,'Proposed Rates'!$B:$J,X$11,FALSE),0)</f>
        <v>0</v>
      </c>
      <c r="Y20" s="415">
        <f t="shared" si="11"/>
        <v>1277500</v>
      </c>
      <c r="Z20" s="400">
        <f t="shared" si="12"/>
        <v>0</v>
      </c>
      <c r="AA20" s="128"/>
      <c r="AB20" s="401">
        <f t="shared" si="13"/>
        <v>0</v>
      </c>
      <c r="AC20" s="402" t="str">
        <f t="shared" si="14"/>
        <v/>
      </c>
      <c r="AD20" s="52"/>
      <c r="AE20" s="397">
        <f>IFERROR(VLOOKUP($C20,'Proposed Rates'!$B:$J,AE$11,FALSE),0)</f>
        <v>0</v>
      </c>
      <c r="AF20" s="415">
        <f t="shared" si="15"/>
        <v>1277500</v>
      </c>
      <c r="AG20" s="400">
        <f t="shared" si="16"/>
        <v>0</v>
      </c>
      <c r="AH20" s="128"/>
      <c r="AI20" s="401">
        <f t="shared" si="17"/>
        <v>0</v>
      </c>
      <c r="AJ20" s="402" t="str">
        <f t="shared" si="18"/>
        <v/>
      </c>
      <c r="AK20" s="52"/>
      <c r="AL20" s="397">
        <f>IFERROR(VLOOKUP($C20,'Proposed Rates'!$B:$J,AL$11,FALSE),0)</f>
        <v>0</v>
      </c>
      <c r="AM20" s="415">
        <f t="shared" si="19"/>
        <v>1277500</v>
      </c>
      <c r="AN20" s="400">
        <f t="shared" si="20"/>
        <v>0</v>
      </c>
      <c r="AO20" s="128"/>
      <c r="AP20" s="401">
        <f t="shared" si="21"/>
        <v>0</v>
      </c>
      <c r="AQ20" s="402" t="str">
        <f t="shared" si="22"/>
        <v/>
      </c>
      <c r="AR20" s="403"/>
    </row>
    <row r="21" spans="1:44" ht="12.75" customHeight="1">
      <c r="A21" s="52"/>
      <c r="B21" s="320" t="s">
        <v>241</v>
      </c>
      <c r="C21" s="395" t="str">
        <f t="shared" si="0"/>
        <v>General Service 1,500 to 4,999 KW.LRAM Rate Rider</v>
      </c>
      <c r="D21" s="396" t="s">
        <v>377</v>
      </c>
      <c r="E21" s="320"/>
      <c r="F21" s="414">
        <f>'Proposed Rates'!E80+'Proposed Rates'!E93</f>
        <v>0.2021</v>
      </c>
      <c r="G21" s="415">
        <f t="shared" si="1"/>
        <v>4000</v>
      </c>
      <c r="H21" s="400">
        <f t="shared" si="2"/>
        <v>808.4</v>
      </c>
      <c r="I21" s="128"/>
      <c r="J21" s="414">
        <f>'Proposed Rates'!F80+'Proposed Rates'!F93</f>
        <v>-0.3846</v>
      </c>
      <c r="K21" s="415">
        <f t="shared" si="3"/>
        <v>4000</v>
      </c>
      <c r="L21" s="400">
        <f t="shared" si="4"/>
        <v>-1538.4</v>
      </c>
      <c r="M21" s="128"/>
      <c r="N21" s="401">
        <f t="shared" si="5"/>
        <v>-2346.8000000000002</v>
      </c>
      <c r="O21" s="402">
        <f t="shared" si="6"/>
        <v>-2.9030183077684319</v>
      </c>
      <c r="P21" s="52"/>
      <c r="Q21" s="414">
        <f>'Proposed Rates'!G80+'Proposed Rates'!G93</f>
        <v>0</v>
      </c>
      <c r="R21" s="415">
        <f t="shared" si="7"/>
        <v>4000</v>
      </c>
      <c r="S21" s="400">
        <f t="shared" si="8"/>
        <v>0</v>
      </c>
      <c r="T21" s="128"/>
      <c r="U21" s="401">
        <f t="shared" si="9"/>
        <v>1538.4</v>
      </c>
      <c r="V21" s="402">
        <f t="shared" si="10"/>
        <v>-1</v>
      </c>
      <c r="W21" s="52"/>
      <c r="X21" s="397">
        <f>IFERROR(VLOOKUP($C21,'Proposed Rates'!$B:$J,X$11,FALSE),0)</f>
        <v>0</v>
      </c>
      <c r="Y21" s="415">
        <f t="shared" si="11"/>
        <v>4000</v>
      </c>
      <c r="Z21" s="400">
        <f t="shared" si="12"/>
        <v>0</v>
      </c>
      <c r="AA21" s="128"/>
      <c r="AB21" s="401">
        <f t="shared" si="13"/>
        <v>0</v>
      </c>
      <c r="AC21" s="402" t="str">
        <f t="shared" si="14"/>
        <v/>
      </c>
      <c r="AD21" s="52"/>
      <c r="AE21" s="397">
        <f>IFERROR(VLOOKUP($C21,'Proposed Rates'!$B:$J,AE$11,FALSE),0)</f>
        <v>0</v>
      </c>
      <c r="AF21" s="415">
        <f t="shared" si="15"/>
        <v>4000</v>
      </c>
      <c r="AG21" s="400">
        <f t="shared" si="16"/>
        <v>0</v>
      </c>
      <c r="AH21" s="128"/>
      <c r="AI21" s="401">
        <f t="shared" si="17"/>
        <v>0</v>
      </c>
      <c r="AJ21" s="402" t="str">
        <f t="shared" si="18"/>
        <v/>
      </c>
      <c r="AK21" s="52"/>
      <c r="AL21" s="397">
        <f>IFERROR(VLOOKUP($C21,'Proposed Rates'!$B:$J,AL$11,FALSE),0)</f>
        <v>0</v>
      </c>
      <c r="AM21" s="415">
        <f t="shared" si="19"/>
        <v>4000</v>
      </c>
      <c r="AN21" s="400">
        <f t="shared" si="20"/>
        <v>0</v>
      </c>
      <c r="AO21" s="128"/>
      <c r="AP21" s="401">
        <f t="shared" si="21"/>
        <v>0</v>
      </c>
      <c r="AQ21" s="402" t="str">
        <f t="shared" si="22"/>
        <v/>
      </c>
      <c r="AR21" s="403"/>
    </row>
    <row r="22" spans="1:44" ht="12.75" customHeight="1">
      <c r="A22" s="52"/>
      <c r="B22" s="484" t="s">
        <v>237</v>
      </c>
      <c r="C22" s="395" t="str">
        <f t="shared" si="0"/>
        <v>General Service 1,500 to 4,999 KW.Deferral/Variance Account Disposition Rate Rider Group 2</v>
      </c>
      <c r="D22" s="396" t="s">
        <v>377</v>
      </c>
      <c r="E22" s="320"/>
      <c r="F22" s="397">
        <f>IFERROR(VLOOKUP($C22,'Proposed Rates'!$B:$J,F$11,FALSE),0)</f>
        <v>0</v>
      </c>
      <c r="G22" s="415">
        <f t="shared" si="1"/>
        <v>4000</v>
      </c>
      <c r="H22" s="400">
        <f t="shared" si="2"/>
        <v>0</v>
      </c>
      <c r="I22" s="128"/>
      <c r="J22" s="397">
        <f>IFERROR(VLOOKUP($C22,'Proposed Rates'!$B:$J,J$11,FALSE),0)</f>
        <v>-0.1241</v>
      </c>
      <c r="K22" s="415">
        <f t="shared" si="3"/>
        <v>4000</v>
      </c>
      <c r="L22" s="400">
        <f t="shared" si="4"/>
        <v>-496.40000000000003</v>
      </c>
      <c r="M22" s="128"/>
      <c r="N22" s="401">
        <f t="shared" si="5"/>
        <v>-496.40000000000003</v>
      </c>
      <c r="O22" s="402" t="str">
        <f t="shared" si="6"/>
        <v/>
      </c>
      <c r="P22" s="52"/>
      <c r="Q22" s="397">
        <f>IFERROR(VLOOKUP($C22,'Proposed Rates'!$B:$J,Q$11,FALSE),0)</f>
        <v>0</v>
      </c>
      <c r="R22" s="415">
        <f t="shared" si="7"/>
        <v>4000</v>
      </c>
      <c r="S22" s="400">
        <f t="shared" si="8"/>
        <v>0</v>
      </c>
      <c r="T22" s="128"/>
      <c r="U22" s="401">
        <f t="shared" si="9"/>
        <v>496.40000000000003</v>
      </c>
      <c r="V22" s="402">
        <f t="shared" si="10"/>
        <v>-1</v>
      </c>
      <c r="W22" s="52"/>
      <c r="X22" s="397">
        <f>IFERROR(VLOOKUP($C22,'Proposed Rates'!$B:$J,X$11,FALSE),0)</f>
        <v>0</v>
      </c>
      <c r="Y22" s="415">
        <f t="shared" si="11"/>
        <v>4000</v>
      </c>
      <c r="Z22" s="400">
        <f t="shared" si="12"/>
        <v>0</v>
      </c>
      <c r="AA22" s="128"/>
      <c r="AB22" s="401">
        <f t="shared" si="13"/>
        <v>0</v>
      </c>
      <c r="AC22" s="402" t="str">
        <f t="shared" si="14"/>
        <v/>
      </c>
      <c r="AD22" s="52"/>
      <c r="AE22" s="397">
        <f>IFERROR(VLOOKUP($C22,'Proposed Rates'!$B:$J,AE$11,FALSE),0)</f>
        <v>0</v>
      </c>
      <c r="AF22" s="415">
        <f t="shared" si="15"/>
        <v>4000</v>
      </c>
      <c r="AG22" s="400">
        <f t="shared" si="16"/>
        <v>0</v>
      </c>
      <c r="AH22" s="128"/>
      <c r="AI22" s="401">
        <f t="shared" si="17"/>
        <v>0</v>
      </c>
      <c r="AJ22" s="402" t="str">
        <f t="shared" si="18"/>
        <v/>
      </c>
      <c r="AK22" s="52"/>
      <c r="AL22" s="397">
        <f>IFERROR(VLOOKUP($C22,'Proposed Rates'!$B:$J,AL$11,FALSE),0)</f>
        <v>0</v>
      </c>
      <c r="AM22" s="415">
        <f t="shared" si="19"/>
        <v>4000</v>
      </c>
      <c r="AN22" s="400">
        <f t="shared" si="20"/>
        <v>0</v>
      </c>
      <c r="AO22" s="128"/>
      <c r="AP22" s="401">
        <f t="shared" si="21"/>
        <v>0</v>
      </c>
      <c r="AQ22" s="402" t="str">
        <f t="shared" si="22"/>
        <v/>
      </c>
      <c r="AR22" s="403"/>
    </row>
    <row r="23" spans="1:44" ht="12.75" customHeight="1">
      <c r="A23" s="52"/>
      <c r="B23" s="404"/>
      <c r="C23" s="395" t="str">
        <f t="shared" si="0"/>
        <v>General Service 1,500 to 4,999 KW.</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General Service 1,500 to 4,999 KW.</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General Service 1,500 to 4,999 KW.</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General Service 1,500 to 4,999 KW.</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General Service 1,500 to 4,999 KW.</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General Service 1,500 to 4,999 KW.</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557"/>
      <c r="D29" s="406"/>
      <c r="E29" s="406"/>
      <c r="F29" s="407"/>
      <c r="G29" s="500"/>
      <c r="H29" s="409">
        <f>SUM(H15:H28)</f>
        <v>29253.550000000003</v>
      </c>
      <c r="I29" s="410"/>
      <c r="J29" s="407"/>
      <c r="K29" s="500"/>
      <c r="L29" s="409">
        <f>SUM(L15:L28)</f>
        <v>32911.949999999997</v>
      </c>
      <c r="M29" s="410"/>
      <c r="N29" s="411">
        <f t="shared" si="5"/>
        <v>3658.3999999999942</v>
      </c>
      <c r="O29" s="412">
        <f t="shared" si="6"/>
        <v>0.1250583262544202</v>
      </c>
      <c r="P29" s="306"/>
      <c r="Q29" s="407"/>
      <c r="R29" s="500"/>
      <c r="S29" s="409">
        <f>SUM(S15:S28)</f>
        <v>37923.15</v>
      </c>
      <c r="T29" s="410"/>
      <c r="U29" s="411">
        <f t="shared" si="9"/>
        <v>5011.2000000000044</v>
      </c>
      <c r="V29" s="412">
        <f t="shared" si="10"/>
        <v>0.15226080496597755</v>
      </c>
      <c r="W29" s="306"/>
      <c r="X29" s="407"/>
      <c r="Y29" s="500"/>
      <c r="Z29" s="409">
        <f>SUM(Z15:Z28)</f>
        <v>41714.35</v>
      </c>
      <c r="AA29" s="410"/>
      <c r="AB29" s="411">
        <f t="shared" si="13"/>
        <v>3791.1999999999971</v>
      </c>
      <c r="AC29" s="412">
        <f t="shared" si="14"/>
        <v>9.9970598433938032E-2</v>
      </c>
      <c r="AD29" s="306"/>
      <c r="AE29" s="407"/>
      <c r="AF29" s="500"/>
      <c r="AG29" s="409">
        <f>SUM(AG15:AG28)</f>
        <v>44678.75</v>
      </c>
      <c r="AH29" s="410"/>
      <c r="AI29" s="411">
        <f t="shared" si="17"/>
        <v>2964.4000000000015</v>
      </c>
      <c r="AJ29" s="412">
        <f t="shared" si="18"/>
        <v>7.1064274044783188E-2</v>
      </c>
      <c r="AK29" s="306"/>
      <c r="AL29" s="407"/>
      <c r="AM29" s="500"/>
      <c r="AN29" s="409">
        <f>SUM(AN15:AN28)</f>
        <v>47498.75</v>
      </c>
      <c r="AO29" s="410"/>
      <c r="AP29" s="411">
        <f t="shared" si="21"/>
        <v>2820</v>
      </c>
      <c r="AQ29" s="412">
        <f t="shared" si="22"/>
        <v>6.3117253728002684E-2</v>
      </c>
      <c r="AR29" s="413"/>
    </row>
    <row r="30" spans="1:44" ht="12.75" customHeight="1">
      <c r="A30" s="52"/>
      <c r="B30" s="404" t="s">
        <v>234</v>
      </c>
      <c r="C30" s="395" t="str">
        <f t="shared" ref="C30:C38" si="23">D$6&amp;"."&amp;B30</f>
        <v>General Service 1,500 to 4,999 KW.DVA Disposition Rate Rider Group 1 -2025</v>
      </c>
      <c r="D30" s="396" t="s">
        <v>377</v>
      </c>
      <c r="E30" s="320"/>
      <c r="F30" s="414">
        <f>IFERROR(VLOOKUP($C30,'Proposed Rates'!$B:$J,F$11,FALSE),0)</f>
        <v>5.3600000000000002E-2</v>
      </c>
      <c r="G30" s="415">
        <f t="shared" ref="G30:G36" si="24">IF($D30="Monthly",1,IF($D30="per KW",$F$10,IF($D30="per kWh",$F$9,0)))</f>
        <v>4000</v>
      </c>
      <c r="H30" s="400">
        <f t="shared" ref="H30:H38" si="25">G30*F30</f>
        <v>214.4</v>
      </c>
      <c r="I30" s="128"/>
      <c r="J30" s="414">
        <f>IFERROR(VLOOKUP($C30,'Proposed Rates'!$B:$J,J$11,FALSE),0)</f>
        <v>-0.22459999999999999</v>
      </c>
      <c r="K30" s="415">
        <f t="shared" ref="K30:K36" si="26">IF($D30="Monthly",1,IF($D30="per KW",$F$10,IF($D30="per kWh",$F$9,0)))</f>
        <v>4000</v>
      </c>
      <c r="L30" s="400">
        <f t="shared" ref="L30:L38" si="27">K30*J30</f>
        <v>-898.4</v>
      </c>
      <c r="M30" s="128"/>
      <c r="N30" s="401">
        <f t="shared" si="5"/>
        <v>-1112.8</v>
      </c>
      <c r="O30" s="402">
        <f t="shared" si="6"/>
        <v>-5.1902985074626864</v>
      </c>
      <c r="P30" s="52"/>
      <c r="Q30" s="414">
        <f>IFERROR(VLOOKUP($C30,'Proposed Rates'!$B:$J,Q$11,FALSE),0)</f>
        <v>0</v>
      </c>
      <c r="R30" s="415">
        <f t="shared" ref="R30:R36" si="28">IF($D30="Monthly",1,IF($D30="per KW",$F$10,IF($D30="per kWh",$F$9,0)))</f>
        <v>4000</v>
      </c>
      <c r="S30" s="400">
        <f t="shared" ref="S30:S38" si="29">R30*Q30</f>
        <v>0</v>
      </c>
      <c r="T30" s="128"/>
      <c r="U30" s="401">
        <f t="shared" si="9"/>
        <v>898.4</v>
      </c>
      <c r="V30" s="402">
        <f t="shared" si="10"/>
        <v>-1</v>
      </c>
      <c r="W30" s="52"/>
      <c r="X30" s="414">
        <f>IFERROR(VLOOKUP($C30,'Proposed Rates'!$B:$J,X$11,FALSE),0)</f>
        <v>0</v>
      </c>
      <c r="Y30" s="415">
        <f t="shared" ref="Y30:Y36" si="30">IF($D30="Monthly",1,IF($D30="per KW",$F$10,IF($D30="per kWh",$F$9,0)))</f>
        <v>4000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4000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4000</v>
      </c>
      <c r="AN30" s="400">
        <f t="shared" ref="AN30:AN38" si="35">AM30*AL30</f>
        <v>0</v>
      </c>
      <c r="AO30" s="128"/>
      <c r="AP30" s="401">
        <f t="shared" si="21"/>
        <v>0</v>
      </c>
      <c r="AQ30" s="402" t="str">
        <f t="shared" si="22"/>
        <v/>
      </c>
      <c r="AR30" s="403"/>
    </row>
    <row r="31" spans="1:44" ht="12.75" customHeight="1">
      <c r="A31" s="52"/>
      <c r="B31" s="484" t="s">
        <v>236</v>
      </c>
      <c r="C31" s="395" t="str">
        <f t="shared" si="23"/>
        <v>General Service 1,500 to 4,999 KW.DVA Disposition Rate Rider Group 1 - 2024</v>
      </c>
      <c r="D31" s="396" t="s">
        <v>377</v>
      </c>
      <c r="E31" s="320"/>
      <c r="F31" s="414">
        <f>IFERROR(VLOOKUP($C31,'Proposed Rates'!$B:$J,F$11,FALSE),0)</f>
        <v>0</v>
      </c>
      <c r="G31" s="415">
        <f t="shared" si="24"/>
        <v>4000</v>
      </c>
      <c r="H31" s="400">
        <f t="shared" si="25"/>
        <v>0</v>
      </c>
      <c r="I31" s="128"/>
      <c r="J31" s="414">
        <f>IFERROR(VLOOKUP($C31,'Proposed Rates'!$B:$J,J$11,FALSE),0)</f>
        <v>0</v>
      </c>
      <c r="K31" s="415">
        <f t="shared" si="26"/>
        <v>4000</v>
      </c>
      <c r="L31" s="400">
        <f t="shared" si="27"/>
        <v>0</v>
      </c>
      <c r="M31" s="128"/>
      <c r="N31" s="401">
        <f t="shared" si="5"/>
        <v>0</v>
      </c>
      <c r="O31" s="402" t="str">
        <f t="shared" si="6"/>
        <v/>
      </c>
      <c r="P31" s="52"/>
      <c r="Q31" s="414">
        <f>IFERROR(VLOOKUP($C31,'Proposed Rates'!$B:$J,Q$11,FALSE),0)</f>
        <v>0</v>
      </c>
      <c r="R31" s="415">
        <f t="shared" si="28"/>
        <v>4000</v>
      </c>
      <c r="S31" s="400">
        <f t="shared" si="29"/>
        <v>0</v>
      </c>
      <c r="T31" s="128"/>
      <c r="U31" s="401">
        <f t="shared" si="9"/>
        <v>0</v>
      </c>
      <c r="V31" s="402" t="str">
        <f t="shared" si="10"/>
        <v/>
      </c>
      <c r="W31" s="52"/>
      <c r="X31" s="414">
        <f>IFERROR(VLOOKUP($C31,'Proposed Rates'!$B:$J,X$11,FALSE),0)</f>
        <v>0</v>
      </c>
      <c r="Y31" s="415">
        <f t="shared" si="30"/>
        <v>4000</v>
      </c>
      <c r="Z31" s="400">
        <f t="shared" si="31"/>
        <v>0</v>
      </c>
      <c r="AA31" s="128"/>
      <c r="AB31" s="401">
        <f t="shared" si="13"/>
        <v>0</v>
      </c>
      <c r="AC31" s="402" t="str">
        <f t="shared" si="14"/>
        <v/>
      </c>
      <c r="AD31" s="52"/>
      <c r="AE31" s="414">
        <f>IFERROR(VLOOKUP($C31,'Proposed Rates'!$B:$J,AE$11,FALSE),0)</f>
        <v>0</v>
      </c>
      <c r="AF31" s="415">
        <f t="shared" si="32"/>
        <v>4000</v>
      </c>
      <c r="AG31" s="400">
        <f t="shared" si="33"/>
        <v>0</v>
      </c>
      <c r="AH31" s="128"/>
      <c r="AI31" s="401">
        <f t="shared" si="17"/>
        <v>0</v>
      </c>
      <c r="AJ31" s="402" t="str">
        <f t="shared" si="18"/>
        <v/>
      </c>
      <c r="AK31" s="52"/>
      <c r="AL31" s="414">
        <f>IFERROR(VLOOKUP($C31,'Proposed Rates'!$B:$J,AL$11,FALSE),0)</f>
        <v>0</v>
      </c>
      <c r="AM31" s="415">
        <f t="shared" si="34"/>
        <v>4000</v>
      </c>
      <c r="AN31" s="400">
        <f t="shared" si="35"/>
        <v>0</v>
      </c>
      <c r="AO31" s="128"/>
      <c r="AP31" s="401">
        <f t="shared" si="21"/>
        <v>0</v>
      </c>
      <c r="AQ31" s="402" t="str">
        <f t="shared" si="22"/>
        <v/>
      </c>
      <c r="AR31" s="403"/>
    </row>
    <row r="32" spans="1:44" ht="12.75" customHeight="1">
      <c r="A32" s="52"/>
      <c r="B32" s="484" t="s">
        <v>244</v>
      </c>
      <c r="C32" s="395" t="str">
        <f t="shared" si="23"/>
        <v>General Service 1,500 to 4,999 KW.CBR Class B Rate Riders</v>
      </c>
      <c r="D32" s="396" t="s">
        <v>308</v>
      </c>
      <c r="E32" s="320"/>
      <c r="F32" s="414">
        <f>IFERROR(VLOOKUP($C32,'Proposed Rates'!$B:$J,F$11,FALSE),0)</f>
        <v>2.0000000000000001E-4</v>
      </c>
      <c r="G32" s="415">
        <f t="shared" si="24"/>
        <v>1277500</v>
      </c>
      <c r="H32" s="400">
        <f t="shared" si="25"/>
        <v>255.5</v>
      </c>
      <c r="I32" s="485"/>
      <c r="J32" s="414">
        <f>IFERROR(VLOOKUP($C32,'Proposed Rates'!$B:$J,J$11,FALSE),0)</f>
        <v>4.0000000000000002E-4</v>
      </c>
      <c r="K32" s="415">
        <f t="shared" si="26"/>
        <v>1277500</v>
      </c>
      <c r="L32" s="400">
        <f t="shared" si="27"/>
        <v>511</v>
      </c>
      <c r="M32" s="417"/>
      <c r="N32" s="401">
        <f t="shared" si="5"/>
        <v>255.5</v>
      </c>
      <c r="O32" s="402">
        <f t="shared" si="6"/>
        <v>1</v>
      </c>
      <c r="P32" s="52"/>
      <c r="Q32" s="414">
        <f>IFERROR(VLOOKUP($C32,'Proposed Rates'!$B:$J,Q$11,FALSE),0)</f>
        <v>0</v>
      </c>
      <c r="R32" s="415">
        <f t="shared" si="28"/>
        <v>1277500</v>
      </c>
      <c r="S32" s="400">
        <f t="shared" si="29"/>
        <v>0</v>
      </c>
      <c r="T32" s="417"/>
      <c r="U32" s="401">
        <f t="shared" si="9"/>
        <v>-511</v>
      </c>
      <c r="V32" s="402">
        <f t="shared" si="10"/>
        <v>-1</v>
      </c>
      <c r="W32" s="52"/>
      <c r="X32" s="414">
        <f>IFERROR(VLOOKUP($C32,'Proposed Rates'!$B:$J,X$11,FALSE),0)</f>
        <v>0</v>
      </c>
      <c r="Y32" s="415">
        <f t="shared" si="30"/>
        <v>1277500</v>
      </c>
      <c r="Z32" s="400">
        <f t="shared" si="31"/>
        <v>0</v>
      </c>
      <c r="AA32" s="128"/>
      <c r="AB32" s="401">
        <f t="shared" si="13"/>
        <v>0</v>
      </c>
      <c r="AC32" s="402" t="str">
        <f t="shared" si="14"/>
        <v/>
      </c>
      <c r="AD32" s="52"/>
      <c r="AE32" s="414">
        <f>IFERROR(VLOOKUP($C32,'Proposed Rates'!$B:$J,AE$11,FALSE),0)</f>
        <v>0</v>
      </c>
      <c r="AF32" s="415">
        <f t="shared" si="32"/>
        <v>1277500</v>
      </c>
      <c r="AG32" s="400">
        <f t="shared" si="33"/>
        <v>0</v>
      </c>
      <c r="AH32" s="128"/>
      <c r="AI32" s="401">
        <f t="shared" si="17"/>
        <v>0</v>
      </c>
      <c r="AJ32" s="402" t="str">
        <f t="shared" si="18"/>
        <v/>
      </c>
      <c r="AK32" s="52"/>
      <c r="AL32" s="414">
        <f>IFERROR(VLOOKUP($C32,'Proposed Rates'!$B:$J,AL$11,FALSE),0)</f>
        <v>0</v>
      </c>
      <c r="AM32" s="415">
        <f t="shared" si="34"/>
        <v>1277500</v>
      </c>
      <c r="AN32" s="400">
        <f t="shared" si="35"/>
        <v>0</v>
      </c>
      <c r="AO32" s="417"/>
      <c r="AP32" s="401">
        <f t="shared" si="21"/>
        <v>0</v>
      </c>
      <c r="AQ32" s="402" t="str">
        <f t="shared" si="22"/>
        <v/>
      </c>
      <c r="AR32" s="403"/>
    </row>
    <row r="33" spans="1:44" ht="12.75" customHeight="1">
      <c r="A33" s="52"/>
      <c r="B33" s="484" t="s">
        <v>249</v>
      </c>
      <c r="C33" s="395" t="str">
        <f t="shared" si="23"/>
        <v>General Service 1,500 to 4,999 KW.GA Rate Riders</v>
      </c>
      <c r="D33" s="396" t="s">
        <v>308</v>
      </c>
      <c r="E33" s="320"/>
      <c r="F33" s="414">
        <f>IFERROR(VLOOKUP($C33,'Proposed Rates'!$B:$J,F$11,FALSE),0)</f>
        <v>3.8999999999999998E-3</v>
      </c>
      <c r="G33" s="415">
        <f t="shared" si="24"/>
        <v>1277500</v>
      </c>
      <c r="H33" s="400">
        <f t="shared" si="25"/>
        <v>4982.25</v>
      </c>
      <c r="I33" s="485"/>
      <c r="J33" s="414">
        <f>IFERROR(VLOOKUP($C33,'Proposed Rates'!$B:$J,J$11,FALSE),0)</f>
        <v>4.4999999999999997E-3</v>
      </c>
      <c r="K33" s="415">
        <f t="shared" si="26"/>
        <v>1277500</v>
      </c>
      <c r="L33" s="400">
        <f t="shared" si="27"/>
        <v>5748.75</v>
      </c>
      <c r="M33" s="417"/>
      <c r="N33" s="401">
        <f t="shared" si="5"/>
        <v>766.5</v>
      </c>
      <c r="O33" s="402">
        <f t="shared" si="6"/>
        <v>0.15384615384615385</v>
      </c>
      <c r="P33" s="52"/>
      <c r="Q33" s="414">
        <f>IFERROR(VLOOKUP($C33,'Proposed Rates'!$B:$J,Q$11,FALSE),0)</f>
        <v>0</v>
      </c>
      <c r="R33" s="415">
        <f t="shared" si="28"/>
        <v>1277500</v>
      </c>
      <c r="S33" s="400">
        <f t="shared" si="29"/>
        <v>0</v>
      </c>
      <c r="T33" s="417"/>
      <c r="U33" s="401">
        <f t="shared" si="9"/>
        <v>-5748.75</v>
      </c>
      <c r="V33" s="402">
        <f t="shared" si="10"/>
        <v>-1</v>
      </c>
      <c r="W33" s="52"/>
      <c r="X33" s="414">
        <f>IFERROR(VLOOKUP($C33,'Proposed Rates'!$B:$J,X$11,FALSE),0)</f>
        <v>0</v>
      </c>
      <c r="Y33" s="415">
        <f t="shared" si="30"/>
        <v>1277500</v>
      </c>
      <c r="Z33" s="400">
        <f t="shared" si="31"/>
        <v>0</v>
      </c>
      <c r="AA33" s="417"/>
      <c r="AB33" s="401">
        <f t="shared" si="13"/>
        <v>0</v>
      </c>
      <c r="AC33" s="402" t="str">
        <f t="shared" si="14"/>
        <v/>
      </c>
      <c r="AD33" s="52"/>
      <c r="AE33" s="414">
        <f>IFERROR(VLOOKUP($C33,'Proposed Rates'!$B:$J,AE$11,FALSE),0)</f>
        <v>0</v>
      </c>
      <c r="AF33" s="415">
        <f t="shared" si="32"/>
        <v>1277500</v>
      </c>
      <c r="AG33" s="400">
        <f t="shared" si="33"/>
        <v>0</v>
      </c>
      <c r="AH33" s="417"/>
      <c r="AI33" s="401">
        <f t="shared" si="17"/>
        <v>0</v>
      </c>
      <c r="AJ33" s="402" t="str">
        <f t="shared" si="18"/>
        <v/>
      </c>
      <c r="AK33" s="52"/>
      <c r="AL33" s="414">
        <f>IFERROR(VLOOKUP($C33,'Proposed Rates'!$B:$J,AL$11,FALSE),0)</f>
        <v>0</v>
      </c>
      <c r="AM33" s="415">
        <f t="shared" si="34"/>
        <v>1277500</v>
      </c>
      <c r="AN33" s="400">
        <f t="shared" si="35"/>
        <v>0</v>
      </c>
      <c r="AO33" s="417"/>
      <c r="AP33" s="401">
        <f t="shared" si="21"/>
        <v>0</v>
      </c>
      <c r="AQ33" s="402" t="str">
        <f t="shared" si="22"/>
        <v/>
      </c>
      <c r="AR33" s="403"/>
    </row>
    <row r="34" spans="1:44" ht="12.75" customHeight="1">
      <c r="A34" s="52"/>
      <c r="B34" s="484" t="s">
        <v>252</v>
      </c>
      <c r="C34" s="395" t="str">
        <f t="shared" si="23"/>
        <v>General Service 1,500 to 4,999 KW.Total Deferral/Variance Account Rate RidersYr2</v>
      </c>
      <c r="D34" s="396" t="s">
        <v>377</v>
      </c>
      <c r="E34" s="320"/>
      <c r="F34" s="414">
        <f>IFERROR(VLOOKUP($C34,'Proposed Rates'!$B:$J,F$11,FALSE),0)</f>
        <v>0</v>
      </c>
      <c r="G34" s="415">
        <f t="shared" si="24"/>
        <v>4000</v>
      </c>
      <c r="H34" s="400">
        <f t="shared" si="25"/>
        <v>0</v>
      </c>
      <c r="I34" s="485"/>
      <c r="J34" s="414">
        <f>IFERROR(VLOOKUP($C34,'Proposed Rates'!$B:$J,J$11,FALSE),0)</f>
        <v>0</v>
      </c>
      <c r="K34" s="415">
        <f t="shared" si="26"/>
        <v>4000</v>
      </c>
      <c r="L34" s="400">
        <f t="shared" si="27"/>
        <v>0</v>
      </c>
      <c r="M34" s="417"/>
      <c r="N34" s="401">
        <f t="shared" si="5"/>
        <v>0</v>
      </c>
      <c r="O34" s="402" t="str">
        <f t="shared" si="6"/>
        <v/>
      </c>
      <c r="P34" s="52"/>
      <c r="Q34" s="414">
        <f>IFERROR(VLOOKUP($C34,'Proposed Rates'!$B:$J,Q$11,FALSE),0)</f>
        <v>0</v>
      </c>
      <c r="R34" s="415">
        <f t="shared" si="28"/>
        <v>4000</v>
      </c>
      <c r="S34" s="400">
        <f t="shared" si="29"/>
        <v>0</v>
      </c>
      <c r="T34" s="417"/>
      <c r="U34" s="401">
        <f t="shared" si="9"/>
        <v>0</v>
      </c>
      <c r="V34" s="402" t="str">
        <f t="shared" si="10"/>
        <v/>
      </c>
      <c r="W34" s="52"/>
      <c r="X34" s="414">
        <f>IFERROR(VLOOKUP($C34,'Proposed Rates'!$B:$J,X$11,FALSE),0)</f>
        <v>0</v>
      </c>
      <c r="Y34" s="415">
        <f t="shared" si="30"/>
        <v>4000</v>
      </c>
      <c r="Z34" s="400">
        <f t="shared" si="31"/>
        <v>0</v>
      </c>
      <c r="AA34" s="417"/>
      <c r="AB34" s="401">
        <f t="shared" si="13"/>
        <v>0</v>
      </c>
      <c r="AC34" s="402" t="str">
        <f t="shared" si="14"/>
        <v/>
      </c>
      <c r="AD34" s="52"/>
      <c r="AE34" s="414">
        <f>IFERROR(VLOOKUP($C34,'Proposed Rates'!$B:$J,AE$11,FALSE),0)</f>
        <v>0</v>
      </c>
      <c r="AF34" s="415">
        <f t="shared" si="32"/>
        <v>4000</v>
      </c>
      <c r="AG34" s="400">
        <f t="shared" si="33"/>
        <v>0</v>
      </c>
      <c r="AH34" s="417"/>
      <c r="AI34" s="401">
        <f t="shared" si="17"/>
        <v>0</v>
      </c>
      <c r="AJ34" s="402" t="str">
        <f t="shared" si="18"/>
        <v/>
      </c>
      <c r="AK34" s="52"/>
      <c r="AL34" s="414">
        <f>IFERROR(VLOOKUP($C34,'Proposed Rates'!$B:$J,AL$11,FALSE),0)</f>
        <v>0</v>
      </c>
      <c r="AM34" s="415">
        <f t="shared" si="34"/>
        <v>4000</v>
      </c>
      <c r="AN34" s="400">
        <f t="shared" si="35"/>
        <v>0</v>
      </c>
      <c r="AO34" s="417"/>
      <c r="AP34" s="401">
        <f t="shared" si="21"/>
        <v>0</v>
      </c>
      <c r="AQ34" s="402" t="str">
        <f t="shared" si="22"/>
        <v/>
      </c>
      <c r="AR34" s="403"/>
    </row>
    <row r="35" spans="1:44" ht="12.75" customHeight="1">
      <c r="A35" s="52"/>
      <c r="B35" s="484" t="s">
        <v>254</v>
      </c>
      <c r="C35" s="395" t="str">
        <f t="shared" si="23"/>
        <v>General Service 1,500 to 4,999 KW.Total Deferral/Variance Account Rate Riders</v>
      </c>
      <c r="D35" s="396" t="s">
        <v>377</v>
      </c>
      <c r="E35" s="320"/>
      <c r="F35" s="414">
        <f>IFERROR(VLOOKUP($C35,'Proposed Rates'!$B:$J,F$11,FALSE),0)</f>
        <v>0</v>
      </c>
      <c r="G35" s="415">
        <f t="shared" si="24"/>
        <v>4000</v>
      </c>
      <c r="H35" s="400">
        <f t="shared" si="25"/>
        <v>0</v>
      </c>
      <c r="I35" s="128"/>
      <c r="J35" s="414">
        <f>IFERROR(VLOOKUP($C35,'Proposed Rates'!$B:$J,J$11,FALSE),0)</f>
        <v>0</v>
      </c>
      <c r="K35" s="415">
        <f t="shared" si="26"/>
        <v>4000</v>
      </c>
      <c r="L35" s="400">
        <f t="shared" si="27"/>
        <v>0</v>
      </c>
      <c r="M35" s="128"/>
      <c r="N35" s="401">
        <f t="shared" si="5"/>
        <v>0</v>
      </c>
      <c r="O35" s="402" t="str">
        <f t="shared" si="6"/>
        <v/>
      </c>
      <c r="P35" s="52"/>
      <c r="Q35" s="414">
        <f>IFERROR(VLOOKUP($C35,'Proposed Rates'!$B:$J,Q$11,FALSE),0)</f>
        <v>0</v>
      </c>
      <c r="R35" s="415">
        <f t="shared" si="28"/>
        <v>4000</v>
      </c>
      <c r="S35" s="400">
        <f t="shared" si="29"/>
        <v>0</v>
      </c>
      <c r="T35" s="128"/>
      <c r="U35" s="401">
        <f t="shared" si="9"/>
        <v>0</v>
      </c>
      <c r="V35" s="402" t="str">
        <f t="shared" si="10"/>
        <v/>
      </c>
      <c r="W35" s="52"/>
      <c r="X35" s="414">
        <f>IFERROR(VLOOKUP($C35,'Proposed Rates'!$B:$J,X$11,FALSE),0)</f>
        <v>0</v>
      </c>
      <c r="Y35" s="415">
        <f t="shared" si="30"/>
        <v>4000</v>
      </c>
      <c r="Z35" s="400">
        <f t="shared" si="31"/>
        <v>0</v>
      </c>
      <c r="AA35" s="128"/>
      <c r="AB35" s="401">
        <f t="shared" si="13"/>
        <v>0</v>
      </c>
      <c r="AC35" s="402" t="str">
        <f t="shared" si="14"/>
        <v/>
      </c>
      <c r="AD35" s="52"/>
      <c r="AE35" s="414">
        <f>IFERROR(VLOOKUP($C35,'Proposed Rates'!$B:$J,AE$11,FALSE),0)</f>
        <v>0</v>
      </c>
      <c r="AF35" s="415">
        <f t="shared" si="32"/>
        <v>4000</v>
      </c>
      <c r="AG35" s="400">
        <f t="shared" si="33"/>
        <v>0</v>
      </c>
      <c r="AH35" s="128"/>
      <c r="AI35" s="401">
        <f t="shared" si="17"/>
        <v>0</v>
      </c>
      <c r="AJ35" s="402" t="str">
        <f t="shared" si="18"/>
        <v/>
      </c>
      <c r="AK35" s="52"/>
      <c r="AL35" s="414">
        <f>IFERROR(VLOOKUP($C35,'Proposed Rates'!$B:$J,AL$11,FALSE),0)</f>
        <v>0</v>
      </c>
      <c r="AM35" s="415">
        <f t="shared" si="34"/>
        <v>4000</v>
      </c>
      <c r="AN35" s="400">
        <f t="shared" si="35"/>
        <v>0</v>
      </c>
      <c r="AO35" s="128"/>
      <c r="AP35" s="401">
        <f t="shared" si="21"/>
        <v>0</v>
      </c>
      <c r="AQ35" s="402" t="str">
        <f t="shared" si="22"/>
        <v/>
      </c>
      <c r="AR35" s="403"/>
    </row>
    <row r="36" spans="1:44" ht="12.75" customHeight="1">
      <c r="A36" s="52"/>
      <c r="B36" s="320" t="s">
        <v>269</v>
      </c>
      <c r="C36" s="395" t="str">
        <f t="shared" si="23"/>
        <v>General Service 1,500 to 4,999 KW.Low Voltage Service Charge</v>
      </c>
      <c r="D36" s="396" t="s">
        <v>377</v>
      </c>
      <c r="E36" s="320"/>
      <c r="F36" s="418">
        <f>IFERROR(VLOOKUP($C36,'Proposed Rates'!$B:$J,F$11,FALSE),0)</f>
        <v>2.2040000000000001E-2</v>
      </c>
      <c r="G36" s="415">
        <f t="shared" si="24"/>
        <v>4000</v>
      </c>
      <c r="H36" s="400">
        <f t="shared" si="25"/>
        <v>88.16</v>
      </c>
      <c r="I36" s="128"/>
      <c r="J36" s="418">
        <f>IFERROR(VLOOKUP($C36,'Proposed Rates'!$B:$J,J$11,FALSE),0)</f>
        <v>2.315E-2</v>
      </c>
      <c r="K36" s="415">
        <f t="shared" si="26"/>
        <v>4000</v>
      </c>
      <c r="L36" s="400">
        <f t="shared" si="27"/>
        <v>92.600000000000009</v>
      </c>
      <c r="M36" s="128"/>
      <c r="N36" s="401">
        <f t="shared" si="5"/>
        <v>4.4400000000000119</v>
      </c>
      <c r="O36" s="402">
        <f t="shared" si="6"/>
        <v>5.0362976406533713E-2</v>
      </c>
      <c r="P36" s="52"/>
      <c r="Q36" s="418">
        <f>IFERROR(VLOOKUP($C36,'Proposed Rates'!$B:$J,Q$11,FALSE),0)</f>
        <v>2.375E-2</v>
      </c>
      <c r="R36" s="415">
        <f t="shared" si="28"/>
        <v>4000</v>
      </c>
      <c r="S36" s="400">
        <f t="shared" si="29"/>
        <v>95</v>
      </c>
      <c r="T36" s="128"/>
      <c r="U36" s="401">
        <f t="shared" si="9"/>
        <v>2.3999999999999915</v>
      </c>
      <c r="V36" s="402">
        <f t="shared" si="10"/>
        <v>2.5917926565874636E-2</v>
      </c>
      <c r="W36" s="52"/>
      <c r="X36" s="418">
        <f>IFERROR(VLOOKUP($C36,'Proposed Rates'!$B:$J,X$11,FALSE),0)</f>
        <v>2.4060000000000002E-2</v>
      </c>
      <c r="Y36" s="415">
        <f t="shared" si="30"/>
        <v>4000</v>
      </c>
      <c r="Z36" s="400">
        <f t="shared" si="31"/>
        <v>96.240000000000009</v>
      </c>
      <c r="AA36" s="128"/>
      <c r="AB36" s="401">
        <f t="shared" si="13"/>
        <v>1.2400000000000091</v>
      </c>
      <c r="AC36" s="402">
        <f t="shared" si="14"/>
        <v>1.3052631578947465E-2</v>
      </c>
      <c r="AD36" s="52"/>
      <c r="AE36" s="418">
        <f>IFERROR(VLOOKUP($C36,'Proposed Rates'!$B:$J,AE$11,FALSE),0)</f>
        <v>2.4459999999999999E-2</v>
      </c>
      <c r="AF36" s="415">
        <f t="shared" si="32"/>
        <v>4000</v>
      </c>
      <c r="AG36" s="400">
        <f t="shared" si="33"/>
        <v>97.84</v>
      </c>
      <c r="AH36" s="128"/>
      <c r="AI36" s="401">
        <f t="shared" si="17"/>
        <v>1.5999999999999943</v>
      </c>
      <c r="AJ36" s="402">
        <f t="shared" si="18"/>
        <v>1.6625103906899356E-2</v>
      </c>
      <c r="AK36" s="52"/>
      <c r="AL36" s="418">
        <f>IFERROR(VLOOKUP($C36,'Proposed Rates'!$B:$J,AL$11,FALSE),0)</f>
        <v>2.4879999999999999E-2</v>
      </c>
      <c r="AM36" s="415">
        <f t="shared" si="34"/>
        <v>4000</v>
      </c>
      <c r="AN36" s="400">
        <f t="shared" si="35"/>
        <v>99.52</v>
      </c>
      <c r="AO36" s="128"/>
      <c r="AP36" s="401">
        <f t="shared" si="21"/>
        <v>1.6799999999999926</v>
      </c>
      <c r="AQ36" s="402">
        <f t="shared" si="22"/>
        <v>1.7170891251022002E-2</v>
      </c>
      <c r="AR36" s="403"/>
    </row>
    <row r="37" spans="1:44" ht="12.75" customHeight="1">
      <c r="A37" s="52"/>
      <c r="B37" s="320" t="s">
        <v>312</v>
      </c>
      <c r="C37" s="395" t="str">
        <f t="shared" si="23"/>
        <v>General Service 1,500 to 4,999 KW.Line Losses on Cost of Power</v>
      </c>
      <c r="D37" s="396" t="s">
        <v>308</v>
      </c>
      <c r="E37" s="320"/>
      <c r="F37" s="558"/>
      <c r="G37" s="507">
        <f>$F$9*(1+F65)-$F$9</f>
        <v>43179.5</v>
      </c>
      <c r="H37" s="400">
        <f t="shared" si="25"/>
        <v>0</v>
      </c>
      <c r="I37" s="128"/>
      <c r="J37" s="558"/>
      <c r="K37" s="507">
        <f>$F$9*(1+J65)-$F$9</f>
        <v>42412.999999999767</v>
      </c>
      <c r="L37" s="400">
        <f t="shared" si="27"/>
        <v>0</v>
      </c>
      <c r="M37" s="128"/>
      <c r="N37" s="401">
        <f t="shared" si="5"/>
        <v>0</v>
      </c>
      <c r="O37" s="402" t="str">
        <f t="shared" si="6"/>
        <v/>
      </c>
      <c r="P37" s="52"/>
      <c r="Q37" s="558"/>
      <c r="R37" s="507">
        <f>$F$9*(1+Q65)-$F$9</f>
        <v>42412.999999999767</v>
      </c>
      <c r="S37" s="400">
        <f t="shared" si="29"/>
        <v>0</v>
      </c>
      <c r="T37" s="128"/>
      <c r="U37" s="401">
        <f t="shared" si="9"/>
        <v>0</v>
      </c>
      <c r="V37" s="402" t="str">
        <f t="shared" si="10"/>
        <v/>
      </c>
      <c r="W37" s="52"/>
      <c r="X37" s="558"/>
      <c r="Y37" s="507">
        <f>$F$9*(1+X65)-$F$9</f>
        <v>42412.999999999767</v>
      </c>
      <c r="Z37" s="400">
        <f t="shared" si="31"/>
        <v>0</v>
      </c>
      <c r="AA37" s="128"/>
      <c r="AB37" s="401">
        <f t="shared" si="13"/>
        <v>0</v>
      </c>
      <c r="AC37" s="402" t="str">
        <f t="shared" si="14"/>
        <v/>
      </c>
      <c r="AD37" s="52"/>
      <c r="AE37" s="558"/>
      <c r="AF37" s="507">
        <f>$F$9*(1+AE65)-$F$9</f>
        <v>42412.999999999767</v>
      </c>
      <c r="AG37" s="400">
        <f t="shared" si="33"/>
        <v>0</v>
      </c>
      <c r="AH37" s="128"/>
      <c r="AI37" s="401">
        <f t="shared" si="17"/>
        <v>0</v>
      </c>
      <c r="AJ37" s="402" t="str">
        <f t="shared" si="18"/>
        <v/>
      </c>
      <c r="AK37" s="52"/>
      <c r="AL37" s="558"/>
      <c r="AM37" s="507">
        <f>$F$9*(1+AL65)-$F$9</f>
        <v>42412.999999999767</v>
      </c>
      <c r="AN37" s="400">
        <f t="shared" si="35"/>
        <v>0</v>
      </c>
      <c r="AO37" s="128"/>
      <c r="AP37" s="401">
        <f t="shared" si="21"/>
        <v>0</v>
      </c>
      <c r="AQ37" s="402" t="str">
        <f t="shared" si="22"/>
        <v/>
      </c>
      <c r="AR37" s="403"/>
    </row>
    <row r="38" spans="1:44" ht="12.75" customHeight="1">
      <c r="A38" s="52"/>
      <c r="B38" s="320" t="s">
        <v>271</v>
      </c>
      <c r="C38" s="395" t="str">
        <f t="shared" si="23"/>
        <v>General Service 1,500 to 4,999 KW.Smart Meter Entity Charge</v>
      </c>
      <c r="D38" s="396" t="s">
        <v>306</v>
      </c>
      <c r="E38" s="320"/>
      <c r="F38" s="418">
        <f>IFERROR(VLOOKUP($C38,'Proposed Rates'!$B:$J,F$11,FALSE),0)</f>
        <v>0</v>
      </c>
      <c r="G38" s="415">
        <f>IF($D38="Monthly",1,IF($D38="per KW",$F$10,IF($D38="per kWh",$F$9,0)))</f>
        <v>1</v>
      </c>
      <c r="H38" s="400">
        <f t="shared" si="25"/>
        <v>0</v>
      </c>
      <c r="I38" s="128"/>
      <c r="J38" s="418">
        <f>IFERROR(VLOOKUP($C38,'Proposed Rates'!$B:$J,J$11,FALSE),0)</f>
        <v>0</v>
      </c>
      <c r="K38" s="415">
        <f>IF($D38="Monthly",1,IF($D38="per KW",$F$10,IF($D38="per kWh",$F$9,0)))</f>
        <v>1</v>
      </c>
      <c r="L38" s="400">
        <f t="shared" si="27"/>
        <v>0</v>
      </c>
      <c r="M38" s="128"/>
      <c r="N38" s="401">
        <f t="shared" si="5"/>
        <v>0</v>
      </c>
      <c r="O38" s="402" t="str">
        <f t="shared" si="6"/>
        <v/>
      </c>
      <c r="P38" s="52"/>
      <c r="Q38" s="418">
        <f>IFERROR(VLOOKUP($C38,'Proposed Rates'!$B:$J,Q$11,FALSE),0)</f>
        <v>0</v>
      </c>
      <c r="R38" s="415">
        <f>IF($D38="Monthly",1,IF($D38="per KW",$F$10,IF($D38="per kWh",$F$9,0)))</f>
        <v>1</v>
      </c>
      <c r="S38" s="400">
        <f t="shared" si="29"/>
        <v>0</v>
      </c>
      <c r="T38" s="128"/>
      <c r="U38" s="401">
        <f t="shared" si="9"/>
        <v>0</v>
      </c>
      <c r="V38" s="402" t="str">
        <f t="shared" si="10"/>
        <v/>
      </c>
      <c r="W38" s="52"/>
      <c r="X38" s="418">
        <f>IFERROR(VLOOKUP($C38,'Proposed Rates'!$B:$J,X$11,FALSE),0)</f>
        <v>0</v>
      </c>
      <c r="Y38" s="415">
        <f>IF($D38="Monthly",1,IF($D38="per KW",$F$10,IF($D38="per kWh",$F$9,0)))</f>
        <v>1</v>
      </c>
      <c r="Z38" s="400">
        <f t="shared" si="31"/>
        <v>0</v>
      </c>
      <c r="AA38" s="128"/>
      <c r="AB38" s="401">
        <f t="shared" si="13"/>
        <v>0</v>
      </c>
      <c r="AC38" s="402" t="str">
        <f t="shared" si="14"/>
        <v/>
      </c>
      <c r="AD38" s="52"/>
      <c r="AE38" s="418">
        <f>IFERROR(VLOOKUP($C38,'Proposed Rates'!$B:$J,AE$11,FALSE),0)</f>
        <v>0</v>
      </c>
      <c r="AF38" s="415">
        <f>IF($D38="Monthly",1,IF($D38="per KW",$F$10,IF($D38="per kWh",$F$9,0)))</f>
        <v>1</v>
      </c>
      <c r="AG38" s="400">
        <f t="shared" si="33"/>
        <v>0</v>
      </c>
      <c r="AH38" s="128"/>
      <c r="AI38" s="401">
        <f t="shared" si="17"/>
        <v>0</v>
      </c>
      <c r="AJ38" s="402" t="str">
        <f t="shared" si="18"/>
        <v/>
      </c>
      <c r="AK38" s="52"/>
      <c r="AL38" s="418">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559"/>
      <c r="D39" s="422"/>
      <c r="E39" s="422"/>
      <c r="F39" s="423"/>
      <c r="G39" s="501"/>
      <c r="H39" s="409">
        <f>SUM(H30:H38)+H29</f>
        <v>34793.86</v>
      </c>
      <c r="I39" s="425"/>
      <c r="J39" s="423"/>
      <c r="K39" s="501"/>
      <c r="L39" s="409">
        <f>SUM(L30:L38)+L29</f>
        <v>38365.899999999994</v>
      </c>
      <c r="M39" s="425"/>
      <c r="N39" s="411">
        <f t="shared" si="5"/>
        <v>3572.0399999999936</v>
      </c>
      <c r="O39" s="412">
        <f t="shared" si="6"/>
        <v>0.10266294110512583</v>
      </c>
      <c r="P39" s="52"/>
      <c r="Q39" s="423"/>
      <c r="R39" s="501"/>
      <c r="S39" s="409">
        <f>SUM(S30:S38)+S29</f>
        <v>38018.15</v>
      </c>
      <c r="T39" s="425"/>
      <c r="U39" s="411">
        <f t="shared" si="9"/>
        <v>-347.74999999999272</v>
      </c>
      <c r="V39" s="412">
        <f t="shared" si="10"/>
        <v>-9.0640386384782529E-3</v>
      </c>
      <c r="W39" s="52"/>
      <c r="X39" s="423"/>
      <c r="Y39" s="501"/>
      <c r="Z39" s="409">
        <f>SUM(Z30:Z38)+Z29</f>
        <v>41810.589999999997</v>
      </c>
      <c r="AA39" s="425"/>
      <c r="AB39" s="411">
        <f t="shared" si="13"/>
        <v>3792.4399999999951</v>
      </c>
      <c r="AC39" s="412">
        <f t="shared" si="14"/>
        <v>9.9753407254166621E-2</v>
      </c>
      <c r="AD39" s="52"/>
      <c r="AE39" s="423"/>
      <c r="AF39" s="501"/>
      <c r="AG39" s="409">
        <f>SUM(AG30:AG38)+AG29</f>
        <v>44776.59</v>
      </c>
      <c r="AH39" s="425"/>
      <c r="AI39" s="411">
        <f t="shared" si="17"/>
        <v>2966</v>
      </c>
      <c r="AJ39" s="412">
        <f t="shared" si="18"/>
        <v>7.0938965463056142E-2</v>
      </c>
      <c r="AK39" s="52"/>
      <c r="AL39" s="423"/>
      <c r="AM39" s="501"/>
      <c r="AN39" s="409">
        <f>SUM(AN30:AN38)+AN29</f>
        <v>47598.27</v>
      </c>
      <c r="AO39" s="425"/>
      <c r="AP39" s="411">
        <f t="shared" si="21"/>
        <v>2821.6800000000003</v>
      </c>
      <c r="AQ39" s="412">
        <f t="shared" si="22"/>
        <v>6.3016857692825654E-2</v>
      </c>
      <c r="AR39" s="413"/>
    </row>
    <row r="40" spans="1:44" ht="12.75" customHeight="1">
      <c r="A40" s="52"/>
      <c r="B40" s="128" t="s">
        <v>255</v>
      </c>
      <c r="C40" s="395" t="str">
        <f t="shared" ref="C40:C41" si="36">D$6&amp;"."&amp;B40</f>
        <v>General Service 1,500 to 4,999 KW.RTSR - Network</v>
      </c>
      <c r="D40" s="426" t="s">
        <v>377</v>
      </c>
      <c r="E40" s="128"/>
      <c r="F40" s="414">
        <f>IFERROR(VLOOKUP($C40,'Proposed Rates'!$B:$J,F$11,FALSE),0)</f>
        <v>5.0336999999999996</v>
      </c>
      <c r="G40" s="415">
        <f t="shared" ref="G40:G41" si="37">IF($D40="Monthly",1,IF($D40="per KW",$F$10,IF($D40="per kWh",$F$9,0)))</f>
        <v>4000</v>
      </c>
      <c r="H40" s="400">
        <f t="shared" ref="H40:H41" si="38">G40*F40</f>
        <v>20134.8</v>
      </c>
      <c r="I40" s="128"/>
      <c r="J40" s="414">
        <f>IFERROR(VLOOKUP($C40,'Proposed Rates'!$B:$J,J$11,FALSE),0)</f>
        <v>4.5423999999999998</v>
      </c>
      <c r="K40" s="415">
        <f t="shared" ref="K40:K41" si="39">IF($D40="Monthly",1,IF($D40="per KW",$F$10,IF($D40="per kWh",$F$9,0)))</f>
        <v>4000</v>
      </c>
      <c r="L40" s="400">
        <f t="shared" ref="L40:L41" si="40">K40*J40</f>
        <v>18169.599999999999</v>
      </c>
      <c r="M40" s="128"/>
      <c r="N40" s="401">
        <f t="shared" si="5"/>
        <v>-1965.2000000000007</v>
      </c>
      <c r="O40" s="402">
        <f t="shared" si="6"/>
        <v>-9.7602161431948706E-2</v>
      </c>
      <c r="P40" s="52"/>
      <c r="Q40" s="414">
        <f>IFERROR(VLOOKUP($C40,'Proposed Rates'!$B:$J,Q$11,FALSE),0)</f>
        <v>4.5423999999999998</v>
      </c>
      <c r="R40" s="415">
        <f t="shared" ref="R40:R41" si="41">IF($D40="Monthly",1,IF($D40="per KW",$F$10,IF($D40="per kWh",$F$9,0)))</f>
        <v>4000</v>
      </c>
      <c r="S40" s="400">
        <f t="shared" ref="S40:S41" si="42">R40*Q40</f>
        <v>18169.599999999999</v>
      </c>
      <c r="T40" s="128"/>
      <c r="U40" s="401">
        <f t="shared" si="9"/>
        <v>0</v>
      </c>
      <c r="V40" s="402">
        <f t="shared" si="10"/>
        <v>0</v>
      </c>
      <c r="W40" s="52"/>
      <c r="X40" s="414">
        <f>IFERROR(VLOOKUP($C40,'Proposed Rates'!$B:$J,X$11,FALSE),0)</f>
        <v>4.5423999999999998</v>
      </c>
      <c r="Y40" s="415">
        <f t="shared" ref="Y40:Y41" si="43">IF($D40="Monthly",1,IF($D40="per KW",$F$10,IF($D40="per kWh",$F$9,0)))</f>
        <v>4000</v>
      </c>
      <c r="Z40" s="400">
        <f t="shared" ref="Z40:Z41" si="44">Y40*X40</f>
        <v>18169.599999999999</v>
      </c>
      <c r="AA40" s="128"/>
      <c r="AB40" s="401">
        <f t="shared" si="13"/>
        <v>0</v>
      </c>
      <c r="AC40" s="402">
        <f t="shared" si="14"/>
        <v>0</v>
      </c>
      <c r="AD40" s="52"/>
      <c r="AE40" s="414">
        <f>IFERROR(VLOOKUP($C40,'Proposed Rates'!$B:$J,AE$11,FALSE),0)</f>
        <v>4.5423999999999998</v>
      </c>
      <c r="AF40" s="415">
        <f t="shared" ref="AF40:AF41" si="45">IF($D40="Monthly",1,IF($D40="per KW",$F$10,IF($D40="per kWh",$F$9,0)))</f>
        <v>4000</v>
      </c>
      <c r="AG40" s="400">
        <f t="shared" ref="AG40:AG41" si="46">AF40*AE40</f>
        <v>18169.599999999999</v>
      </c>
      <c r="AH40" s="128"/>
      <c r="AI40" s="401">
        <f t="shared" si="17"/>
        <v>0</v>
      </c>
      <c r="AJ40" s="402">
        <f t="shared" si="18"/>
        <v>0</v>
      </c>
      <c r="AK40" s="52"/>
      <c r="AL40" s="414">
        <f>IFERROR(VLOOKUP($C40,'Proposed Rates'!$B:$J,AL$11,FALSE),0)</f>
        <v>4.5423999999999998</v>
      </c>
      <c r="AM40" s="415">
        <f t="shared" ref="AM40:AM41" si="47">IF($D40="Monthly",1,IF($D40="per KW",$F$10,IF($D40="per kWh",$F$9,0)))</f>
        <v>4000</v>
      </c>
      <c r="AN40" s="400">
        <f t="shared" ref="AN40:AN41" si="48">AM40*AL40</f>
        <v>18169.599999999999</v>
      </c>
      <c r="AO40" s="128"/>
      <c r="AP40" s="401">
        <f t="shared" si="21"/>
        <v>0</v>
      </c>
      <c r="AQ40" s="402">
        <f t="shared" si="22"/>
        <v>0</v>
      </c>
      <c r="AR40" s="403"/>
    </row>
    <row r="41" spans="1:44" ht="12.75" customHeight="1">
      <c r="A41" s="52"/>
      <c r="B41" s="487" t="s">
        <v>256</v>
      </c>
      <c r="C41" s="395" t="str">
        <f t="shared" si="36"/>
        <v>General Service 1,500 to 4,999 KW.RTSR - Line and Transformation Connection</v>
      </c>
      <c r="D41" s="426" t="s">
        <v>377</v>
      </c>
      <c r="E41" s="128"/>
      <c r="F41" s="414">
        <f>IFERROR(VLOOKUP($C41,'Proposed Rates'!$B:$J,F$11,FALSE),0)</f>
        <v>3.0125999999999999</v>
      </c>
      <c r="G41" s="415">
        <f t="shared" si="37"/>
        <v>4000</v>
      </c>
      <c r="H41" s="400">
        <f t="shared" si="38"/>
        <v>12050.4</v>
      </c>
      <c r="I41" s="128"/>
      <c r="J41" s="414">
        <f>IFERROR(VLOOKUP($C41,'Proposed Rates'!$B:$J,J$11,FALSE),0)</f>
        <v>2.5712000000000002</v>
      </c>
      <c r="K41" s="415">
        <f t="shared" si="39"/>
        <v>4000</v>
      </c>
      <c r="L41" s="400">
        <f t="shared" si="40"/>
        <v>10284.800000000001</v>
      </c>
      <c r="M41" s="128"/>
      <c r="N41" s="401">
        <f t="shared" si="5"/>
        <v>-1765.5999999999985</v>
      </c>
      <c r="O41" s="402">
        <f t="shared" si="6"/>
        <v>-0.14651795791011074</v>
      </c>
      <c r="P41" s="52"/>
      <c r="Q41" s="414">
        <f>IFERROR(VLOOKUP($C41,'Proposed Rates'!$B:$J,Q$11,FALSE),0)</f>
        <v>2.5712000000000002</v>
      </c>
      <c r="R41" s="415">
        <f t="shared" si="41"/>
        <v>4000</v>
      </c>
      <c r="S41" s="400">
        <f t="shared" si="42"/>
        <v>10284.800000000001</v>
      </c>
      <c r="T41" s="128"/>
      <c r="U41" s="401">
        <f t="shared" si="9"/>
        <v>0</v>
      </c>
      <c r="V41" s="402">
        <f t="shared" si="10"/>
        <v>0</v>
      </c>
      <c r="W41" s="52"/>
      <c r="X41" s="414">
        <f>IFERROR(VLOOKUP($C41,'Proposed Rates'!$B:$J,X$11,FALSE),0)</f>
        <v>2.5712000000000002</v>
      </c>
      <c r="Y41" s="415">
        <f t="shared" si="43"/>
        <v>4000</v>
      </c>
      <c r="Z41" s="400">
        <f t="shared" si="44"/>
        <v>10284.800000000001</v>
      </c>
      <c r="AA41" s="128"/>
      <c r="AB41" s="401">
        <f t="shared" si="13"/>
        <v>0</v>
      </c>
      <c r="AC41" s="402">
        <f t="shared" si="14"/>
        <v>0</v>
      </c>
      <c r="AD41" s="52"/>
      <c r="AE41" s="414">
        <f>IFERROR(VLOOKUP($C41,'Proposed Rates'!$B:$J,AE$11,FALSE),0)</f>
        <v>2.5712000000000002</v>
      </c>
      <c r="AF41" s="415">
        <f t="shared" si="45"/>
        <v>4000</v>
      </c>
      <c r="AG41" s="400">
        <f t="shared" si="46"/>
        <v>10284.800000000001</v>
      </c>
      <c r="AH41" s="128"/>
      <c r="AI41" s="401">
        <f t="shared" si="17"/>
        <v>0</v>
      </c>
      <c r="AJ41" s="402">
        <f t="shared" si="18"/>
        <v>0</v>
      </c>
      <c r="AK41" s="52"/>
      <c r="AL41" s="414">
        <f>IFERROR(VLOOKUP($C41,'Proposed Rates'!$B:$J,AL$11,FALSE),0)</f>
        <v>2.5712000000000002</v>
      </c>
      <c r="AM41" s="415">
        <f t="shared" si="47"/>
        <v>4000</v>
      </c>
      <c r="AN41" s="400">
        <f t="shared" si="48"/>
        <v>10284.800000000001</v>
      </c>
      <c r="AO41" s="128"/>
      <c r="AP41" s="401">
        <f t="shared" si="21"/>
        <v>0</v>
      </c>
      <c r="AQ41" s="402">
        <f t="shared" si="22"/>
        <v>0</v>
      </c>
      <c r="AR41" s="403"/>
    </row>
    <row r="42" spans="1:44" ht="12.75" customHeight="1">
      <c r="A42" s="52"/>
      <c r="B42" s="486" t="s">
        <v>314</v>
      </c>
      <c r="C42" s="560"/>
      <c r="D42" s="427"/>
      <c r="E42" s="427"/>
      <c r="F42" s="428"/>
      <c r="G42" s="501"/>
      <c r="H42" s="409">
        <f>SUM(H39:H41)</f>
        <v>66979.06</v>
      </c>
      <c r="I42" s="410"/>
      <c r="J42" s="428"/>
      <c r="K42" s="501"/>
      <c r="L42" s="409">
        <f>SUM(L39:L41)</f>
        <v>66820.299999999988</v>
      </c>
      <c r="M42" s="410"/>
      <c r="N42" s="411">
        <f t="shared" si="5"/>
        <v>-158.76000000000931</v>
      </c>
      <c r="O42" s="412">
        <f t="shared" si="6"/>
        <v>-2.370293043826075E-3</v>
      </c>
      <c r="P42" s="52"/>
      <c r="Q42" s="428"/>
      <c r="R42" s="501"/>
      <c r="S42" s="409">
        <f>SUM(S39:S41)</f>
        <v>66472.55</v>
      </c>
      <c r="T42" s="410"/>
      <c r="U42" s="411">
        <f t="shared" si="9"/>
        <v>-347.74999999998545</v>
      </c>
      <c r="V42" s="412">
        <f t="shared" si="10"/>
        <v>-5.2042567902267052E-3</v>
      </c>
      <c r="W42" s="52"/>
      <c r="X42" s="428"/>
      <c r="Y42" s="501"/>
      <c r="Z42" s="409">
        <f>SUM(Z39:Z41)</f>
        <v>70264.989999999991</v>
      </c>
      <c r="AA42" s="410"/>
      <c r="AB42" s="411">
        <f t="shared" si="13"/>
        <v>3792.4399999999878</v>
      </c>
      <c r="AC42" s="412">
        <f t="shared" si="14"/>
        <v>5.7052723266972423E-2</v>
      </c>
      <c r="AD42" s="52"/>
      <c r="AE42" s="428"/>
      <c r="AF42" s="501"/>
      <c r="AG42" s="409">
        <f>SUM(AG39:AG41)</f>
        <v>73230.989999999991</v>
      </c>
      <c r="AH42" s="410"/>
      <c r="AI42" s="411">
        <f t="shared" si="17"/>
        <v>2966</v>
      </c>
      <c r="AJ42" s="412">
        <f t="shared" si="18"/>
        <v>4.2211633418008036E-2</v>
      </c>
      <c r="AK42" s="52"/>
      <c r="AL42" s="428"/>
      <c r="AM42" s="501"/>
      <c r="AN42" s="409">
        <f>SUM(AN39:AN41)</f>
        <v>76052.67</v>
      </c>
      <c r="AO42" s="410"/>
      <c r="AP42" s="411">
        <f t="shared" si="21"/>
        <v>2821.6800000000076</v>
      </c>
      <c r="AQ42" s="412">
        <f t="shared" si="22"/>
        <v>3.8531228377494391E-2</v>
      </c>
      <c r="AR42" s="413"/>
    </row>
    <row r="43" spans="1:44" ht="12.75" customHeight="1">
      <c r="A43" s="52"/>
      <c r="B43" s="488" t="s">
        <v>257</v>
      </c>
      <c r="C43" s="395" t="str">
        <f t="shared" ref="C43:C44" si="49">D$6&amp;"."&amp;B43</f>
        <v>General Service 1,500 to 4,999 KW.Wholesale Market Service Charge (WMSC)</v>
      </c>
      <c r="D43" s="396" t="s">
        <v>308</v>
      </c>
      <c r="E43" s="320"/>
      <c r="F43" s="414">
        <f>IFERROR(VLOOKUP($C43,'Proposed Rates'!$B:$J,F$11,FALSE),0)</f>
        <v>4.4999999999999997E-3</v>
      </c>
      <c r="G43" s="508">
        <f t="shared" ref="G43:G44" si="50">$F$9+G$37</f>
        <v>1320679.5</v>
      </c>
      <c r="H43" s="400">
        <f t="shared" ref="H43:H46" si="51">G43*F43</f>
        <v>5943.0577499999999</v>
      </c>
      <c r="I43" s="128"/>
      <c r="J43" s="414">
        <f>IFERROR(VLOOKUP($C43,'Proposed Rates'!$B:$J,J$11,FALSE),0)</f>
        <v>4.4999999999999997E-3</v>
      </c>
      <c r="K43" s="508">
        <f t="shared" ref="K43:K44" si="52">$F$9+K$37</f>
        <v>1319912.9999999998</v>
      </c>
      <c r="L43" s="400">
        <f t="shared" ref="L43:L46" si="53">K43*J43</f>
        <v>5939.6084999999985</v>
      </c>
      <c r="M43" s="128"/>
      <c r="N43" s="401">
        <f t="shared" si="5"/>
        <v>-3.4492500000014843</v>
      </c>
      <c r="O43" s="402">
        <f t="shared" si="6"/>
        <v>-5.8038305281510761E-4</v>
      </c>
      <c r="P43" s="52"/>
      <c r="Q43" s="414">
        <f>IFERROR(VLOOKUP($C43,'Proposed Rates'!$B:$J,Q$11,FALSE),0)</f>
        <v>4.4999999999999997E-3</v>
      </c>
      <c r="R43" s="508">
        <f t="shared" ref="R43:R44" si="54">$F$9+R$37</f>
        <v>1319912.9999999998</v>
      </c>
      <c r="S43" s="400">
        <f t="shared" ref="S43:S46" si="55">R43*Q43</f>
        <v>5939.6084999999985</v>
      </c>
      <c r="T43" s="128"/>
      <c r="U43" s="401">
        <f t="shared" si="9"/>
        <v>0</v>
      </c>
      <c r="V43" s="402">
        <f t="shared" si="10"/>
        <v>0</v>
      </c>
      <c r="W43" s="52"/>
      <c r="X43" s="414">
        <f>IFERROR(VLOOKUP($C43,'Proposed Rates'!$B:$J,X$11,FALSE),0)</f>
        <v>4.4999999999999997E-3</v>
      </c>
      <c r="Y43" s="508">
        <f t="shared" ref="Y43:Y44" si="56">$F$9+Y$37</f>
        <v>1319912.9999999998</v>
      </c>
      <c r="Z43" s="400">
        <f t="shared" ref="Z43:Z46" si="57">Y43*X43</f>
        <v>5939.6084999999985</v>
      </c>
      <c r="AA43" s="128"/>
      <c r="AB43" s="401">
        <f t="shared" si="13"/>
        <v>0</v>
      </c>
      <c r="AC43" s="402">
        <f t="shared" si="14"/>
        <v>0</v>
      </c>
      <c r="AD43" s="52"/>
      <c r="AE43" s="414">
        <f>IFERROR(VLOOKUP($C43,'Proposed Rates'!$B:$J,AE$11,FALSE),0)</f>
        <v>4.4999999999999997E-3</v>
      </c>
      <c r="AF43" s="508">
        <f t="shared" ref="AF43:AF44" si="58">$F$9+AF$37</f>
        <v>1319912.9999999998</v>
      </c>
      <c r="AG43" s="400">
        <f t="shared" ref="AG43:AG46" si="59">AF43*AE43</f>
        <v>5939.6084999999985</v>
      </c>
      <c r="AH43" s="128"/>
      <c r="AI43" s="401">
        <f t="shared" si="17"/>
        <v>0</v>
      </c>
      <c r="AJ43" s="402">
        <f t="shared" si="18"/>
        <v>0</v>
      </c>
      <c r="AK43" s="52"/>
      <c r="AL43" s="414">
        <f>IFERROR(VLOOKUP($C43,'Proposed Rates'!$B:$J,AL$11,FALSE),0)</f>
        <v>4.4999999999999997E-3</v>
      </c>
      <c r="AM43" s="508">
        <f t="shared" ref="AM43:AM44" si="60">$F$9+AM$37</f>
        <v>1319912.9999999998</v>
      </c>
      <c r="AN43" s="400">
        <f t="shared" ref="AN43:AN46" si="61">AM43*AL43</f>
        <v>5939.6084999999985</v>
      </c>
      <c r="AO43" s="128"/>
      <c r="AP43" s="401">
        <f t="shared" si="21"/>
        <v>0</v>
      </c>
      <c r="AQ43" s="402">
        <f t="shared" si="22"/>
        <v>0</v>
      </c>
      <c r="AR43" s="403"/>
    </row>
    <row r="44" spans="1:44" ht="12.75" customHeight="1">
      <c r="A44" s="52"/>
      <c r="B44" s="488" t="s">
        <v>258</v>
      </c>
      <c r="C44" s="395" t="str">
        <f t="shared" si="49"/>
        <v>General Service 1,500 to 4,999 KW.Rural and Remote Rate Protection (RRRP)</v>
      </c>
      <c r="D44" s="396" t="s">
        <v>308</v>
      </c>
      <c r="E44" s="320"/>
      <c r="F44" s="414">
        <f>IFERROR(VLOOKUP($C44,'Proposed Rates'!$B:$J,F$11,FALSE),0)</f>
        <v>1.5E-3</v>
      </c>
      <c r="G44" s="508">
        <f t="shared" si="50"/>
        <v>1320679.5</v>
      </c>
      <c r="H44" s="400">
        <f t="shared" si="51"/>
        <v>1981.0192500000001</v>
      </c>
      <c r="I44" s="128"/>
      <c r="J44" s="414">
        <f>IFERROR(VLOOKUP($C44,'Proposed Rates'!$B:$J,J$11,FALSE),0)</f>
        <v>1.5E-3</v>
      </c>
      <c r="K44" s="508">
        <f t="shared" si="52"/>
        <v>1319912.9999999998</v>
      </c>
      <c r="L44" s="400">
        <f t="shared" si="53"/>
        <v>1979.8694999999998</v>
      </c>
      <c r="M44" s="128"/>
      <c r="N44" s="401">
        <f t="shared" si="5"/>
        <v>-1.1497500000002674</v>
      </c>
      <c r="O44" s="402">
        <f t="shared" si="6"/>
        <v>-5.8038305281499279E-4</v>
      </c>
      <c r="P44" s="52"/>
      <c r="Q44" s="414">
        <f>IFERROR(VLOOKUP($C44,'Proposed Rates'!$B:$J,Q$11,FALSE),0)</f>
        <v>1.5E-3</v>
      </c>
      <c r="R44" s="508">
        <f t="shared" si="54"/>
        <v>1319912.9999999998</v>
      </c>
      <c r="S44" s="400">
        <f t="shared" si="55"/>
        <v>1979.8694999999998</v>
      </c>
      <c r="T44" s="128"/>
      <c r="U44" s="401">
        <f t="shared" si="9"/>
        <v>0</v>
      </c>
      <c r="V44" s="402">
        <f t="shared" si="10"/>
        <v>0</v>
      </c>
      <c r="W44" s="52"/>
      <c r="X44" s="414">
        <f>IFERROR(VLOOKUP($C44,'Proposed Rates'!$B:$J,X$11,FALSE),0)</f>
        <v>1.5E-3</v>
      </c>
      <c r="Y44" s="508">
        <f t="shared" si="56"/>
        <v>1319912.9999999998</v>
      </c>
      <c r="Z44" s="400">
        <f t="shared" si="57"/>
        <v>1979.8694999999998</v>
      </c>
      <c r="AA44" s="128"/>
      <c r="AB44" s="401">
        <f t="shared" si="13"/>
        <v>0</v>
      </c>
      <c r="AC44" s="402">
        <f t="shared" si="14"/>
        <v>0</v>
      </c>
      <c r="AD44" s="52"/>
      <c r="AE44" s="414">
        <f>IFERROR(VLOOKUP($C44,'Proposed Rates'!$B:$J,AE$11,FALSE),0)</f>
        <v>1.5E-3</v>
      </c>
      <c r="AF44" s="508">
        <f t="shared" si="58"/>
        <v>1319912.9999999998</v>
      </c>
      <c r="AG44" s="400">
        <f t="shared" si="59"/>
        <v>1979.8694999999998</v>
      </c>
      <c r="AH44" s="128"/>
      <c r="AI44" s="401">
        <f t="shared" si="17"/>
        <v>0</v>
      </c>
      <c r="AJ44" s="402">
        <f t="shared" si="18"/>
        <v>0</v>
      </c>
      <c r="AK44" s="52"/>
      <c r="AL44" s="414">
        <f>IFERROR(VLOOKUP($C44,'Proposed Rates'!$B:$J,AL$11,FALSE),0)</f>
        <v>1.5E-3</v>
      </c>
      <c r="AM44" s="508">
        <f t="shared" si="60"/>
        <v>1319912.9999999998</v>
      </c>
      <c r="AN44" s="400">
        <f t="shared" si="61"/>
        <v>1979.8694999999998</v>
      </c>
      <c r="AO44" s="128"/>
      <c r="AP44" s="401">
        <f t="shared" si="21"/>
        <v>0</v>
      </c>
      <c r="AQ44" s="402">
        <f t="shared" si="22"/>
        <v>0</v>
      </c>
      <c r="AR44" s="403"/>
    </row>
    <row r="45" spans="1:44" ht="12.75" customHeight="1">
      <c r="A45" s="52"/>
      <c r="B45" s="320" t="s">
        <v>260</v>
      </c>
      <c r="C45" s="564"/>
      <c r="D45" s="396" t="s">
        <v>306</v>
      </c>
      <c r="E45" s="320"/>
      <c r="F45" s="414">
        <f>IFERROR(VLOOKUP($C47,'Proposed Rates'!$B:$J,F$11,FALSE),0)</f>
        <v>0.25</v>
      </c>
      <c r="G45" s="415">
        <f>IF($D45="Monthly",1,IF($D45="per KW",$F$10,IF($D45="per kWh",$F$9,0)))</f>
        <v>1</v>
      </c>
      <c r="H45" s="400">
        <f t="shared" si="51"/>
        <v>0.25</v>
      </c>
      <c r="I45" s="128"/>
      <c r="J45" s="414">
        <f>IFERROR(VLOOKUP($C47,'Proposed Rates'!$B:$J,J$11,FALSE),0)</f>
        <v>1.51</v>
      </c>
      <c r="K45" s="415">
        <f>IF($D45="Monthly",1,IF($D45="per KW",$F$10,IF($D45="per kWh",$F$9,0)))</f>
        <v>1</v>
      </c>
      <c r="L45" s="400">
        <f t="shared" si="53"/>
        <v>1.51</v>
      </c>
      <c r="M45" s="128"/>
      <c r="N45" s="401">
        <f t="shared" si="5"/>
        <v>1.26</v>
      </c>
      <c r="O45" s="402">
        <f t="shared" si="6"/>
        <v>5.04</v>
      </c>
      <c r="P45" s="52"/>
      <c r="Q45" s="414">
        <f>IFERROR(VLOOKUP($C47,'Proposed Rates'!$B:$J,Q$11,FALSE),0)</f>
        <v>1.54</v>
      </c>
      <c r="R45" s="415">
        <f>IF($D45="Monthly",1,IF($D45="per KW",$F$10,IF($D45="per kWh",$F$9,0)))</f>
        <v>1</v>
      </c>
      <c r="S45" s="400">
        <f t="shared" si="55"/>
        <v>1.54</v>
      </c>
      <c r="T45" s="128"/>
      <c r="U45" s="401">
        <f t="shared" si="9"/>
        <v>3.0000000000000027E-2</v>
      </c>
      <c r="V45" s="402">
        <f t="shared" si="10"/>
        <v>1.986754966887419E-2</v>
      </c>
      <c r="W45" s="52"/>
      <c r="X45" s="414">
        <f>IFERROR(VLOOKUP($C47,'Proposed Rates'!$B:$J,X$11,FALSE),0)</f>
        <v>1.57</v>
      </c>
      <c r="Y45" s="415">
        <f>IF($D45="Monthly",1,IF($D45="per KW",$F$10,IF($D45="per kWh",$F$9,0)))</f>
        <v>1</v>
      </c>
      <c r="Z45" s="400">
        <f t="shared" si="57"/>
        <v>1.57</v>
      </c>
      <c r="AA45" s="128"/>
      <c r="AB45" s="401">
        <f t="shared" si="13"/>
        <v>3.0000000000000027E-2</v>
      </c>
      <c r="AC45" s="402">
        <f t="shared" si="14"/>
        <v>1.9480519480519497E-2</v>
      </c>
      <c r="AD45" s="52"/>
      <c r="AE45" s="414">
        <f>IFERROR(VLOOKUP($C47,'Proposed Rates'!$B:$J,AE$11,FALSE),0)</f>
        <v>1.6</v>
      </c>
      <c r="AF45" s="415">
        <f>IF($D45="Monthly",1,IF($D45="per KW",$F$10,IF($D45="per kWh",$F$9,0)))</f>
        <v>1</v>
      </c>
      <c r="AG45" s="400">
        <f t="shared" si="59"/>
        <v>1.6</v>
      </c>
      <c r="AH45" s="128"/>
      <c r="AI45" s="401">
        <f t="shared" si="17"/>
        <v>3.0000000000000027E-2</v>
      </c>
      <c r="AJ45" s="402">
        <f t="shared" si="18"/>
        <v>1.9108280254777087E-2</v>
      </c>
      <c r="AK45" s="52"/>
      <c r="AL45" s="414">
        <f>IFERROR(VLOOKUP($C47,'Proposed Rates'!$B:$J,AL$11,FALSE),0)</f>
        <v>1.63</v>
      </c>
      <c r="AM45" s="415">
        <f>IF($D45="Monthly",1,IF($D45="per KW",$F$10,IF($D45="per kWh",$F$9,0)))</f>
        <v>1</v>
      </c>
      <c r="AN45" s="400">
        <f t="shared" si="61"/>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508">
        <f>$F$9+G$37</f>
        <v>1320679.5</v>
      </c>
      <c r="H46" s="400">
        <f t="shared" si="51"/>
        <v>138011.00774999999</v>
      </c>
      <c r="I46" s="128"/>
      <c r="J46" s="414">
        <f>IFERROR(VLOOKUP($C46,'Proposed Rates'!$B:$J,J$11,FALSE),0)</f>
        <v>0.1045</v>
      </c>
      <c r="K46" s="508">
        <f>$F$9+K$37</f>
        <v>1319912.9999999998</v>
      </c>
      <c r="L46" s="400">
        <f t="shared" si="53"/>
        <v>137930.90849999996</v>
      </c>
      <c r="M46" s="128"/>
      <c r="N46" s="401">
        <f t="shared" si="5"/>
        <v>-80.099250000028405</v>
      </c>
      <c r="O46" s="402">
        <f t="shared" si="6"/>
        <v>-5.803830528150637E-4</v>
      </c>
      <c r="P46" s="52"/>
      <c r="Q46" s="414">
        <f>IFERROR(VLOOKUP($C46,'Proposed Rates'!$B:$J,Q$11,FALSE),0)</f>
        <v>0.1045</v>
      </c>
      <c r="R46" s="508">
        <f>$F$9+R$37</f>
        <v>1319912.9999999998</v>
      </c>
      <c r="S46" s="400">
        <f t="shared" si="55"/>
        <v>137930.90849999996</v>
      </c>
      <c r="T46" s="128"/>
      <c r="U46" s="401">
        <f t="shared" si="9"/>
        <v>0</v>
      </c>
      <c r="V46" s="402">
        <f t="shared" si="10"/>
        <v>0</v>
      </c>
      <c r="W46" s="52"/>
      <c r="X46" s="414">
        <f>IFERROR(VLOOKUP($C46,'Proposed Rates'!$B:$J,X$11,FALSE),0)</f>
        <v>0.1045</v>
      </c>
      <c r="Y46" s="508">
        <f>$F$9+Y$37</f>
        <v>1319912.9999999998</v>
      </c>
      <c r="Z46" s="400">
        <f t="shared" si="57"/>
        <v>137930.90849999996</v>
      </c>
      <c r="AA46" s="128"/>
      <c r="AB46" s="401">
        <f t="shared" si="13"/>
        <v>0</v>
      </c>
      <c r="AC46" s="402">
        <f t="shared" si="14"/>
        <v>0</v>
      </c>
      <c r="AD46" s="52"/>
      <c r="AE46" s="414">
        <f>IFERROR(VLOOKUP($C46,'Proposed Rates'!$B:$J,AE$11,FALSE),0)</f>
        <v>0.1045</v>
      </c>
      <c r="AF46" s="508">
        <f>$F$9+AF$37</f>
        <v>1319912.9999999998</v>
      </c>
      <c r="AG46" s="400">
        <f t="shared" si="59"/>
        <v>137930.90849999996</v>
      </c>
      <c r="AH46" s="128"/>
      <c r="AI46" s="401">
        <f t="shared" si="17"/>
        <v>0</v>
      </c>
      <c r="AJ46" s="402">
        <f t="shared" si="18"/>
        <v>0</v>
      </c>
      <c r="AK46" s="52"/>
      <c r="AL46" s="414">
        <f>IFERROR(VLOOKUP($C46,'Proposed Rates'!$B:$J,AL$11,FALSE),0)</f>
        <v>0.1045</v>
      </c>
      <c r="AM46" s="508">
        <f>$F$9+AM$37</f>
        <v>1319912.9999999998</v>
      </c>
      <c r="AN46" s="400">
        <f t="shared" si="61"/>
        <v>137930.90849999996</v>
      </c>
      <c r="AO46" s="128"/>
      <c r="AP46" s="401">
        <f t="shared" si="21"/>
        <v>0</v>
      </c>
      <c r="AQ46" s="402">
        <f t="shared" si="22"/>
        <v>0</v>
      </c>
      <c r="AR46" s="403"/>
    </row>
    <row r="47" spans="1:44" ht="7.5" customHeight="1">
      <c r="A47" s="52"/>
      <c r="B47" s="320"/>
      <c r="C47" s="395" t="str">
        <f t="shared" ref="C47:C50" si="62">D$6&amp;"."&amp;B45</f>
        <v>General Service 1,500 to 4,999 KW.Standard Supply Service Charge</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62"/>
        <v>General Service 1,500 to 4,999 KW.Average IESO Wholesale Market Price</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62"/>
        <v>General Service 1,500 to 4,999 KW.</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62"/>
        <v>General Service 1,500 to 4,999 KW.</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562"/>
      <c r="D52" s="320"/>
      <c r="E52" s="320"/>
      <c r="F52" s="445"/>
      <c r="G52" s="489"/>
      <c r="H52" s="447">
        <f>SUM(H43:H48,H42)</f>
        <v>212914.39474999998</v>
      </c>
      <c r="I52" s="482"/>
      <c r="J52" s="446"/>
      <c r="K52" s="446"/>
      <c r="L52" s="447">
        <f>SUM(L43:L48,L42)</f>
        <v>212672.19649999996</v>
      </c>
      <c r="M52" s="449"/>
      <c r="N52" s="448">
        <f t="shared" ref="N52:N56" si="63">L52-H52</f>
        <v>-242.19825000001583</v>
      </c>
      <c r="O52" s="450">
        <f t="shared" ref="O52:O56" si="64">IF((H52)=0,"",(N52/H52))</f>
        <v>-1.1375381654415634E-3</v>
      </c>
      <c r="P52" s="52"/>
      <c r="Q52" s="446"/>
      <c r="R52" s="446"/>
      <c r="S52" s="447">
        <f>SUM(S43:S48,S42)</f>
        <v>212324.47649999999</v>
      </c>
      <c r="T52" s="449"/>
      <c r="U52" s="448">
        <f t="shared" ref="U52:U56" si="65">S52-L52</f>
        <v>-347.71999999997206</v>
      </c>
      <c r="V52" s="450">
        <f t="shared" ref="V52:V56" si="66">IF((L52)=0,"",(U52/L52))</f>
        <v>-1.6350045079821806E-3</v>
      </c>
      <c r="W52" s="52"/>
      <c r="X52" s="446"/>
      <c r="Y52" s="446"/>
      <c r="Z52" s="447">
        <f>SUM(Z43:Z48,Z42)</f>
        <v>216116.94649999996</v>
      </c>
      <c r="AA52" s="449"/>
      <c r="AB52" s="448">
        <f t="shared" ref="AB52:AB56" si="67">Z52-S52</f>
        <v>3792.4699999999721</v>
      </c>
      <c r="AC52" s="450">
        <f t="shared" ref="AC52:AC56" si="68">IF((S52)=0,"",(AB52/S52))</f>
        <v>1.7861671261438256E-2</v>
      </c>
      <c r="AD52" s="52"/>
      <c r="AE52" s="446"/>
      <c r="AF52" s="446"/>
      <c r="AG52" s="447">
        <f>SUM(AG43:AG48,AG42)</f>
        <v>219082.97649999996</v>
      </c>
      <c r="AH52" s="449"/>
      <c r="AI52" s="448">
        <f t="shared" ref="AI52:AI56" si="69">AG52-Z52</f>
        <v>2966.0299999999988</v>
      </c>
      <c r="AJ52" s="450">
        <f t="shared" ref="AJ52:AJ56" si="70">IF((Z52)=0,"",(AI52/Z52))</f>
        <v>1.3724189833489062E-2</v>
      </c>
      <c r="AK52" s="52"/>
      <c r="AL52" s="446"/>
      <c r="AM52" s="446"/>
      <c r="AN52" s="447">
        <f>SUM(AN43:AN48,AN42)</f>
        <v>221904.68649999995</v>
      </c>
      <c r="AO52" s="449"/>
      <c r="AP52" s="448">
        <f t="shared" ref="AP52:AP56" si="71">AN52-AG52</f>
        <v>2821.7099999999919</v>
      </c>
      <c r="AQ52" s="450">
        <f t="shared" ref="AQ52:AQ56" si="72">IF((AG52)=0,"",(AP52/AG52))</f>
        <v>1.28796406050289E-2</v>
      </c>
      <c r="AR52" s="451"/>
    </row>
    <row r="53" spans="1:44" ht="12.75" customHeight="1">
      <c r="A53" s="52"/>
      <c r="B53" s="452" t="s">
        <v>316</v>
      </c>
      <c r="C53" s="562"/>
      <c r="D53" s="320"/>
      <c r="E53" s="320"/>
      <c r="F53" s="445">
        <v>0.13</v>
      </c>
      <c r="G53" s="128"/>
      <c r="H53" s="490">
        <f>H52*F53</f>
        <v>27678.871317499998</v>
      </c>
      <c r="I53" s="417"/>
      <c r="J53" s="453">
        <v>0.13</v>
      </c>
      <c r="K53" s="417"/>
      <c r="L53" s="400">
        <f>L52*J53</f>
        <v>27647.385544999997</v>
      </c>
      <c r="M53" s="128"/>
      <c r="N53" s="401">
        <f t="shared" si="63"/>
        <v>-31.485772500000166</v>
      </c>
      <c r="O53" s="402">
        <f t="shared" si="64"/>
        <v>-1.1375381654414951E-3</v>
      </c>
      <c r="P53" s="52"/>
      <c r="Q53" s="453">
        <v>0.13</v>
      </c>
      <c r="R53" s="417"/>
      <c r="S53" s="400">
        <f>S52*Q53</f>
        <v>27602.181945</v>
      </c>
      <c r="T53" s="128"/>
      <c r="U53" s="401">
        <f t="shared" si="65"/>
        <v>-45.203599999997095</v>
      </c>
      <c r="V53" s="402">
        <f t="shared" si="66"/>
        <v>-1.6350045079822067E-3</v>
      </c>
      <c r="W53" s="52"/>
      <c r="X53" s="453">
        <v>0.13</v>
      </c>
      <c r="Y53" s="417"/>
      <c r="Z53" s="400">
        <f>Z52*X53</f>
        <v>28095.203044999995</v>
      </c>
      <c r="AA53" s="128"/>
      <c r="AB53" s="401">
        <f t="shared" si="67"/>
        <v>493.02109999999448</v>
      </c>
      <c r="AC53" s="402">
        <f t="shared" si="68"/>
        <v>1.7861671261438186E-2</v>
      </c>
      <c r="AD53" s="52"/>
      <c r="AE53" s="453">
        <v>0.13</v>
      </c>
      <c r="AF53" s="417"/>
      <c r="AG53" s="400">
        <f>AG52*AE53</f>
        <v>28480.786944999996</v>
      </c>
      <c r="AH53" s="128"/>
      <c r="AI53" s="401">
        <f t="shared" si="69"/>
        <v>385.58390000000145</v>
      </c>
      <c r="AJ53" s="402">
        <f t="shared" si="70"/>
        <v>1.3724189833489119E-2</v>
      </c>
      <c r="AK53" s="52"/>
      <c r="AL53" s="453">
        <v>0.13</v>
      </c>
      <c r="AM53" s="417"/>
      <c r="AN53" s="400">
        <f>AN52*AL53</f>
        <v>28847.609244999996</v>
      </c>
      <c r="AO53" s="128"/>
      <c r="AP53" s="401">
        <f t="shared" si="71"/>
        <v>366.82229999999981</v>
      </c>
      <c r="AQ53" s="402">
        <f t="shared" si="72"/>
        <v>1.2879640605028931E-2</v>
      </c>
      <c r="AR53" s="403"/>
    </row>
    <row r="54" spans="1:44" ht="12.75" customHeight="1">
      <c r="A54" s="52"/>
      <c r="B54" s="491" t="s">
        <v>402</v>
      </c>
      <c r="C54" s="562"/>
      <c r="D54" s="320"/>
      <c r="E54" s="320"/>
      <c r="F54" s="455"/>
      <c r="G54" s="128"/>
      <c r="H54" s="490">
        <f>H52+H53</f>
        <v>240593.26606749996</v>
      </c>
      <c r="I54" s="417"/>
      <c r="J54" s="417"/>
      <c r="K54" s="417"/>
      <c r="L54" s="400">
        <f>L52+L53</f>
        <v>240319.58204499996</v>
      </c>
      <c r="M54" s="128"/>
      <c r="N54" s="401">
        <f t="shared" si="63"/>
        <v>-273.68402250000509</v>
      </c>
      <c r="O54" s="402">
        <f t="shared" si="64"/>
        <v>-1.1375381654415103E-3</v>
      </c>
      <c r="P54" s="52"/>
      <c r="Q54" s="417"/>
      <c r="R54" s="417"/>
      <c r="S54" s="400">
        <f>S52+S53</f>
        <v>239926.65844499998</v>
      </c>
      <c r="T54" s="128"/>
      <c r="U54" s="401">
        <f t="shared" si="65"/>
        <v>-392.92359999998007</v>
      </c>
      <c r="V54" s="402">
        <f t="shared" si="66"/>
        <v>-1.635004507982229E-3</v>
      </c>
      <c r="W54" s="52"/>
      <c r="X54" s="417"/>
      <c r="Y54" s="417"/>
      <c r="Z54" s="400">
        <f>Z52+Z53</f>
        <v>244212.14954499996</v>
      </c>
      <c r="AA54" s="128"/>
      <c r="AB54" s="401">
        <f t="shared" si="67"/>
        <v>4285.4910999999847</v>
      </c>
      <c r="AC54" s="402">
        <f t="shared" si="68"/>
        <v>1.7861671261438325E-2</v>
      </c>
      <c r="AD54" s="52"/>
      <c r="AE54" s="417"/>
      <c r="AF54" s="417"/>
      <c r="AG54" s="400">
        <f>AG52+AG53</f>
        <v>247563.76344499996</v>
      </c>
      <c r="AH54" s="128"/>
      <c r="AI54" s="401">
        <f t="shared" si="69"/>
        <v>3351.6138999999966</v>
      </c>
      <c r="AJ54" s="402">
        <f t="shared" si="70"/>
        <v>1.3724189833489053E-2</v>
      </c>
      <c r="AK54" s="52"/>
      <c r="AL54" s="417"/>
      <c r="AM54" s="417"/>
      <c r="AN54" s="400">
        <f>AN52+AN53</f>
        <v>250752.29574499995</v>
      </c>
      <c r="AO54" s="128"/>
      <c r="AP54" s="401">
        <f t="shared" si="71"/>
        <v>3188.5322999999917</v>
      </c>
      <c r="AQ54" s="402">
        <f t="shared" si="72"/>
        <v>1.2879640605028903E-2</v>
      </c>
      <c r="AR54" s="403"/>
    </row>
    <row r="55" spans="1:44" ht="15.75" customHeight="1">
      <c r="A55" s="52"/>
      <c r="B55" s="628"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row>
    <row r="56" spans="1:44" ht="13.5" customHeight="1">
      <c r="A56" s="52"/>
      <c r="B56" s="627" t="s">
        <v>318</v>
      </c>
      <c r="C56" s="613"/>
      <c r="D56" s="613"/>
      <c r="E56" s="461"/>
      <c r="F56" s="462"/>
      <c r="G56" s="493"/>
      <c r="H56" s="494">
        <f>H54-H55</f>
        <v>240593.26606749996</v>
      </c>
      <c r="I56" s="463"/>
      <c r="J56" s="463"/>
      <c r="K56" s="463"/>
      <c r="L56" s="464">
        <f>L54-L55</f>
        <v>240319.58204499996</v>
      </c>
      <c r="M56" s="465"/>
      <c r="N56" s="466">
        <f t="shared" si="63"/>
        <v>-273.68402250000509</v>
      </c>
      <c r="O56" s="467">
        <f t="shared" si="64"/>
        <v>-1.1375381654415103E-3</v>
      </c>
      <c r="P56" s="52"/>
      <c r="Q56" s="463"/>
      <c r="R56" s="463"/>
      <c r="S56" s="464">
        <f>S54-S55</f>
        <v>239926.65844499998</v>
      </c>
      <c r="T56" s="465"/>
      <c r="U56" s="466">
        <f t="shared" si="65"/>
        <v>-392.92359999998007</v>
      </c>
      <c r="V56" s="467">
        <f t="shared" si="66"/>
        <v>-1.635004507982229E-3</v>
      </c>
      <c r="W56" s="52"/>
      <c r="X56" s="463"/>
      <c r="Y56" s="463"/>
      <c r="Z56" s="464">
        <f>Z54-Z55</f>
        <v>244212.14954499996</v>
      </c>
      <c r="AA56" s="465"/>
      <c r="AB56" s="466">
        <f t="shared" si="67"/>
        <v>4285.4910999999847</v>
      </c>
      <c r="AC56" s="467">
        <f t="shared" si="68"/>
        <v>1.7861671261438325E-2</v>
      </c>
      <c r="AD56" s="52"/>
      <c r="AE56" s="463"/>
      <c r="AF56" s="463"/>
      <c r="AG56" s="464">
        <f>AG54-AG55</f>
        <v>247563.76344499996</v>
      </c>
      <c r="AH56" s="465"/>
      <c r="AI56" s="466">
        <f t="shared" si="69"/>
        <v>3351.6138999999966</v>
      </c>
      <c r="AJ56" s="467">
        <f t="shared" si="70"/>
        <v>1.3724189833489053E-2</v>
      </c>
      <c r="AK56" s="52"/>
      <c r="AL56" s="463"/>
      <c r="AM56" s="463"/>
      <c r="AN56" s="464">
        <f>AN54-AN55</f>
        <v>250752.29574499995</v>
      </c>
      <c r="AO56" s="465"/>
      <c r="AP56" s="466">
        <f t="shared" si="71"/>
        <v>3188.5322999999917</v>
      </c>
      <c r="AQ56" s="467">
        <f t="shared" si="72"/>
        <v>1.2879640605028903E-2</v>
      </c>
      <c r="AR56" s="468"/>
    </row>
    <row r="57" spans="1:44"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63"/>
      <c r="D58" s="515"/>
      <c r="E58" s="515"/>
      <c r="F58" s="516"/>
      <c r="G58" s="517"/>
      <c r="H58" s="518">
        <f>SUM(H49:H50,H42,H43:H45)</f>
        <v>74903.387000000002</v>
      </c>
      <c r="I58" s="519"/>
      <c r="J58" s="520"/>
      <c r="K58" s="520"/>
      <c r="L58" s="518">
        <f>SUM(L49:L50,L42,L43:L45)</f>
        <v>74741.287999999986</v>
      </c>
      <c r="M58" s="521"/>
      <c r="N58" s="522">
        <f t="shared" ref="N58:N62" si="73">L58-H58</f>
        <v>-162.09900000001653</v>
      </c>
      <c r="O58" s="523">
        <f t="shared" ref="O58:O62" si="74">IF((H58)=0,"",(N58/H58))</f>
        <v>-2.1641077458889346E-3</v>
      </c>
      <c r="P58" s="513"/>
      <c r="Q58" s="520"/>
      <c r="R58" s="520"/>
      <c r="S58" s="518">
        <f>SUM(S49:S50,S42,S43:S45)</f>
        <v>74393.567999999999</v>
      </c>
      <c r="T58" s="521"/>
      <c r="U58" s="522">
        <f t="shared" ref="U58:U62" si="75">S58-L58</f>
        <v>-347.71999999998661</v>
      </c>
      <c r="V58" s="523">
        <f t="shared" ref="V58:V62" si="76">IF((L58)=0,"",(U58/L58))</f>
        <v>-4.6523147955382666E-3</v>
      </c>
      <c r="W58" s="513"/>
      <c r="X58" s="520"/>
      <c r="Y58" s="520"/>
      <c r="Z58" s="518">
        <f>SUM(Z49:Z50,Z42,Z43:Z45)</f>
        <v>78186.038</v>
      </c>
      <c r="AA58" s="521"/>
      <c r="AB58" s="522">
        <f t="shared" ref="AB58:AB62" si="77">Z58-S58</f>
        <v>3792.4700000000012</v>
      </c>
      <c r="AC58" s="523">
        <f t="shared" ref="AC58:AC62" si="78">IF((S58)=0,"",(AB58/S58))</f>
        <v>5.0978466310420828E-2</v>
      </c>
      <c r="AD58" s="513"/>
      <c r="AE58" s="520"/>
      <c r="AF58" s="520"/>
      <c r="AG58" s="518">
        <f>SUM(AG49:AG50,AG42,AG43:AG45)</f>
        <v>81152.067999999999</v>
      </c>
      <c r="AH58" s="521"/>
      <c r="AI58" s="522">
        <f t="shared" ref="AI58:AI62" si="79">AG58-Z58</f>
        <v>2966.0299999999988</v>
      </c>
      <c r="AJ58" s="523">
        <f t="shared" ref="AJ58:AJ62" si="80">IF((Z58)=0,"",(AI58/Z58))</f>
        <v>3.7935545474244374E-2</v>
      </c>
      <c r="AK58" s="513"/>
      <c r="AL58" s="520"/>
      <c r="AM58" s="520"/>
      <c r="AN58" s="518">
        <f>SUM(AN49:AN50,AN42,AN43:AN45)</f>
        <v>83973.778000000006</v>
      </c>
      <c r="AO58" s="521"/>
      <c r="AP58" s="522">
        <f t="shared" ref="AP58:AP62" si="81">AN58-AG58</f>
        <v>2821.7100000000064</v>
      </c>
      <c r="AQ58" s="523">
        <f t="shared" ref="AQ58:AQ62" si="82">IF((AG58)=0,"",(AP58/AG58))</f>
        <v>3.4770648112134449E-2</v>
      </c>
      <c r="AR58" s="524"/>
    </row>
    <row r="59" spans="1:44" ht="12.75" customHeight="1">
      <c r="A59" s="513"/>
      <c r="B59" s="525" t="s">
        <v>316</v>
      </c>
      <c r="C59" s="563"/>
      <c r="D59" s="515"/>
      <c r="E59" s="515"/>
      <c r="F59" s="516">
        <v>0.13</v>
      </c>
      <c r="G59" s="517"/>
      <c r="H59" s="526">
        <f>H58*F59</f>
        <v>9737.44031</v>
      </c>
      <c r="I59" s="527"/>
      <c r="J59" s="516">
        <v>0.13</v>
      </c>
      <c r="K59" s="528"/>
      <c r="L59" s="529">
        <f>L58*J59</f>
        <v>9716.3674399999982</v>
      </c>
      <c r="M59" s="530"/>
      <c r="N59" s="531">
        <f t="shared" si="73"/>
        <v>-21.072870000001785</v>
      </c>
      <c r="O59" s="532">
        <f t="shared" si="74"/>
        <v>-2.1641077458888973E-3</v>
      </c>
      <c r="P59" s="513"/>
      <c r="Q59" s="516">
        <v>0.13</v>
      </c>
      <c r="R59" s="528"/>
      <c r="S59" s="529">
        <f>S58*Q59</f>
        <v>9671.1638400000011</v>
      </c>
      <c r="T59" s="530"/>
      <c r="U59" s="531">
        <f t="shared" si="75"/>
        <v>-45.203599999997095</v>
      </c>
      <c r="V59" s="532">
        <f t="shared" si="76"/>
        <v>-4.6523147955381469E-3</v>
      </c>
      <c r="W59" s="513"/>
      <c r="X59" s="516">
        <v>0.13</v>
      </c>
      <c r="Y59" s="528"/>
      <c r="Z59" s="529">
        <f>Z58*X59</f>
        <v>10164.184940000001</v>
      </c>
      <c r="AA59" s="530"/>
      <c r="AB59" s="531">
        <f t="shared" si="77"/>
        <v>493.02109999999993</v>
      </c>
      <c r="AC59" s="532">
        <f t="shared" si="78"/>
        <v>5.09784663104208E-2</v>
      </c>
      <c r="AD59" s="513"/>
      <c r="AE59" s="516">
        <v>0.13</v>
      </c>
      <c r="AF59" s="528"/>
      <c r="AG59" s="529">
        <f>AG58*AE59</f>
        <v>10549.768840000001</v>
      </c>
      <c r="AH59" s="530"/>
      <c r="AI59" s="531">
        <f t="shared" si="79"/>
        <v>385.58389999999963</v>
      </c>
      <c r="AJ59" s="532">
        <f t="shared" si="80"/>
        <v>3.7935545474244353E-2</v>
      </c>
      <c r="AK59" s="513"/>
      <c r="AL59" s="516">
        <v>0.13</v>
      </c>
      <c r="AM59" s="528"/>
      <c r="AN59" s="529">
        <f>AN58*AL59</f>
        <v>10916.59114</v>
      </c>
      <c r="AO59" s="530"/>
      <c r="AP59" s="531">
        <f t="shared" si="81"/>
        <v>366.82229999999981</v>
      </c>
      <c r="AQ59" s="532">
        <f t="shared" si="82"/>
        <v>3.4770648112134352E-2</v>
      </c>
      <c r="AR59" s="533"/>
    </row>
    <row r="60" spans="1:44" ht="12.75" customHeight="1">
      <c r="A60" s="513"/>
      <c r="B60" s="554" t="s">
        <v>403</v>
      </c>
      <c r="C60" s="563"/>
      <c r="D60" s="515"/>
      <c r="E60" s="515"/>
      <c r="F60" s="535"/>
      <c r="G60" s="530"/>
      <c r="H60" s="526">
        <f>H58+H59</f>
        <v>84640.827310000008</v>
      </c>
      <c r="I60" s="527"/>
      <c r="J60" s="527"/>
      <c r="K60" s="527"/>
      <c r="L60" s="529">
        <f>L58+L59</f>
        <v>84457.655439999988</v>
      </c>
      <c r="M60" s="530"/>
      <c r="N60" s="531">
        <f t="shared" si="73"/>
        <v>-183.17187000002014</v>
      </c>
      <c r="O60" s="532">
        <f t="shared" si="74"/>
        <v>-2.1641077458889515E-3</v>
      </c>
      <c r="P60" s="513"/>
      <c r="Q60" s="527"/>
      <c r="R60" s="527"/>
      <c r="S60" s="529">
        <f>S58+S59</f>
        <v>84064.731839999993</v>
      </c>
      <c r="T60" s="530"/>
      <c r="U60" s="531">
        <f t="shared" si="75"/>
        <v>-392.92359999999462</v>
      </c>
      <c r="V60" s="532">
        <f t="shared" si="76"/>
        <v>-4.652314795538382E-3</v>
      </c>
      <c r="W60" s="513"/>
      <c r="X60" s="527"/>
      <c r="Y60" s="527"/>
      <c r="Z60" s="529">
        <f>Z58+Z59</f>
        <v>88350.222940000007</v>
      </c>
      <c r="AA60" s="530"/>
      <c r="AB60" s="531">
        <f t="shared" si="77"/>
        <v>4285.4911000000138</v>
      </c>
      <c r="AC60" s="532">
        <f t="shared" si="78"/>
        <v>5.0978466310420981E-2</v>
      </c>
      <c r="AD60" s="513"/>
      <c r="AE60" s="527"/>
      <c r="AF60" s="527"/>
      <c r="AG60" s="529">
        <f>AG58+AG59</f>
        <v>91701.836840000004</v>
      </c>
      <c r="AH60" s="530"/>
      <c r="AI60" s="531">
        <f t="shared" si="79"/>
        <v>3351.6138999999966</v>
      </c>
      <c r="AJ60" s="532">
        <f t="shared" si="80"/>
        <v>3.7935545474244353E-2</v>
      </c>
      <c r="AK60" s="513"/>
      <c r="AL60" s="527"/>
      <c r="AM60" s="527"/>
      <c r="AN60" s="529">
        <f>AN58+AN59</f>
        <v>94890.36914000001</v>
      </c>
      <c r="AO60" s="530"/>
      <c r="AP60" s="531">
        <f t="shared" si="81"/>
        <v>3188.5323000000062</v>
      </c>
      <c r="AQ60" s="532">
        <f t="shared" si="82"/>
        <v>3.4770648112134435E-2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73"/>
        <v>0</v>
      </c>
      <c r="O61" s="539" t="str">
        <f t="shared" si="74"/>
        <v/>
      </c>
      <c r="P61" s="513"/>
      <c r="Q61" s="527"/>
      <c r="R61" s="527"/>
      <c r="S61" s="537">
        <f>Q61*S58</f>
        <v>0</v>
      </c>
      <c r="T61" s="530"/>
      <c r="U61" s="538">
        <f t="shared" si="75"/>
        <v>0</v>
      </c>
      <c r="V61" s="539" t="str">
        <f t="shared" si="76"/>
        <v/>
      </c>
      <c r="W61" s="513"/>
      <c r="X61" s="527"/>
      <c r="Y61" s="527"/>
      <c r="Z61" s="537">
        <f>X61*Z58</f>
        <v>0</v>
      </c>
      <c r="AA61" s="530"/>
      <c r="AB61" s="538">
        <f t="shared" si="77"/>
        <v>0</v>
      </c>
      <c r="AC61" s="539" t="str">
        <f t="shared" si="78"/>
        <v/>
      </c>
      <c r="AD61" s="513"/>
      <c r="AE61" s="527"/>
      <c r="AF61" s="527"/>
      <c r="AG61" s="537">
        <f>AE61*AG58</f>
        <v>0</v>
      </c>
      <c r="AH61" s="530"/>
      <c r="AI61" s="538">
        <f t="shared" si="79"/>
        <v>0</v>
      </c>
      <c r="AJ61" s="539" t="str">
        <f t="shared" si="80"/>
        <v/>
      </c>
      <c r="AK61" s="513"/>
      <c r="AL61" s="527"/>
      <c r="AM61" s="527"/>
      <c r="AN61" s="537">
        <f>AL61*AN58</f>
        <v>0</v>
      </c>
      <c r="AO61" s="530"/>
      <c r="AP61" s="538">
        <f t="shared" si="81"/>
        <v>0</v>
      </c>
      <c r="AQ61" s="539" t="str">
        <f t="shared" si="82"/>
        <v/>
      </c>
      <c r="AR61" s="540"/>
    </row>
    <row r="62" spans="1:44" ht="13.5" customHeight="1">
      <c r="A62" s="513"/>
      <c r="B62" s="635" t="s">
        <v>321</v>
      </c>
      <c r="C62" s="613"/>
      <c r="D62" s="613"/>
      <c r="E62" s="541"/>
      <c r="F62" s="542"/>
      <c r="G62" s="543"/>
      <c r="H62" s="544">
        <f>H60-H61</f>
        <v>84640.827310000008</v>
      </c>
      <c r="I62" s="545"/>
      <c r="J62" s="545"/>
      <c r="K62" s="545"/>
      <c r="L62" s="546">
        <f>L60-L61</f>
        <v>84457.655439999988</v>
      </c>
      <c r="M62" s="547"/>
      <c r="N62" s="548">
        <f t="shared" si="73"/>
        <v>-183.17187000002014</v>
      </c>
      <c r="O62" s="549">
        <f t="shared" si="74"/>
        <v>-2.1641077458889515E-3</v>
      </c>
      <c r="P62" s="513"/>
      <c r="Q62" s="545"/>
      <c r="R62" s="545"/>
      <c r="S62" s="546">
        <f>S60-S61</f>
        <v>84064.731839999993</v>
      </c>
      <c r="T62" s="547"/>
      <c r="U62" s="548">
        <f t="shared" si="75"/>
        <v>-392.92359999999462</v>
      </c>
      <c r="V62" s="549">
        <f t="shared" si="76"/>
        <v>-4.652314795538382E-3</v>
      </c>
      <c r="W62" s="513"/>
      <c r="X62" s="545"/>
      <c r="Y62" s="545"/>
      <c r="Z62" s="546">
        <f>Z60-Z61</f>
        <v>88350.222940000007</v>
      </c>
      <c r="AA62" s="547"/>
      <c r="AB62" s="548">
        <f t="shared" si="77"/>
        <v>4285.4911000000138</v>
      </c>
      <c r="AC62" s="549">
        <f t="shared" si="78"/>
        <v>5.0978466310420981E-2</v>
      </c>
      <c r="AD62" s="513"/>
      <c r="AE62" s="545"/>
      <c r="AF62" s="545"/>
      <c r="AG62" s="546">
        <f>AG60-AG61</f>
        <v>91701.836840000004</v>
      </c>
      <c r="AH62" s="547"/>
      <c r="AI62" s="548">
        <f t="shared" si="79"/>
        <v>3351.6138999999966</v>
      </c>
      <c r="AJ62" s="549">
        <f t="shared" si="80"/>
        <v>3.7935545474244353E-2</v>
      </c>
      <c r="AK62" s="513"/>
      <c r="AL62" s="545"/>
      <c r="AM62" s="545"/>
      <c r="AN62" s="546">
        <f>AN60-AN61</f>
        <v>94890.36914000001</v>
      </c>
      <c r="AO62" s="547"/>
      <c r="AP62" s="548">
        <f t="shared" si="81"/>
        <v>3188.5323000000062</v>
      </c>
      <c r="AQ62" s="549">
        <f t="shared" si="82"/>
        <v>3.4770648112134435E-2</v>
      </c>
      <c r="AR62" s="550"/>
    </row>
    <row r="63" spans="1:44"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55"/>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404</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000-000000000000}">
      <formula1>"TOU,non-TOU"</formula1>
    </dataValidation>
    <dataValidation type="list" allowBlank="1" showErrorMessage="1" sqref="E15:E28 E30:E38 E40:E41 E43:E51 E57 E63" xr:uid="{00000000-0002-0000-2000-000001000000}">
      <formula1>#REF!</formula1>
    </dataValidation>
    <dataValidation type="list" allowBlank="1" showInputMessage="1" showErrorMessage="1" prompt="Select Charge Unit - monthly, per kWh, per kW" sqref="D15:D28 D30:D38 D40:D41 D43:D51 D57 D63" xr:uid="{00000000-0002-0000-2000-000002000000}">
      <formula1>"Monthly,per kWh,per kW"</formula1>
    </dataValidation>
  </dataValidations>
  <pageMargins left="0.74803149606299213" right="0.74803149606299213" top="0.98425196850393704" bottom="0.98425196850393704"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R1000"/>
  <sheetViews>
    <sheetView showGridLines="0" topLeftCell="M1" workbookViewId="0">
      <pane ySplit="14" topLeftCell="A54"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3.140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140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 customWidth="1"/>
    <col min="36" max="36" width="10" customWidth="1"/>
    <col min="37" max="37" width="0.7109375" customWidth="1"/>
    <col min="38" max="38" width="12.28515625" customWidth="1"/>
    <col min="39" max="39" width="11" customWidth="1"/>
    <col min="40" max="40" width="13" customWidth="1"/>
    <col min="41" max="41" width="1.28515625" customWidth="1"/>
    <col min="42" max="42" width="11" customWidth="1"/>
    <col min="43" max="43" width="10" customWidth="1"/>
    <col min="44" max="44" width="1.28515625" customWidth="1"/>
  </cols>
  <sheetData>
    <row r="1" spans="1:44" ht="7.5" customHeight="1">
      <c r="A1" s="52"/>
      <c r="B1" s="52"/>
      <c r="C1" s="555"/>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4" ht="18.75" customHeight="1">
      <c r="A2" s="52"/>
      <c r="B2" s="52"/>
      <c r="C2" s="556"/>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4" ht="18.75" customHeight="1">
      <c r="A3" s="52"/>
      <c r="B3" s="52"/>
      <c r="C3" s="556"/>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7.5" customHeight="1">
      <c r="A4" s="52"/>
      <c r="B4" s="52"/>
      <c r="C4" s="555"/>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7.5" customHeight="1">
      <c r="A5" s="52"/>
      <c r="B5" s="52"/>
      <c r="C5" s="555"/>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75" customHeight="1">
      <c r="A6" s="52"/>
      <c r="B6" s="319" t="s">
        <v>294</v>
      </c>
      <c r="C6" s="555"/>
      <c r="D6" s="381" t="s">
        <v>223</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75" customHeight="1">
      <c r="A9" s="52"/>
      <c r="B9" s="383"/>
      <c r="C9" s="555"/>
      <c r="D9" s="306" t="s">
        <v>297</v>
      </c>
      <c r="E9" s="306"/>
      <c r="F9" s="386">
        <v>4000000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75" customHeight="1">
      <c r="A10" s="52"/>
      <c r="B10" s="52"/>
      <c r="C10" s="555"/>
      <c r="D10" s="52"/>
      <c r="E10" s="52"/>
      <c r="F10" s="386">
        <v>7500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75" customHeight="1">
      <c r="A15" s="52"/>
      <c r="B15" s="320" t="s">
        <v>218</v>
      </c>
      <c r="C15" s="395" t="str">
        <f t="shared" ref="C15:C28" si="0">D$6&amp;"."&amp;B15</f>
        <v>Large User.Monthly Service Charge</v>
      </c>
      <c r="D15" s="396" t="s">
        <v>306</v>
      </c>
      <c r="E15" s="320"/>
      <c r="F15" s="397">
        <f>IFERROR(VLOOKUP($C15,'Proposed Rates'!$B:$J,F$11,FALSE),0)</f>
        <v>14946.93</v>
      </c>
      <c r="G15" s="415">
        <f t="shared" ref="G15:G28" si="1">IF($D15="Monthly",1,IF($D15="per KW",$F$10,IF($D15="per kWh",$F$9,0)))</f>
        <v>1</v>
      </c>
      <c r="H15" s="400">
        <f t="shared" ref="H15:H28" si="2">G15*F15</f>
        <v>14946.93</v>
      </c>
      <c r="I15" s="128"/>
      <c r="J15" s="397">
        <f>IFERROR(VLOOKUP($C15,'Proposed Rates'!$B:$J,J$11,FALSE),0)</f>
        <v>14946.93</v>
      </c>
      <c r="K15" s="415">
        <f t="shared" ref="K15:K28" si="3">IF($D15="Monthly",1,IF($D15="per KW",$F$10,IF($D15="per kWh",$F$9,0)))</f>
        <v>1</v>
      </c>
      <c r="L15" s="400">
        <f t="shared" ref="L15:L28" si="4">K15*J15</f>
        <v>14946.93</v>
      </c>
      <c r="M15" s="128"/>
      <c r="N15" s="401">
        <f t="shared" ref="N15:N46" si="5">L15-H15</f>
        <v>0</v>
      </c>
      <c r="O15" s="402">
        <f t="shared" ref="O15:O46" si="6">IF((H15)=0,"",(N15/H15))</f>
        <v>0</v>
      </c>
      <c r="P15" s="52"/>
      <c r="Q15" s="397">
        <f>IFERROR(VLOOKUP($C15,'Proposed Rates'!$B:$J,Q$11,FALSE),0)</f>
        <v>14946.93</v>
      </c>
      <c r="R15" s="415">
        <f t="shared" ref="R15:R28" si="7">IF($D15="Monthly",1,IF($D15="per KW",$F$10,IF($D15="per kWh",$F$9,0)))</f>
        <v>1</v>
      </c>
      <c r="S15" s="400">
        <f t="shared" ref="S15:S28" si="8">R15*Q15</f>
        <v>14946.93</v>
      </c>
      <c r="T15" s="128"/>
      <c r="U15" s="401">
        <f t="shared" ref="U15:U46" si="9">S15-L15</f>
        <v>0</v>
      </c>
      <c r="V15" s="402">
        <f t="shared" ref="V15:V46" si="10">IF((L15)=0,"",(U15/L15))</f>
        <v>0</v>
      </c>
      <c r="W15" s="52"/>
      <c r="X15" s="397">
        <f>IFERROR(VLOOKUP($C15,'Proposed Rates'!$B:$J,X$11,FALSE),0)</f>
        <v>14946.93</v>
      </c>
      <c r="Y15" s="415">
        <f t="shared" ref="Y15:Y28" si="11">IF($D15="Monthly",1,IF($D15="per KW",$F$10,IF($D15="per kWh",$F$9,0)))</f>
        <v>1</v>
      </c>
      <c r="Z15" s="400">
        <f t="shared" ref="Z15:Z28" si="12">Y15*X15</f>
        <v>14946.93</v>
      </c>
      <c r="AA15" s="128"/>
      <c r="AB15" s="401">
        <f t="shared" ref="AB15:AB46" si="13">Z15-S15</f>
        <v>0</v>
      </c>
      <c r="AC15" s="402">
        <f t="shared" ref="AC15:AC46" si="14">IF((S15)=0,"",(AB15/S15))</f>
        <v>0</v>
      </c>
      <c r="AD15" s="52"/>
      <c r="AE15" s="397">
        <f>IFERROR(VLOOKUP($C15,'Proposed Rates'!$B:$J,AE$11,FALSE),0)</f>
        <v>14946.93</v>
      </c>
      <c r="AF15" s="415">
        <f t="shared" ref="AF15:AF28" si="15">IF($D15="Monthly",1,IF($D15="per KW",$F$10,IF($D15="per kWh",$F$9,0)))</f>
        <v>1</v>
      </c>
      <c r="AG15" s="400">
        <f t="shared" ref="AG15:AG28" si="16">AF15*AE15</f>
        <v>14946.93</v>
      </c>
      <c r="AH15" s="128"/>
      <c r="AI15" s="401">
        <f t="shared" ref="AI15:AI46" si="17">AG15-Z15</f>
        <v>0</v>
      </c>
      <c r="AJ15" s="402">
        <f t="shared" ref="AJ15:AJ46" si="18">IF((Z15)=0,"",(AI15/Z15))</f>
        <v>0</v>
      </c>
      <c r="AK15" s="52"/>
      <c r="AL15" s="397">
        <f>IFERROR(VLOOKUP($C15,'Proposed Rates'!$B:$J,AL$11,FALSE),0)</f>
        <v>14946.93</v>
      </c>
      <c r="AM15" s="415">
        <f t="shared" ref="AM15:AM28" si="19">IF($D15="Monthly",1,IF($D15="per KW",$F$10,IF($D15="per kWh",$F$9,0)))</f>
        <v>1</v>
      </c>
      <c r="AN15" s="400">
        <f t="shared" ref="AN15:AN28" si="20">AM15*AL15</f>
        <v>14946.93</v>
      </c>
      <c r="AO15" s="128"/>
      <c r="AP15" s="401">
        <f t="shared" ref="AP15:AP46" si="21">AN15-AG15</f>
        <v>0</v>
      </c>
      <c r="AQ15" s="402">
        <f t="shared" ref="AQ15:AQ46" si="22">IF((AG15)=0,"",(AP15/AG15))</f>
        <v>0</v>
      </c>
      <c r="AR15" s="403"/>
    </row>
    <row r="16" spans="1:44" ht="12.75" customHeight="1">
      <c r="A16" s="52"/>
      <c r="B16" s="320" t="s">
        <v>307</v>
      </c>
      <c r="C16" s="395" t="str">
        <f t="shared" si="0"/>
        <v>Large User.Smart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Large User.Rate Rider Calculation for PILs</v>
      </c>
      <c r="D17" s="396" t="s">
        <v>377</v>
      </c>
      <c r="E17" s="320"/>
      <c r="F17" s="397">
        <f>IFERROR(VLOOKUP($C17,'Proposed Rates'!$B:$J,F$11,FALSE),0)</f>
        <v>0</v>
      </c>
      <c r="G17" s="415">
        <f t="shared" si="1"/>
        <v>7500</v>
      </c>
      <c r="H17" s="400">
        <f t="shared" si="2"/>
        <v>0</v>
      </c>
      <c r="I17" s="128"/>
      <c r="J17" s="397">
        <f>IFERROR(VLOOKUP($C17,'Proposed Rates'!$B:$J,J$11,FALSE),0)</f>
        <v>0</v>
      </c>
      <c r="K17" s="415">
        <f t="shared" si="3"/>
        <v>7500</v>
      </c>
      <c r="L17" s="400">
        <f t="shared" si="4"/>
        <v>0</v>
      </c>
      <c r="M17" s="128"/>
      <c r="N17" s="401">
        <f t="shared" si="5"/>
        <v>0</v>
      </c>
      <c r="O17" s="402" t="str">
        <f t="shared" si="6"/>
        <v/>
      </c>
      <c r="P17" s="52"/>
      <c r="Q17" s="397">
        <f>IFERROR(VLOOKUP($C17,'Proposed Rates'!$B:$J,Q$11,FALSE),0)</f>
        <v>0</v>
      </c>
      <c r="R17" s="415">
        <f t="shared" si="7"/>
        <v>7500</v>
      </c>
      <c r="S17" s="400">
        <f t="shared" si="8"/>
        <v>0</v>
      </c>
      <c r="T17" s="128"/>
      <c r="U17" s="401">
        <f t="shared" si="9"/>
        <v>0</v>
      </c>
      <c r="V17" s="402" t="str">
        <f t="shared" si="10"/>
        <v/>
      </c>
      <c r="W17" s="52"/>
      <c r="X17" s="397">
        <f>IFERROR(VLOOKUP($C17,'Proposed Rates'!$B:$J,X$11,FALSE),0)</f>
        <v>0</v>
      </c>
      <c r="Y17" s="415">
        <f t="shared" si="11"/>
        <v>7500</v>
      </c>
      <c r="Z17" s="400">
        <f t="shared" si="12"/>
        <v>0</v>
      </c>
      <c r="AA17" s="128"/>
      <c r="AB17" s="401">
        <f t="shared" si="13"/>
        <v>0</v>
      </c>
      <c r="AC17" s="402" t="str">
        <f t="shared" si="14"/>
        <v/>
      </c>
      <c r="AD17" s="52"/>
      <c r="AE17" s="397">
        <f>IFERROR(VLOOKUP($C17,'Proposed Rates'!$B:$J,AE$11,FALSE),0)</f>
        <v>0</v>
      </c>
      <c r="AF17" s="415">
        <f t="shared" si="15"/>
        <v>7500</v>
      </c>
      <c r="AG17" s="400">
        <f t="shared" si="16"/>
        <v>0</v>
      </c>
      <c r="AH17" s="128"/>
      <c r="AI17" s="401">
        <f t="shared" si="17"/>
        <v>0</v>
      </c>
      <c r="AJ17" s="402" t="str">
        <f t="shared" si="18"/>
        <v/>
      </c>
      <c r="AK17" s="52"/>
      <c r="AL17" s="397">
        <f>IFERROR(VLOOKUP($C17,'Proposed Rates'!$B:$J,AL$11,FALSE),0)</f>
        <v>0</v>
      </c>
      <c r="AM17" s="415">
        <f t="shared" si="19"/>
        <v>7500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Large User.Rate Rider Calculation for Generic</v>
      </c>
      <c r="D18" s="396" t="s">
        <v>377</v>
      </c>
      <c r="E18" s="320"/>
      <c r="F18" s="397">
        <f>IFERROR(VLOOKUP($C18,'Proposed Rates'!$B:$J,F$11,FALSE),0)</f>
        <v>0</v>
      </c>
      <c r="G18" s="415">
        <f t="shared" si="1"/>
        <v>7500</v>
      </c>
      <c r="H18" s="400">
        <f t="shared" si="2"/>
        <v>0</v>
      </c>
      <c r="I18" s="128"/>
      <c r="J18" s="397">
        <f>IFERROR(VLOOKUP($C18,'Proposed Rates'!$B:$J,J$11,FALSE),0)</f>
        <v>0</v>
      </c>
      <c r="K18" s="415">
        <f t="shared" si="3"/>
        <v>7500</v>
      </c>
      <c r="L18" s="400">
        <f t="shared" si="4"/>
        <v>0</v>
      </c>
      <c r="M18" s="128"/>
      <c r="N18" s="401">
        <f t="shared" si="5"/>
        <v>0</v>
      </c>
      <c r="O18" s="402" t="str">
        <f t="shared" si="6"/>
        <v/>
      </c>
      <c r="P18" s="52"/>
      <c r="Q18" s="397">
        <f>IFERROR(VLOOKUP($C18,'Proposed Rates'!$B:$J,Q$11,FALSE),0)</f>
        <v>0</v>
      </c>
      <c r="R18" s="415">
        <f t="shared" si="7"/>
        <v>7500</v>
      </c>
      <c r="S18" s="400">
        <f t="shared" si="8"/>
        <v>0</v>
      </c>
      <c r="T18" s="128"/>
      <c r="U18" s="401">
        <f t="shared" si="9"/>
        <v>0</v>
      </c>
      <c r="V18" s="402" t="str">
        <f t="shared" si="10"/>
        <v/>
      </c>
      <c r="W18" s="52"/>
      <c r="X18" s="397">
        <f>IFERROR(VLOOKUP($C18,'Proposed Rates'!$B:$J,X$11,FALSE),0)</f>
        <v>0</v>
      </c>
      <c r="Y18" s="415">
        <f t="shared" si="11"/>
        <v>7500</v>
      </c>
      <c r="Z18" s="400">
        <f t="shared" si="12"/>
        <v>0</v>
      </c>
      <c r="AA18" s="128"/>
      <c r="AB18" s="401">
        <f t="shared" si="13"/>
        <v>0</v>
      </c>
      <c r="AC18" s="402" t="str">
        <f t="shared" si="14"/>
        <v/>
      </c>
      <c r="AD18" s="52"/>
      <c r="AE18" s="397">
        <f>IFERROR(VLOOKUP($C18,'Proposed Rates'!$B:$J,AE$11,FALSE),0)</f>
        <v>0</v>
      </c>
      <c r="AF18" s="415">
        <f t="shared" si="15"/>
        <v>7500</v>
      </c>
      <c r="AG18" s="400">
        <f t="shared" si="16"/>
        <v>0</v>
      </c>
      <c r="AH18" s="128"/>
      <c r="AI18" s="401">
        <f t="shared" si="17"/>
        <v>0</v>
      </c>
      <c r="AJ18" s="402" t="str">
        <f t="shared" si="18"/>
        <v/>
      </c>
      <c r="AK18" s="52"/>
      <c r="AL18" s="397">
        <f>IFERROR(VLOOKUP($C18,'Proposed Rates'!$B:$J,AL$11,FALSE),0)</f>
        <v>0</v>
      </c>
      <c r="AM18" s="415">
        <f t="shared" si="19"/>
        <v>7500</v>
      </c>
      <c r="AN18" s="400">
        <f t="shared" si="20"/>
        <v>0</v>
      </c>
      <c r="AO18" s="128"/>
      <c r="AP18" s="401">
        <f t="shared" si="21"/>
        <v>0</v>
      </c>
      <c r="AQ18" s="402" t="str">
        <f t="shared" si="22"/>
        <v/>
      </c>
      <c r="AR18" s="403"/>
    </row>
    <row r="19" spans="1:44" ht="12.75" customHeight="1">
      <c r="A19" s="52"/>
      <c r="B19" s="320" t="s">
        <v>59</v>
      </c>
      <c r="C19" s="395" t="str">
        <f t="shared" si="0"/>
        <v>Large User.Distribution Volumetric Rate</v>
      </c>
      <c r="D19" s="396" t="s">
        <v>377</v>
      </c>
      <c r="E19" s="320"/>
      <c r="F19" s="414">
        <f>IFERROR(VLOOKUP($C19,'Proposed Rates'!$B:$J,F$11,FALSE),0)</f>
        <v>6.0316000000000001</v>
      </c>
      <c r="G19" s="415">
        <f t="shared" si="1"/>
        <v>7500</v>
      </c>
      <c r="H19" s="400">
        <f t="shared" si="2"/>
        <v>45237</v>
      </c>
      <c r="I19" s="128"/>
      <c r="J19" s="414">
        <f>IFERROR(VLOOKUP($C19,'Proposed Rates'!$B:$J,J$11,FALSE),0)</f>
        <v>7.8982000000000001</v>
      </c>
      <c r="K19" s="415">
        <f t="shared" si="3"/>
        <v>7500</v>
      </c>
      <c r="L19" s="400">
        <f t="shared" si="4"/>
        <v>59236.5</v>
      </c>
      <c r="M19" s="128"/>
      <c r="N19" s="401">
        <f t="shared" si="5"/>
        <v>13999.5</v>
      </c>
      <c r="O19" s="402">
        <f t="shared" si="6"/>
        <v>0.30947012401352875</v>
      </c>
      <c r="P19" s="52"/>
      <c r="Q19" s="414">
        <f>IFERROR(VLOOKUP($C19,'Proposed Rates'!$B:$J,Q$11,FALSE),0)</f>
        <v>8.8231999999999999</v>
      </c>
      <c r="R19" s="415">
        <f t="shared" si="7"/>
        <v>7500</v>
      </c>
      <c r="S19" s="400">
        <f t="shared" si="8"/>
        <v>66174</v>
      </c>
      <c r="T19" s="128"/>
      <c r="U19" s="401">
        <f t="shared" si="9"/>
        <v>6937.5</v>
      </c>
      <c r="V19" s="402">
        <f t="shared" si="10"/>
        <v>0.11711529209186904</v>
      </c>
      <c r="W19" s="52"/>
      <c r="X19" s="414">
        <f>IFERROR(VLOOKUP($C19,'Proposed Rates'!$B:$J,X$11,FALSE),0)</f>
        <v>9.8528000000000002</v>
      </c>
      <c r="Y19" s="415">
        <f t="shared" si="11"/>
        <v>7500</v>
      </c>
      <c r="Z19" s="400">
        <f t="shared" si="12"/>
        <v>73896</v>
      </c>
      <c r="AA19" s="128"/>
      <c r="AB19" s="401">
        <f t="shared" si="13"/>
        <v>7722</v>
      </c>
      <c r="AC19" s="402">
        <f t="shared" si="14"/>
        <v>0.11669235651464321</v>
      </c>
      <c r="AD19" s="52"/>
      <c r="AE19" s="414">
        <f>IFERROR(VLOOKUP($C19,'Proposed Rates'!$B:$J,AE$11,FALSE),0)</f>
        <v>10.6686</v>
      </c>
      <c r="AF19" s="415">
        <f t="shared" si="15"/>
        <v>7500</v>
      </c>
      <c r="AG19" s="400">
        <f t="shared" si="16"/>
        <v>80014.5</v>
      </c>
      <c r="AH19" s="128"/>
      <c r="AI19" s="401">
        <f t="shared" si="17"/>
        <v>6118.5</v>
      </c>
      <c r="AJ19" s="402">
        <f t="shared" si="18"/>
        <v>8.2798798311139982E-2</v>
      </c>
      <c r="AK19" s="52"/>
      <c r="AL19" s="414">
        <f>IFERROR(VLOOKUP($C19,'Proposed Rates'!$B:$J,AL$11,FALSE),0)</f>
        <v>11.3901</v>
      </c>
      <c r="AM19" s="415">
        <f t="shared" si="19"/>
        <v>7500</v>
      </c>
      <c r="AN19" s="400">
        <f t="shared" si="20"/>
        <v>85425.75</v>
      </c>
      <c r="AO19" s="128"/>
      <c r="AP19" s="401">
        <f t="shared" si="21"/>
        <v>5411.25</v>
      </c>
      <c r="AQ19" s="402">
        <f t="shared" si="22"/>
        <v>6.7628367358416291E-2</v>
      </c>
      <c r="AR19" s="403"/>
    </row>
    <row r="20" spans="1:44" ht="12.75" customHeight="1">
      <c r="A20" s="52"/>
      <c r="B20" s="320" t="s">
        <v>309</v>
      </c>
      <c r="C20" s="395" t="str">
        <f t="shared" si="0"/>
        <v>Large User.Smart Meter Disposition Rider</v>
      </c>
      <c r="D20" s="396" t="s">
        <v>308</v>
      </c>
      <c r="E20" s="320"/>
      <c r="F20" s="397">
        <f>IFERROR(VLOOKUP($C20,'Proposed Rates'!$B:$J,F$11,FALSE),0)</f>
        <v>0</v>
      </c>
      <c r="G20" s="415">
        <f t="shared" si="1"/>
        <v>4000000</v>
      </c>
      <c r="H20" s="400">
        <f t="shared" si="2"/>
        <v>0</v>
      </c>
      <c r="I20" s="128"/>
      <c r="J20" s="397">
        <f>IFERROR(VLOOKUP($C20,'Proposed Rates'!$B:$J,J$11,FALSE),0)</f>
        <v>0</v>
      </c>
      <c r="K20" s="415">
        <f t="shared" si="3"/>
        <v>4000000</v>
      </c>
      <c r="L20" s="400">
        <f t="shared" si="4"/>
        <v>0</v>
      </c>
      <c r="M20" s="128"/>
      <c r="N20" s="401">
        <f t="shared" si="5"/>
        <v>0</v>
      </c>
      <c r="O20" s="402" t="str">
        <f t="shared" si="6"/>
        <v/>
      </c>
      <c r="P20" s="52"/>
      <c r="Q20" s="397">
        <f>IFERROR(VLOOKUP($C20,'Proposed Rates'!$B:$J,Q$11,FALSE),0)</f>
        <v>0</v>
      </c>
      <c r="R20" s="415">
        <f t="shared" si="7"/>
        <v>4000000</v>
      </c>
      <c r="S20" s="400">
        <f t="shared" si="8"/>
        <v>0</v>
      </c>
      <c r="T20" s="128"/>
      <c r="U20" s="401">
        <f t="shared" si="9"/>
        <v>0</v>
      </c>
      <c r="V20" s="402" t="str">
        <f t="shared" si="10"/>
        <v/>
      </c>
      <c r="W20" s="52"/>
      <c r="X20" s="397">
        <f>IFERROR(VLOOKUP($C20,'Proposed Rates'!$B:$J,X$11,FALSE),0)</f>
        <v>0</v>
      </c>
      <c r="Y20" s="415">
        <f t="shared" si="11"/>
        <v>4000000</v>
      </c>
      <c r="Z20" s="400">
        <f t="shared" si="12"/>
        <v>0</v>
      </c>
      <c r="AA20" s="128"/>
      <c r="AB20" s="401">
        <f t="shared" si="13"/>
        <v>0</v>
      </c>
      <c r="AC20" s="402" t="str">
        <f t="shared" si="14"/>
        <v/>
      </c>
      <c r="AD20" s="52"/>
      <c r="AE20" s="397">
        <f>IFERROR(VLOOKUP($C20,'Proposed Rates'!$B:$J,AE$11,FALSE),0)</f>
        <v>0</v>
      </c>
      <c r="AF20" s="415">
        <f t="shared" si="15"/>
        <v>4000000</v>
      </c>
      <c r="AG20" s="400">
        <f t="shared" si="16"/>
        <v>0</v>
      </c>
      <c r="AH20" s="128"/>
      <c r="AI20" s="401">
        <f t="shared" si="17"/>
        <v>0</v>
      </c>
      <c r="AJ20" s="402" t="str">
        <f t="shared" si="18"/>
        <v/>
      </c>
      <c r="AK20" s="52"/>
      <c r="AL20" s="397">
        <f>IFERROR(VLOOKUP($C20,'Proposed Rates'!$B:$J,AL$11,FALSE),0)</f>
        <v>0</v>
      </c>
      <c r="AM20" s="415">
        <f t="shared" si="19"/>
        <v>4000000</v>
      </c>
      <c r="AN20" s="400">
        <f t="shared" si="20"/>
        <v>0</v>
      </c>
      <c r="AO20" s="128"/>
      <c r="AP20" s="401">
        <f t="shared" si="21"/>
        <v>0</v>
      </c>
      <c r="AQ20" s="402" t="str">
        <f t="shared" si="22"/>
        <v/>
      </c>
      <c r="AR20" s="403"/>
    </row>
    <row r="21" spans="1:44" ht="12.75" customHeight="1">
      <c r="A21" s="52"/>
      <c r="B21" s="320" t="s">
        <v>241</v>
      </c>
      <c r="C21" s="395" t="str">
        <f t="shared" si="0"/>
        <v>Large User.LRAM Rate Rider</v>
      </c>
      <c r="D21" s="396" t="s">
        <v>377</v>
      </c>
      <c r="E21" s="320"/>
      <c r="F21" s="414">
        <f>'Proposed Rates'!E81+'Proposed Rates'!E94</f>
        <v>0.2011</v>
      </c>
      <c r="G21" s="415">
        <f t="shared" si="1"/>
        <v>7500</v>
      </c>
      <c r="H21" s="400">
        <f t="shared" si="2"/>
        <v>1508.25</v>
      </c>
      <c r="I21" s="128"/>
      <c r="J21" s="414">
        <f>'Proposed Rates'!F81+'Proposed Rates'!F94</f>
        <v>-0.52569999999999995</v>
      </c>
      <c r="K21" s="415">
        <f t="shared" si="3"/>
        <v>7500</v>
      </c>
      <c r="L21" s="400">
        <f t="shared" si="4"/>
        <v>-3942.7499999999995</v>
      </c>
      <c r="M21" s="128"/>
      <c r="N21" s="401">
        <f t="shared" si="5"/>
        <v>-5451</v>
      </c>
      <c r="O21" s="402">
        <f t="shared" si="6"/>
        <v>-3.6141223272003979</v>
      </c>
      <c r="P21" s="52"/>
      <c r="Q21" s="414">
        <f>'Proposed Rates'!G81+'Proposed Rates'!G94</f>
        <v>0</v>
      </c>
      <c r="R21" s="415">
        <f t="shared" si="7"/>
        <v>7500</v>
      </c>
      <c r="S21" s="400">
        <f t="shared" si="8"/>
        <v>0</v>
      </c>
      <c r="T21" s="128"/>
      <c r="U21" s="401">
        <f t="shared" si="9"/>
        <v>3942.7499999999995</v>
      </c>
      <c r="V21" s="402">
        <f t="shared" si="10"/>
        <v>-1</v>
      </c>
      <c r="W21" s="52"/>
      <c r="X21" s="414">
        <f>IFERROR(VLOOKUP($C21,'Proposed Rates'!$B:$J,X$11,FALSE),0)</f>
        <v>0</v>
      </c>
      <c r="Y21" s="415">
        <f t="shared" si="11"/>
        <v>7500</v>
      </c>
      <c r="Z21" s="400">
        <f t="shared" si="12"/>
        <v>0</v>
      </c>
      <c r="AA21" s="128"/>
      <c r="AB21" s="401">
        <f t="shared" si="13"/>
        <v>0</v>
      </c>
      <c r="AC21" s="402" t="str">
        <f t="shared" si="14"/>
        <v/>
      </c>
      <c r="AD21" s="52"/>
      <c r="AE21" s="414">
        <f>IFERROR(VLOOKUP($C21,'Proposed Rates'!$B:$J,AE$11,FALSE),0)</f>
        <v>0</v>
      </c>
      <c r="AF21" s="415">
        <f t="shared" si="15"/>
        <v>7500</v>
      </c>
      <c r="AG21" s="400">
        <f t="shared" si="16"/>
        <v>0</v>
      </c>
      <c r="AH21" s="128"/>
      <c r="AI21" s="401">
        <f t="shared" si="17"/>
        <v>0</v>
      </c>
      <c r="AJ21" s="402" t="str">
        <f t="shared" si="18"/>
        <v/>
      </c>
      <c r="AK21" s="52"/>
      <c r="AL21" s="414">
        <f>IFERROR(VLOOKUP($C21,'Proposed Rates'!$B:$J,AL$11,FALSE),0)</f>
        <v>0</v>
      </c>
      <c r="AM21" s="415">
        <f t="shared" si="19"/>
        <v>7500</v>
      </c>
      <c r="AN21" s="400">
        <f t="shared" si="20"/>
        <v>0</v>
      </c>
      <c r="AO21" s="128"/>
      <c r="AP21" s="401">
        <f t="shared" si="21"/>
        <v>0</v>
      </c>
      <c r="AQ21" s="402" t="str">
        <f t="shared" si="22"/>
        <v/>
      </c>
      <c r="AR21" s="403"/>
    </row>
    <row r="22" spans="1:44" ht="12.75" customHeight="1">
      <c r="A22" s="52"/>
      <c r="B22" s="484" t="s">
        <v>237</v>
      </c>
      <c r="C22" s="395" t="str">
        <f t="shared" si="0"/>
        <v>Large User.Deferral/Variance Account Disposition Rate Rider Group 2</v>
      </c>
      <c r="D22" s="396" t="s">
        <v>377</v>
      </c>
      <c r="E22" s="320"/>
      <c r="F22" s="397">
        <f>IFERROR(VLOOKUP($C22,'Proposed Rates'!$B:$J,F$11,FALSE),0)</f>
        <v>0</v>
      </c>
      <c r="G22" s="415">
        <f t="shared" si="1"/>
        <v>7500</v>
      </c>
      <c r="H22" s="400">
        <f t="shared" si="2"/>
        <v>0</v>
      </c>
      <c r="I22" s="128"/>
      <c r="J22" s="397">
        <f>IFERROR(VLOOKUP($C22,'Proposed Rates'!$B:$J,J$11,FALSE),0)</f>
        <v>-0.1401</v>
      </c>
      <c r="K22" s="415">
        <f t="shared" si="3"/>
        <v>7500</v>
      </c>
      <c r="L22" s="400">
        <f t="shared" si="4"/>
        <v>-1050.75</v>
      </c>
      <c r="M22" s="128"/>
      <c r="N22" s="401">
        <f t="shared" si="5"/>
        <v>-1050.75</v>
      </c>
      <c r="O22" s="402" t="str">
        <f t="shared" si="6"/>
        <v/>
      </c>
      <c r="P22" s="52"/>
      <c r="Q22" s="397">
        <f>IFERROR(VLOOKUP($C22,'Proposed Rates'!$B:$J,Q$11,FALSE),0)</f>
        <v>0</v>
      </c>
      <c r="R22" s="415">
        <f t="shared" si="7"/>
        <v>7500</v>
      </c>
      <c r="S22" s="400">
        <f t="shared" si="8"/>
        <v>0</v>
      </c>
      <c r="T22" s="128"/>
      <c r="U22" s="401">
        <f t="shared" si="9"/>
        <v>1050.75</v>
      </c>
      <c r="V22" s="402">
        <f t="shared" si="10"/>
        <v>-1</v>
      </c>
      <c r="W22" s="52"/>
      <c r="X22" s="397">
        <f>IFERROR(VLOOKUP($C22,'Proposed Rates'!$B:$J,X$11,FALSE),0)</f>
        <v>0</v>
      </c>
      <c r="Y22" s="415">
        <f t="shared" si="11"/>
        <v>7500</v>
      </c>
      <c r="Z22" s="400">
        <f t="shared" si="12"/>
        <v>0</v>
      </c>
      <c r="AA22" s="128"/>
      <c r="AB22" s="401">
        <f t="shared" si="13"/>
        <v>0</v>
      </c>
      <c r="AC22" s="402" t="str">
        <f t="shared" si="14"/>
        <v/>
      </c>
      <c r="AD22" s="52"/>
      <c r="AE22" s="397">
        <f>IFERROR(VLOOKUP($C22,'Proposed Rates'!$B:$J,AE$11,FALSE),0)</f>
        <v>0</v>
      </c>
      <c r="AF22" s="415">
        <f t="shared" si="15"/>
        <v>7500</v>
      </c>
      <c r="AG22" s="400">
        <f t="shared" si="16"/>
        <v>0</v>
      </c>
      <c r="AH22" s="128"/>
      <c r="AI22" s="401">
        <f t="shared" si="17"/>
        <v>0</v>
      </c>
      <c r="AJ22" s="402" t="str">
        <f t="shared" si="18"/>
        <v/>
      </c>
      <c r="AK22" s="52"/>
      <c r="AL22" s="397">
        <f>IFERROR(VLOOKUP($C22,'Proposed Rates'!$B:$J,AL$11,FALSE),0)</f>
        <v>0</v>
      </c>
      <c r="AM22" s="415">
        <f t="shared" si="19"/>
        <v>7500</v>
      </c>
      <c r="AN22" s="400">
        <f t="shared" si="20"/>
        <v>0</v>
      </c>
      <c r="AO22" s="128"/>
      <c r="AP22" s="401">
        <f t="shared" si="21"/>
        <v>0</v>
      </c>
      <c r="AQ22" s="402" t="str">
        <f t="shared" si="22"/>
        <v/>
      </c>
      <c r="AR22" s="403"/>
    </row>
    <row r="23" spans="1:44" ht="12.75" customHeight="1">
      <c r="A23" s="52"/>
      <c r="B23" s="404"/>
      <c r="C23" s="395" t="str">
        <f t="shared" si="0"/>
        <v>Large User.</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Large User.</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Large User.</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Large User.</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Large User.</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Large User.</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557"/>
      <c r="D29" s="406"/>
      <c r="E29" s="406"/>
      <c r="F29" s="407"/>
      <c r="G29" s="500"/>
      <c r="H29" s="409">
        <f>SUM(H15:H28)</f>
        <v>61692.18</v>
      </c>
      <c r="I29" s="410"/>
      <c r="J29" s="407"/>
      <c r="K29" s="500"/>
      <c r="L29" s="409">
        <f>SUM(L15:L28)</f>
        <v>69189.929999999993</v>
      </c>
      <c r="M29" s="410"/>
      <c r="N29" s="411">
        <f t="shared" si="5"/>
        <v>7497.7499999999927</v>
      </c>
      <c r="O29" s="412">
        <f t="shared" si="6"/>
        <v>0.12153485255343534</v>
      </c>
      <c r="P29" s="306"/>
      <c r="Q29" s="407"/>
      <c r="R29" s="500"/>
      <c r="S29" s="409">
        <f>SUM(S15:S28)</f>
        <v>81120.929999999993</v>
      </c>
      <c r="T29" s="410"/>
      <c r="U29" s="411">
        <f t="shared" si="9"/>
        <v>11931</v>
      </c>
      <c r="V29" s="412">
        <f t="shared" si="10"/>
        <v>0.17243838807179024</v>
      </c>
      <c r="W29" s="306"/>
      <c r="X29" s="407"/>
      <c r="Y29" s="500"/>
      <c r="Z29" s="409">
        <f>SUM(Z15:Z28)</f>
        <v>88842.93</v>
      </c>
      <c r="AA29" s="410"/>
      <c r="AB29" s="411">
        <f t="shared" si="13"/>
        <v>7722</v>
      </c>
      <c r="AC29" s="412">
        <f t="shared" si="14"/>
        <v>9.5191216372889229E-2</v>
      </c>
      <c r="AD29" s="306"/>
      <c r="AE29" s="407"/>
      <c r="AF29" s="500"/>
      <c r="AG29" s="409">
        <f>SUM(AG15:AG28)</f>
        <v>94961.43</v>
      </c>
      <c r="AH29" s="410"/>
      <c r="AI29" s="411">
        <f t="shared" si="17"/>
        <v>6118.5</v>
      </c>
      <c r="AJ29" s="412">
        <f t="shared" si="18"/>
        <v>6.886873271739237E-2</v>
      </c>
      <c r="AK29" s="306"/>
      <c r="AL29" s="407"/>
      <c r="AM29" s="500"/>
      <c r="AN29" s="409">
        <f>SUM(AN15:AN28)</f>
        <v>100372.68</v>
      </c>
      <c r="AO29" s="410"/>
      <c r="AP29" s="411">
        <f t="shared" si="21"/>
        <v>5411.25</v>
      </c>
      <c r="AQ29" s="412">
        <f t="shared" si="22"/>
        <v>5.6983661682432546E-2</v>
      </c>
      <c r="AR29" s="413"/>
    </row>
    <row r="30" spans="1:44" ht="12.75" customHeight="1">
      <c r="A30" s="52"/>
      <c r="B30" s="404" t="s">
        <v>234</v>
      </c>
      <c r="C30" s="395" t="str">
        <f t="shared" ref="C30:C38" si="23">D$6&amp;"."&amp;B30</f>
        <v>Large User.DVA Disposition Rate Rider Group 1 -2025</v>
      </c>
      <c r="D30" s="396" t="s">
        <v>377</v>
      </c>
      <c r="E30" s="320"/>
      <c r="F30" s="414">
        <f>IFERROR(VLOOKUP($C30,'Proposed Rates'!$B:$J,F$11,FALSE),0)</f>
        <v>6.3399999999999998E-2</v>
      </c>
      <c r="G30" s="415">
        <f t="shared" ref="G30:G36" si="24">IF($D30="Monthly",1,IF($D30="per KW",$F$10,IF($D30="per kWh",$F$9,0)))</f>
        <v>7500</v>
      </c>
      <c r="H30" s="400">
        <f t="shared" ref="H30:H38" si="25">G30*F30</f>
        <v>475.5</v>
      </c>
      <c r="I30" s="128"/>
      <c r="J30" s="414">
        <f>IFERROR(VLOOKUP($C30,'Proposed Rates'!$B:$J,J$11,FALSE),0)</f>
        <v>-0.2767</v>
      </c>
      <c r="K30" s="415">
        <f t="shared" ref="K30:K36" si="26">IF($D30="Monthly",1,IF($D30="per KW",$F$10,IF($D30="per kWh",$F$9,0)))</f>
        <v>7500</v>
      </c>
      <c r="L30" s="400">
        <f t="shared" ref="L30:L38" si="27">K30*J30</f>
        <v>-2075.25</v>
      </c>
      <c r="M30" s="128"/>
      <c r="N30" s="401">
        <f t="shared" si="5"/>
        <v>-2550.75</v>
      </c>
      <c r="O30" s="402">
        <f t="shared" si="6"/>
        <v>-5.3643533123028391</v>
      </c>
      <c r="P30" s="52"/>
      <c r="Q30" s="414">
        <f>IFERROR(VLOOKUP($C30,'Proposed Rates'!$B:$J,Q$11,FALSE),0)</f>
        <v>0</v>
      </c>
      <c r="R30" s="415">
        <f t="shared" ref="R30:R36" si="28">IF($D30="Monthly",1,IF($D30="per KW",$F$10,IF($D30="per kWh",$F$9,0)))</f>
        <v>7500</v>
      </c>
      <c r="S30" s="400">
        <f t="shared" ref="S30:S38" si="29">R30*Q30</f>
        <v>0</v>
      </c>
      <c r="T30" s="128"/>
      <c r="U30" s="401">
        <f t="shared" si="9"/>
        <v>2075.25</v>
      </c>
      <c r="V30" s="402">
        <f t="shared" si="10"/>
        <v>-1</v>
      </c>
      <c r="W30" s="52"/>
      <c r="X30" s="414">
        <f>IFERROR(VLOOKUP($C30,'Proposed Rates'!$B:$J,X$11,FALSE),0)</f>
        <v>0</v>
      </c>
      <c r="Y30" s="415">
        <f t="shared" ref="Y30:Y36" si="30">IF($D30="Monthly",1,IF($D30="per KW",$F$10,IF($D30="per kWh",$F$9,0)))</f>
        <v>7500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7500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7500</v>
      </c>
      <c r="AN30" s="400">
        <f t="shared" ref="AN30:AN38" si="35">AM30*AL30</f>
        <v>0</v>
      </c>
      <c r="AO30" s="128"/>
      <c r="AP30" s="401">
        <f t="shared" si="21"/>
        <v>0</v>
      </c>
      <c r="AQ30" s="402" t="str">
        <f t="shared" si="22"/>
        <v/>
      </c>
      <c r="AR30" s="403"/>
    </row>
    <row r="31" spans="1:44" ht="12.75" customHeight="1">
      <c r="A31" s="52"/>
      <c r="B31" s="484" t="s">
        <v>236</v>
      </c>
      <c r="C31" s="395" t="str">
        <f t="shared" si="23"/>
        <v>Large User.DVA Disposition Rate Rider Group 1 - 2024</v>
      </c>
      <c r="D31" s="396" t="s">
        <v>377</v>
      </c>
      <c r="E31" s="320"/>
      <c r="F31" s="397">
        <f>IFERROR(VLOOKUP($C31,'Proposed Rates'!$B:$J,F$11,FALSE),0)</f>
        <v>0</v>
      </c>
      <c r="G31" s="415">
        <f t="shared" si="24"/>
        <v>7500</v>
      </c>
      <c r="H31" s="400">
        <f t="shared" si="25"/>
        <v>0</v>
      </c>
      <c r="I31" s="128"/>
      <c r="J31" s="397">
        <f>IFERROR(VLOOKUP($C31,'Proposed Rates'!$B:$J,J$11,FALSE),0)</f>
        <v>0</v>
      </c>
      <c r="K31" s="415">
        <f t="shared" si="26"/>
        <v>7500</v>
      </c>
      <c r="L31" s="400">
        <f t="shared" si="27"/>
        <v>0</v>
      </c>
      <c r="M31" s="128"/>
      <c r="N31" s="401">
        <f t="shared" si="5"/>
        <v>0</v>
      </c>
      <c r="O31" s="402" t="str">
        <f t="shared" si="6"/>
        <v/>
      </c>
      <c r="P31" s="52"/>
      <c r="Q31" s="397">
        <f>IFERROR(VLOOKUP($C31,'Proposed Rates'!$B:$J,Q$11,FALSE),0)</f>
        <v>0</v>
      </c>
      <c r="R31" s="415">
        <f t="shared" si="28"/>
        <v>7500</v>
      </c>
      <c r="S31" s="400">
        <f t="shared" si="29"/>
        <v>0</v>
      </c>
      <c r="T31" s="128"/>
      <c r="U31" s="401">
        <f t="shared" si="9"/>
        <v>0</v>
      </c>
      <c r="V31" s="402" t="str">
        <f t="shared" si="10"/>
        <v/>
      </c>
      <c r="W31" s="52"/>
      <c r="X31" s="397">
        <f>IFERROR(VLOOKUP($C31,'Proposed Rates'!$B:$J,X$11,FALSE),0)</f>
        <v>0</v>
      </c>
      <c r="Y31" s="415">
        <f t="shared" si="30"/>
        <v>7500</v>
      </c>
      <c r="Z31" s="400">
        <f t="shared" si="31"/>
        <v>0</v>
      </c>
      <c r="AA31" s="128"/>
      <c r="AB31" s="401">
        <f t="shared" si="13"/>
        <v>0</v>
      </c>
      <c r="AC31" s="402" t="str">
        <f t="shared" si="14"/>
        <v/>
      </c>
      <c r="AD31" s="52"/>
      <c r="AE31" s="397">
        <f>IFERROR(VLOOKUP($C31,'Proposed Rates'!$B:$J,AE$11,FALSE),0)</f>
        <v>0</v>
      </c>
      <c r="AF31" s="415">
        <f t="shared" si="32"/>
        <v>7500</v>
      </c>
      <c r="AG31" s="400">
        <f t="shared" si="33"/>
        <v>0</v>
      </c>
      <c r="AH31" s="128"/>
      <c r="AI31" s="401">
        <f t="shared" si="17"/>
        <v>0</v>
      </c>
      <c r="AJ31" s="402" t="str">
        <f t="shared" si="18"/>
        <v/>
      </c>
      <c r="AK31" s="52"/>
      <c r="AL31" s="397">
        <f>IFERROR(VLOOKUP($C31,'Proposed Rates'!$B:$J,AL$11,FALSE),0)</f>
        <v>0</v>
      </c>
      <c r="AM31" s="415">
        <f t="shared" si="34"/>
        <v>7500</v>
      </c>
      <c r="AN31" s="400">
        <f t="shared" si="35"/>
        <v>0</v>
      </c>
      <c r="AO31" s="128"/>
      <c r="AP31" s="401">
        <f t="shared" si="21"/>
        <v>0</v>
      </c>
      <c r="AQ31" s="402" t="str">
        <f t="shared" si="22"/>
        <v/>
      </c>
      <c r="AR31" s="403"/>
    </row>
    <row r="32" spans="1:44" ht="12.75" customHeight="1">
      <c r="A32" s="52"/>
      <c r="B32" s="484" t="s">
        <v>244</v>
      </c>
      <c r="C32" s="395" t="str">
        <f t="shared" si="23"/>
        <v>Large User.CBR Class B Rate Riders</v>
      </c>
      <c r="D32" s="396" t="s">
        <v>308</v>
      </c>
      <c r="E32" s="320"/>
      <c r="F32" s="414">
        <f>IFERROR(VLOOKUP($C32,'Proposed Rates'!$B:$J,F$11,FALSE),0)</f>
        <v>2.0000000000000001E-4</v>
      </c>
      <c r="G32" s="415">
        <f t="shared" si="24"/>
        <v>4000000</v>
      </c>
      <c r="H32" s="400">
        <f t="shared" si="25"/>
        <v>800</v>
      </c>
      <c r="I32" s="485"/>
      <c r="J32" s="414">
        <f>IFERROR(VLOOKUP($C32,'Proposed Rates'!$B:$J,J$11,FALSE),0)</f>
        <v>4.0000000000000002E-4</v>
      </c>
      <c r="K32" s="415">
        <f t="shared" si="26"/>
        <v>4000000</v>
      </c>
      <c r="L32" s="400">
        <f t="shared" si="27"/>
        <v>1600</v>
      </c>
      <c r="M32" s="417"/>
      <c r="N32" s="401">
        <f t="shared" si="5"/>
        <v>800</v>
      </c>
      <c r="O32" s="402">
        <f t="shared" si="6"/>
        <v>1</v>
      </c>
      <c r="P32" s="52"/>
      <c r="Q32" s="414">
        <f>IFERROR(VLOOKUP($C32,'Proposed Rates'!$B:$J,Q$11,FALSE),0)</f>
        <v>0</v>
      </c>
      <c r="R32" s="415">
        <f t="shared" si="28"/>
        <v>4000000</v>
      </c>
      <c r="S32" s="400">
        <f t="shared" si="29"/>
        <v>0</v>
      </c>
      <c r="T32" s="417"/>
      <c r="U32" s="401">
        <f t="shared" si="9"/>
        <v>-1600</v>
      </c>
      <c r="V32" s="402">
        <f t="shared" si="10"/>
        <v>-1</v>
      </c>
      <c r="W32" s="52"/>
      <c r="X32" s="414">
        <f>IFERROR(VLOOKUP($C32,'Proposed Rates'!$B:$J,X$11,FALSE),0)</f>
        <v>0</v>
      </c>
      <c r="Y32" s="415">
        <f t="shared" si="30"/>
        <v>4000000</v>
      </c>
      <c r="Z32" s="400">
        <f t="shared" si="31"/>
        <v>0</v>
      </c>
      <c r="AA32" s="128"/>
      <c r="AB32" s="401">
        <f t="shared" si="13"/>
        <v>0</v>
      </c>
      <c r="AC32" s="402" t="str">
        <f t="shared" si="14"/>
        <v/>
      </c>
      <c r="AD32" s="52"/>
      <c r="AE32" s="414">
        <f>IFERROR(VLOOKUP($C32,'Proposed Rates'!$B:$J,AE$11,FALSE),0)</f>
        <v>0</v>
      </c>
      <c r="AF32" s="415">
        <f t="shared" si="32"/>
        <v>4000000</v>
      </c>
      <c r="AG32" s="400">
        <f t="shared" si="33"/>
        <v>0</v>
      </c>
      <c r="AH32" s="128"/>
      <c r="AI32" s="401">
        <f t="shared" si="17"/>
        <v>0</v>
      </c>
      <c r="AJ32" s="402" t="str">
        <f t="shared" si="18"/>
        <v/>
      </c>
      <c r="AK32" s="52"/>
      <c r="AL32" s="414">
        <f>IFERROR(VLOOKUP($C32,'Proposed Rates'!$B:$J,AL$11,FALSE),0)</f>
        <v>0</v>
      </c>
      <c r="AM32" s="415">
        <f t="shared" si="34"/>
        <v>4000000</v>
      </c>
      <c r="AN32" s="400">
        <f t="shared" si="35"/>
        <v>0</v>
      </c>
      <c r="AO32" s="417"/>
      <c r="AP32" s="401">
        <f t="shared" si="21"/>
        <v>0</v>
      </c>
      <c r="AQ32" s="402" t="str">
        <f t="shared" si="22"/>
        <v/>
      </c>
      <c r="AR32" s="403"/>
    </row>
    <row r="33" spans="1:44" ht="12.75" customHeight="1">
      <c r="A33" s="52"/>
      <c r="B33" s="484" t="s">
        <v>249</v>
      </c>
      <c r="C33" s="395" t="str">
        <f t="shared" si="23"/>
        <v>Large User.GA Rate Riders</v>
      </c>
      <c r="D33" s="396" t="s">
        <v>308</v>
      </c>
      <c r="E33" s="320"/>
      <c r="F33" s="414">
        <f>IFERROR(VLOOKUP($C33,'Proposed Rates'!$B:$J,F$11,FALSE),0)</f>
        <v>3.8999999999999998E-3</v>
      </c>
      <c r="G33" s="415">
        <f t="shared" si="24"/>
        <v>4000000</v>
      </c>
      <c r="H33" s="400">
        <f t="shared" si="25"/>
        <v>15600</v>
      </c>
      <c r="I33" s="485"/>
      <c r="J33" s="414">
        <f>IFERROR(VLOOKUP($C33,'Proposed Rates'!$B:$J,J$11,FALSE),0)</f>
        <v>4.4999999999999997E-3</v>
      </c>
      <c r="K33" s="415">
        <f t="shared" si="26"/>
        <v>4000000</v>
      </c>
      <c r="L33" s="400">
        <f t="shared" si="27"/>
        <v>18000</v>
      </c>
      <c r="M33" s="417"/>
      <c r="N33" s="401">
        <f t="shared" si="5"/>
        <v>2400</v>
      </c>
      <c r="O33" s="402">
        <f t="shared" si="6"/>
        <v>0.15384615384615385</v>
      </c>
      <c r="P33" s="52"/>
      <c r="Q33" s="414">
        <f>IFERROR(VLOOKUP($C33,'Proposed Rates'!$B:$J,Q$11,FALSE),0)</f>
        <v>0</v>
      </c>
      <c r="R33" s="415">
        <f t="shared" si="28"/>
        <v>4000000</v>
      </c>
      <c r="S33" s="400">
        <f t="shared" si="29"/>
        <v>0</v>
      </c>
      <c r="T33" s="417"/>
      <c r="U33" s="401">
        <f t="shared" si="9"/>
        <v>-18000</v>
      </c>
      <c r="V33" s="402">
        <f t="shared" si="10"/>
        <v>-1</v>
      </c>
      <c r="W33" s="52"/>
      <c r="X33" s="414">
        <f>IFERROR(VLOOKUP($C33,'Proposed Rates'!$B:$J,X$11,FALSE),0)</f>
        <v>0</v>
      </c>
      <c r="Y33" s="415">
        <f t="shared" si="30"/>
        <v>4000000</v>
      </c>
      <c r="Z33" s="400">
        <f t="shared" si="31"/>
        <v>0</v>
      </c>
      <c r="AA33" s="417"/>
      <c r="AB33" s="401">
        <f t="shared" si="13"/>
        <v>0</v>
      </c>
      <c r="AC33" s="402" t="str">
        <f t="shared" si="14"/>
        <v/>
      </c>
      <c r="AD33" s="52"/>
      <c r="AE33" s="414">
        <f>IFERROR(VLOOKUP($C33,'Proposed Rates'!$B:$J,AE$11,FALSE),0)</f>
        <v>0</v>
      </c>
      <c r="AF33" s="415">
        <f t="shared" si="32"/>
        <v>4000000</v>
      </c>
      <c r="AG33" s="400">
        <f t="shared" si="33"/>
        <v>0</v>
      </c>
      <c r="AH33" s="417"/>
      <c r="AI33" s="401">
        <f t="shared" si="17"/>
        <v>0</v>
      </c>
      <c r="AJ33" s="402" t="str">
        <f t="shared" si="18"/>
        <v/>
      </c>
      <c r="AK33" s="52"/>
      <c r="AL33" s="414">
        <f>IFERROR(VLOOKUP($C33,'Proposed Rates'!$B:$J,AL$11,FALSE),0)</f>
        <v>0</v>
      </c>
      <c r="AM33" s="415">
        <f t="shared" si="34"/>
        <v>4000000</v>
      </c>
      <c r="AN33" s="400">
        <f t="shared" si="35"/>
        <v>0</v>
      </c>
      <c r="AO33" s="417"/>
      <c r="AP33" s="401">
        <f t="shared" si="21"/>
        <v>0</v>
      </c>
      <c r="AQ33" s="402" t="str">
        <f t="shared" si="22"/>
        <v/>
      </c>
      <c r="AR33" s="403"/>
    </row>
    <row r="34" spans="1:44" ht="12.75" customHeight="1">
      <c r="A34" s="52"/>
      <c r="B34" s="484" t="s">
        <v>252</v>
      </c>
      <c r="C34" s="395" t="str">
        <f t="shared" si="23"/>
        <v>Large User.Total Deferral/Variance Account Rate RidersYr2</v>
      </c>
      <c r="D34" s="396" t="s">
        <v>377</v>
      </c>
      <c r="E34" s="320"/>
      <c r="F34" s="397">
        <f>IFERROR(VLOOKUP($C34,'Proposed Rates'!$B:$J,F$11,FALSE),0)</f>
        <v>0</v>
      </c>
      <c r="G34" s="415">
        <f t="shared" si="24"/>
        <v>7500</v>
      </c>
      <c r="H34" s="400">
        <f t="shared" si="25"/>
        <v>0</v>
      </c>
      <c r="I34" s="485"/>
      <c r="J34" s="397">
        <f>IFERROR(VLOOKUP($C34,'Proposed Rates'!$B:$J,J$11,FALSE),0)</f>
        <v>0</v>
      </c>
      <c r="K34" s="415">
        <f t="shared" si="26"/>
        <v>7500</v>
      </c>
      <c r="L34" s="400">
        <f t="shared" si="27"/>
        <v>0</v>
      </c>
      <c r="M34" s="417"/>
      <c r="N34" s="401">
        <f t="shared" si="5"/>
        <v>0</v>
      </c>
      <c r="O34" s="402" t="str">
        <f t="shared" si="6"/>
        <v/>
      </c>
      <c r="P34" s="52"/>
      <c r="Q34" s="397">
        <f>IFERROR(VLOOKUP($C34,'Proposed Rates'!$B:$J,Q$11,FALSE),0)</f>
        <v>0</v>
      </c>
      <c r="R34" s="415">
        <f t="shared" si="28"/>
        <v>7500</v>
      </c>
      <c r="S34" s="400">
        <f t="shared" si="29"/>
        <v>0</v>
      </c>
      <c r="T34" s="417"/>
      <c r="U34" s="401">
        <f t="shared" si="9"/>
        <v>0</v>
      </c>
      <c r="V34" s="402" t="str">
        <f t="shared" si="10"/>
        <v/>
      </c>
      <c r="W34" s="52"/>
      <c r="X34" s="397">
        <f>IFERROR(VLOOKUP($C34,'Proposed Rates'!$B:$J,X$11,FALSE),0)</f>
        <v>0</v>
      </c>
      <c r="Y34" s="415">
        <f t="shared" si="30"/>
        <v>7500</v>
      </c>
      <c r="Z34" s="400">
        <f t="shared" si="31"/>
        <v>0</v>
      </c>
      <c r="AA34" s="417"/>
      <c r="AB34" s="401">
        <f t="shared" si="13"/>
        <v>0</v>
      </c>
      <c r="AC34" s="402" t="str">
        <f t="shared" si="14"/>
        <v/>
      </c>
      <c r="AD34" s="52"/>
      <c r="AE34" s="397">
        <f>IFERROR(VLOOKUP($C34,'Proposed Rates'!$B:$J,AE$11,FALSE),0)</f>
        <v>0</v>
      </c>
      <c r="AF34" s="415">
        <f t="shared" si="32"/>
        <v>7500</v>
      </c>
      <c r="AG34" s="400">
        <f t="shared" si="33"/>
        <v>0</v>
      </c>
      <c r="AH34" s="417"/>
      <c r="AI34" s="401">
        <f t="shared" si="17"/>
        <v>0</v>
      </c>
      <c r="AJ34" s="402" t="str">
        <f t="shared" si="18"/>
        <v/>
      </c>
      <c r="AK34" s="52"/>
      <c r="AL34" s="397">
        <f>IFERROR(VLOOKUP($C34,'Proposed Rates'!$B:$J,AL$11,FALSE),0)</f>
        <v>0</v>
      </c>
      <c r="AM34" s="415">
        <f t="shared" si="34"/>
        <v>7500</v>
      </c>
      <c r="AN34" s="400">
        <f t="shared" si="35"/>
        <v>0</v>
      </c>
      <c r="AO34" s="417"/>
      <c r="AP34" s="401">
        <f t="shared" si="21"/>
        <v>0</v>
      </c>
      <c r="AQ34" s="402" t="str">
        <f t="shared" si="22"/>
        <v/>
      </c>
      <c r="AR34" s="403"/>
    </row>
    <row r="35" spans="1:44" ht="12.75" customHeight="1">
      <c r="A35" s="52"/>
      <c r="B35" s="484" t="s">
        <v>254</v>
      </c>
      <c r="C35" s="395" t="str">
        <f t="shared" si="23"/>
        <v>Large User.Total Deferral/Variance Account Rate Riders</v>
      </c>
      <c r="D35" s="396" t="s">
        <v>377</v>
      </c>
      <c r="E35" s="320"/>
      <c r="F35" s="397">
        <f>IFERROR(VLOOKUP($C35,'Proposed Rates'!$B:$J,F$11,FALSE),0)</f>
        <v>0</v>
      </c>
      <c r="G35" s="415">
        <f t="shared" si="24"/>
        <v>7500</v>
      </c>
      <c r="H35" s="400">
        <f t="shared" si="25"/>
        <v>0</v>
      </c>
      <c r="I35" s="128"/>
      <c r="J35" s="397">
        <f>IFERROR(VLOOKUP($C35,'Proposed Rates'!$B:$J,J$11,FALSE),0)</f>
        <v>0</v>
      </c>
      <c r="K35" s="415">
        <f t="shared" si="26"/>
        <v>7500</v>
      </c>
      <c r="L35" s="400">
        <f t="shared" si="27"/>
        <v>0</v>
      </c>
      <c r="M35" s="128"/>
      <c r="N35" s="401">
        <f t="shared" si="5"/>
        <v>0</v>
      </c>
      <c r="O35" s="402" t="str">
        <f t="shared" si="6"/>
        <v/>
      </c>
      <c r="P35" s="52"/>
      <c r="Q35" s="397">
        <f>IFERROR(VLOOKUP($C35,'Proposed Rates'!$B:$J,Q$11,FALSE),0)</f>
        <v>0</v>
      </c>
      <c r="R35" s="415">
        <f t="shared" si="28"/>
        <v>7500</v>
      </c>
      <c r="S35" s="400">
        <f t="shared" si="29"/>
        <v>0</v>
      </c>
      <c r="T35" s="128"/>
      <c r="U35" s="401">
        <f t="shared" si="9"/>
        <v>0</v>
      </c>
      <c r="V35" s="402" t="str">
        <f t="shared" si="10"/>
        <v/>
      </c>
      <c r="W35" s="52"/>
      <c r="X35" s="397">
        <f>IFERROR(VLOOKUP($C35,'Proposed Rates'!$B:$J,X$11,FALSE),0)</f>
        <v>0</v>
      </c>
      <c r="Y35" s="415">
        <f t="shared" si="30"/>
        <v>7500</v>
      </c>
      <c r="Z35" s="400">
        <f t="shared" si="31"/>
        <v>0</v>
      </c>
      <c r="AA35" s="128"/>
      <c r="AB35" s="401">
        <f t="shared" si="13"/>
        <v>0</v>
      </c>
      <c r="AC35" s="402" t="str">
        <f t="shared" si="14"/>
        <v/>
      </c>
      <c r="AD35" s="52"/>
      <c r="AE35" s="397">
        <f>IFERROR(VLOOKUP($C35,'Proposed Rates'!$B:$J,AE$11,FALSE),0)</f>
        <v>0</v>
      </c>
      <c r="AF35" s="415">
        <f t="shared" si="32"/>
        <v>7500</v>
      </c>
      <c r="AG35" s="400">
        <f t="shared" si="33"/>
        <v>0</v>
      </c>
      <c r="AH35" s="128"/>
      <c r="AI35" s="401">
        <f t="shared" si="17"/>
        <v>0</v>
      </c>
      <c r="AJ35" s="402" t="str">
        <f t="shared" si="18"/>
        <v/>
      </c>
      <c r="AK35" s="52"/>
      <c r="AL35" s="397">
        <f>IFERROR(VLOOKUP($C35,'Proposed Rates'!$B:$J,AL$11,FALSE),0)</f>
        <v>0</v>
      </c>
      <c r="AM35" s="415">
        <f t="shared" si="34"/>
        <v>7500</v>
      </c>
      <c r="AN35" s="400">
        <f t="shared" si="35"/>
        <v>0</v>
      </c>
      <c r="AO35" s="128"/>
      <c r="AP35" s="401">
        <f t="shared" si="21"/>
        <v>0</v>
      </c>
      <c r="AQ35" s="402" t="str">
        <f t="shared" si="22"/>
        <v/>
      </c>
      <c r="AR35" s="403"/>
    </row>
    <row r="36" spans="1:44" ht="12.75" customHeight="1">
      <c r="A36" s="52"/>
      <c r="B36" s="320" t="s">
        <v>269</v>
      </c>
      <c r="C36" s="395" t="str">
        <f t="shared" si="23"/>
        <v>Large User.Low Voltage Service Charge</v>
      </c>
      <c r="D36" s="396" t="s">
        <v>377</v>
      </c>
      <c r="E36" s="320"/>
      <c r="F36" s="418">
        <f>IFERROR(VLOOKUP($C36,'Proposed Rates'!$B:$J,F$11,FALSE),0)</f>
        <v>2.4819999999999998E-2</v>
      </c>
      <c r="G36" s="415">
        <f t="shared" si="24"/>
        <v>7500</v>
      </c>
      <c r="H36" s="400">
        <f t="shared" si="25"/>
        <v>186.14999999999998</v>
      </c>
      <c r="I36" s="128"/>
      <c r="J36" s="418">
        <f>IFERROR(VLOOKUP($C36,'Proposed Rates'!$B:$J,J$11,FALSE),0)</f>
        <v>2.7179999999999999E-2</v>
      </c>
      <c r="K36" s="415">
        <f t="shared" si="26"/>
        <v>7500</v>
      </c>
      <c r="L36" s="400">
        <f t="shared" si="27"/>
        <v>203.85</v>
      </c>
      <c r="M36" s="128"/>
      <c r="N36" s="401">
        <f t="shared" si="5"/>
        <v>17.700000000000017</v>
      </c>
      <c r="O36" s="402">
        <f t="shared" si="6"/>
        <v>9.5084609186140312E-2</v>
      </c>
      <c r="P36" s="52"/>
      <c r="Q36" s="418">
        <f>IFERROR(VLOOKUP($C36,'Proposed Rates'!$B:$J,Q$11,FALSE),0)</f>
        <v>2.7890000000000002E-2</v>
      </c>
      <c r="R36" s="415">
        <f t="shared" si="28"/>
        <v>7500</v>
      </c>
      <c r="S36" s="400">
        <f t="shared" si="29"/>
        <v>209.17500000000001</v>
      </c>
      <c r="T36" s="128"/>
      <c r="U36" s="401">
        <f t="shared" si="9"/>
        <v>5.3250000000000171</v>
      </c>
      <c r="V36" s="402">
        <f t="shared" si="10"/>
        <v>2.6122148638705014E-2</v>
      </c>
      <c r="W36" s="52"/>
      <c r="X36" s="418">
        <f>IFERROR(VLOOKUP($C36,'Proposed Rates'!$B:$J,X$11,FALSE),0)</f>
        <v>2.8250000000000001E-2</v>
      </c>
      <c r="Y36" s="415">
        <f t="shared" si="30"/>
        <v>7500</v>
      </c>
      <c r="Z36" s="400">
        <f t="shared" si="31"/>
        <v>211.875</v>
      </c>
      <c r="AA36" s="128"/>
      <c r="AB36" s="401">
        <f t="shared" si="13"/>
        <v>2.6999999999999886</v>
      </c>
      <c r="AC36" s="402">
        <f t="shared" si="14"/>
        <v>1.2907852276801666E-2</v>
      </c>
      <c r="AD36" s="52"/>
      <c r="AE36" s="418">
        <f>IFERROR(VLOOKUP($C36,'Proposed Rates'!$B:$J,AE$11,FALSE),0)</f>
        <v>2.8719999999999999E-2</v>
      </c>
      <c r="AF36" s="415">
        <f t="shared" si="32"/>
        <v>7500</v>
      </c>
      <c r="AG36" s="400">
        <f t="shared" si="33"/>
        <v>215.4</v>
      </c>
      <c r="AH36" s="128"/>
      <c r="AI36" s="401">
        <f t="shared" si="17"/>
        <v>3.5250000000000057</v>
      </c>
      <c r="AJ36" s="402">
        <f t="shared" si="18"/>
        <v>1.6637168141592946E-2</v>
      </c>
      <c r="AK36" s="52"/>
      <c r="AL36" s="418">
        <f>IFERROR(VLOOKUP($C36,'Proposed Rates'!$B:$J,AL$11,FALSE),0)</f>
        <v>2.9219999999999999E-2</v>
      </c>
      <c r="AM36" s="415">
        <f t="shared" si="34"/>
        <v>7500</v>
      </c>
      <c r="AN36" s="400">
        <f t="shared" si="35"/>
        <v>219.15</v>
      </c>
      <c r="AO36" s="128"/>
      <c r="AP36" s="401">
        <f t="shared" si="21"/>
        <v>3.75</v>
      </c>
      <c r="AQ36" s="402">
        <f t="shared" si="22"/>
        <v>1.7409470752089137E-2</v>
      </c>
      <c r="AR36" s="403"/>
    </row>
    <row r="37" spans="1:44" ht="12.75" customHeight="1">
      <c r="A37" s="52"/>
      <c r="B37" s="320" t="s">
        <v>312</v>
      </c>
      <c r="C37" s="395" t="str">
        <f t="shared" si="23"/>
        <v>Large User.Line Losses on Cost of Power</v>
      </c>
      <c r="D37" s="396" t="s">
        <v>308</v>
      </c>
      <c r="E37" s="320"/>
      <c r="F37" s="558"/>
      <c r="G37" s="507">
        <f>$F$9*(1+F$65)-$F$9</f>
        <v>20400.000000000466</v>
      </c>
      <c r="H37" s="400">
        <f t="shared" si="25"/>
        <v>0</v>
      </c>
      <c r="I37" s="128"/>
      <c r="J37" s="558"/>
      <c r="K37" s="507">
        <f>$F$9*(1+J$65)-$F$9</f>
        <v>19199.999999999534</v>
      </c>
      <c r="L37" s="400">
        <f t="shared" si="27"/>
        <v>0</v>
      </c>
      <c r="M37" s="128"/>
      <c r="N37" s="401">
        <f t="shared" si="5"/>
        <v>0</v>
      </c>
      <c r="O37" s="402" t="str">
        <f t="shared" si="6"/>
        <v/>
      </c>
      <c r="P37" s="52"/>
      <c r="Q37" s="558"/>
      <c r="R37" s="507">
        <f>$F$9*(1+Q$65)-$F$9</f>
        <v>19199.999999999534</v>
      </c>
      <c r="S37" s="400">
        <f t="shared" si="29"/>
        <v>0</v>
      </c>
      <c r="T37" s="128"/>
      <c r="U37" s="401">
        <f t="shared" si="9"/>
        <v>0</v>
      </c>
      <c r="V37" s="402" t="str">
        <f t="shared" si="10"/>
        <v/>
      </c>
      <c r="W37" s="52"/>
      <c r="X37" s="558"/>
      <c r="Y37" s="507">
        <f>$F$9*(1+X$65)-$F$9</f>
        <v>19199.999999999534</v>
      </c>
      <c r="Z37" s="400">
        <f t="shared" si="31"/>
        <v>0</v>
      </c>
      <c r="AA37" s="128"/>
      <c r="AB37" s="401">
        <f t="shared" si="13"/>
        <v>0</v>
      </c>
      <c r="AC37" s="402" t="str">
        <f t="shared" si="14"/>
        <v/>
      </c>
      <c r="AD37" s="52"/>
      <c r="AE37" s="558"/>
      <c r="AF37" s="507">
        <f>$F$9*(1+AE$65)-$F$9</f>
        <v>19199.999999999534</v>
      </c>
      <c r="AG37" s="400">
        <f t="shared" si="33"/>
        <v>0</v>
      </c>
      <c r="AH37" s="128"/>
      <c r="AI37" s="401">
        <f t="shared" si="17"/>
        <v>0</v>
      </c>
      <c r="AJ37" s="402" t="str">
        <f t="shared" si="18"/>
        <v/>
      </c>
      <c r="AK37" s="52"/>
      <c r="AL37" s="558"/>
      <c r="AM37" s="507">
        <f>$F$9*(1+AL$65)-$F$9</f>
        <v>19199.999999999534</v>
      </c>
      <c r="AN37" s="400">
        <f t="shared" si="35"/>
        <v>0</v>
      </c>
      <c r="AO37" s="128"/>
      <c r="AP37" s="401">
        <f t="shared" si="21"/>
        <v>0</v>
      </c>
      <c r="AQ37" s="402" t="str">
        <f t="shared" si="22"/>
        <v/>
      </c>
      <c r="AR37" s="403"/>
    </row>
    <row r="38" spans="1:44" ht="12.75" customHeight="1">
      <c r="A38" s="52"/>
      <c r="B38" s="320" t="s">
        <v>271</v>
      </c>
      <c r="C38" s="395" t="str">
        <f t="shared" si="23"/>
        <v>Large User.Smart Meter Entity Charge</v>
      </c>
      <c r="D38" s="396" t="s">
        <v>306</v>
      </c>
      <c r="E38" s="320"/>
      <c r="F38" s="397">
        <f>IFERROR(VLOOKUP($C38,'Proposed Rates'!$B:$J,F$11,FALSE),0)</f>
        <v>0</v>
      </c>
      <c r="G38" s="415">
        <f>IF($D38="Monthly",1,IF($D38="per KW",$F$10,IF($D38="per kWh",$F$9,0)))</f>
        <v>1</v>
      </c>
      <c r="H38" s="400">
        <f t="shared" si="25"/>
        <v>0</v>
      </c>
      <c r="I38" s="128"/>
      <c r="J38" s="397">
        <f>IFERROR(VLOOKUP($C38,'Proposed Rates'!$B:$J,J$11,FALSE),0)</f>
        <v>0</v>
      </c>
      <c r="K38" s="415">
        <f>IF($D38="Monthly",1,IF($D38="per KW",$F$10,IF($D38="per kWh",$F$9,0)))</f>
        <v>1</v>
      </c>
      <c r="L38" s="400">
        <f t="shared" si="27"/>
        <v>0</v>
      </c>
      <c r="M38" s="128"/>
      <c r="N38" s="401">
        <f t="shared" si="5"/>
        <v>0</v>
      </c>
      <c r="O38" s="402" t="str">
        <f t="shared" si="6"/>
        <v/>
      </c>
      <c r="P38" s="52"/>
      <c r="Q38" s="397">
        <f>IFERROR(VLOOKUP($C38,'Proposed Rates'!$B:$J,Q$11,FALSE),0)</f>
        <v>0</v>
      </c>
      <c r="R38" s="415">
        <f>IF($D38="Monthly",1,IF($D38="per KW",$F$10,IF($D38="per kWh",$F$9,0)))</f>
        <v>1</v>
      </c>
      <c r="S38" s="400">
        <f t="shared" si="29"/>
        <v>0</v>
      </c>
      <c r="T38" s="128"/>
      <c r="U38" s="401">
        <f t="shared" si="9"/>
        <v>0</v>
      </c>
      <c r="V38" s="402" t="str">
        <f t="shared" si="10"/>
        <v/>
      </c>
      <c r="W38" s="52"/>
      <c r="X38" s="397">
        <f>IFERROR(VLOOKUP($C38,'Proposed Rates'!$B:$J,X$11,FALSE),0)</f>
        <v>0</v>
      </c>
      <c r="Y38" s="415">
        <f>IF($D38="Monthly",1,IF($D38="per KW",$F$10,IF($D38="per kWh",$F$9,0)))</f>
        <v>1</v>
      </c>
      <c r="Z38" s="400">
        <f t="shared" si="31"/>
        <v>0</v>
      </c>
      <c r="AA38" s="128"/>
      <c r="AB38" s="401">
        <f t="shared" si="13"/>
        <v>0</v>
      </c>
      <c r="AC38" s="402" t="str">
        <f t="shared" si="14"/>
        <v/>
      </c>
      <c r="AD38" s="52"/>
      <c r="AE38" s="397">
        <f>IFERROR(VLOOKUP($C38,'Proposed Rates'!$B:$J,AE$11,FALSE),0)</f>
        <v>0</v>
      </c>
      <c r="AF38" s="415">
        <f>IF($D38="Monthly",1,IF($D38="per KW",$F$10,IF($D38="per kWh",$F$9,0)))</f>
        <v>1</v>
      </c>
      <c r="AG38" s="400">
        <f t="shared" si="33"/>
        <v>0</v>
      </c>
      <c r="AH38" s="128"/>
      <c r="AI38" s="401">
        <f t="shared" si="17"/>
        <v>0</v>
      </c>
      <c r="AJ38" s="402" t="str">
        <f t="shared" si="18"/>
        <v/>
      </c>
      <c r="AK38" s="52"/>
      <c r="AL38" s="397">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559"/>
      <c r="D39" s="422"/>
      <c r="E39" s="422"/>
      <c r="F39" s="423"/>
      <c r="G39" s="501"/>
      <c r="H39" s="409">
        <f>SUM(H30:H38)+H29</f>
        <v>78753.83</v>
      </c>
      <c r="I39" s="425"/>
      <c r="J39" s="423"/>
      <c r="K39" s="501"/>
      <c r="L39" s="409">
        <f>SUM(L30:L38)+L29</f>
        <v>86918.53</v>
      </c>
      <c r="M39" s="425"/>
      <c r="N39" s="411">
        <f t="shared" si="5"/>
        <v>8164.6999999999971</v>
      </c>
      <c r="O39" s="412">
        <f t="shared" si="6"/>
        <v>0.10367368799714245</v>
      </c>
      <c r="P39" s="52"/>
      <c r="Q39" s="423"/>
      <c r="R39" s="501"/>
      <c r="S39" s="409">
        <f>SUM(S30:S38)+S29</f>
        <v>81330.104999999996</v>
      </c>
      <c r="T39" s="425"/>
      <c r="U39" s="411">
        <f t="shared" si="9"/>
        <v>-5588.4250000000029</v>
      </c>
      <c r="V39" s="412">
        <f t="shared" si="10"/>
        <v>-6.4294978297493102E-2</v>
      </c>
      <c r="W39" s="52"/>
      <c r="X39" s="423"/>
      <c r="Y39" s="501"/>
      <c r="Z39" s="409">
        <f>SUM(Z30:Z38)+Z29</f>
        <v>89054.804999999993</v>
      </c>
      <c r="AA39" s="425"/>
      <c r="AB39" s="411">
        <f t="shared" si="13"/>
        <v>7724.6999999999971</v>
      </c>
      <c r="AC39" s="412">
        <f t="shared" si="14"/>
        <v>9.4979589661171565E-2</v>
      </c>
      <c r="AD39" s="52"/>
      <c r="AE39" s="423"/>
      <c r="AF39" s="501"/>
      <c r="AG39" s="409">
        <f>SUM(AG30:AG38)+AG29</f>
        <v>95176.829999999987</v>
      </c>
      <c r="AH39" s="425"/>
      <c r="AI39" s="411">
        <f t="shared" si="17"/>
        <v>6122.0249999999942</v>
      </c>
      <c r="AJ39" s="412">
        <f t="shared" si="18"/>
        <v>6.8744465837637783E-2</v>
      </c>
      <c r="AK39" s="52"/>
      <c r="AL39" s="423"/>
      <c r="AM39" s="501"/>
      <c r="AN39" s="409">
        <f>SUM(AN30:AN38)+AN29</f>
        <v>100591.82999999999</v>
      </c>
      <c r="AO39" s="425"/>
      <c r="AP39" s="411">
        <f t="shared" si="21"/>
        <v>5415</v>
      </c>
      <c r="AQ39" s="412">
        <f t="shared" si="22"/>
        <v>5.6894099120552773E-2</v>
      </c>
      <c r="AR39" s="413"/>
    </row>
    <row r="40" spans="1:44" ht="12.75" customHeight="1">
      <c r="A40" s="52"/>
      <c r="B40" s="128" t="s">
        <v>255</v>
      </c>
      <c r="C40" s="395" t="str">
        <f t="shared" ref="C40:C41" si="36">D$6&amp;"."&amp;B40</f>
        <v>Large User.RTSR - Network</v>
      </c>
      <c r="D40" s="426" t="s">
        <v>377</v>
      </c>
      <c r="E40" s="128"/>
      <c r="F40" s="414">
        <f>IFERROR(VLOOKUP($C40,'Proposed Rates'!$B:$J,F$11,FALSE),0)</f>
        <v>5.5801999999999996</v>
      </c>
      <c r="G40" s="415">
        <f t="shared" ref="G40:G41" si="37">IF($D40="Monthly",1,IF($D40="per KW",$F$10,IF($D40="per kWh",$F$9,0)))</f>
        <v>7500</v>
      </c>
      <c r="H40" s="400">
        <f t="shared" ref="H40:H41" si="38">G40*F40</f>
        <v>41851.5</v>
      </c>
      <c r="I40" s="128"/>
      <c r="J40" s="414">
        <f>IFERROR(VLOOKUP($C40,'Proposed Rates'!$B:$J,J$11,FALSE),0)</f>
        <v>5.3339999999999996</v>
      </c>
      <c r="K40" s="415">
        <f t="shared" ref="K40:K41" si="39">IF($D40="Monthly",1,IF($D40="per KW",$F$10,IF($D40="per kWh",$F$9,0)))</f>
        <v>7500</v>
      </c>
      <c r="L40" s="400">
        <f t="shared" ref="L40:L41" si="40">K40*J40</f>
        <v>40005</v>
      </c>
      <c r="M40" s="128"/>
      <c r="N40" s="401">
        <f t="shared" si="5"/>
        <v>-1846.5</v>
      </c>
      <c r="O40" s="402">
        <f t="shared" si="6"/>
        <v>-4.412028242715315E-2</v>
      </c>
      <c r="P40" s="52"/>
      <c r="Q40" s="414">
        <f>IFERROR(VLOOKUP($C40,'Proposed Rates'!$B:$J,Q$11,FALSE),0)</f>
        <v>5.3339999999999996</v>
      </c>
      <c r="R40" s="415">
        <f t="shared" ref="R40:R41" si="41">IF($D40="Monthly",1,IF($D40="per KW",$F$10,IF($D40="per kWh",$F$9,0)))</f>
        <v>7500</v>
      </c>
      <c r="S40" s="400">
        <f t="shared" ref="S40:S41" si="42">R40*Q40</f>
        <v>40005</v>
      </c>
      <c r="T40" s="128"/>
      <c r="U40" s="401">
        <f t="shared" si="9"/>
        <v>0</v>
      </c>
      <c r="V40" s="402">
        <f t="shared" si="10"/>
        <v>0</v>
      </c>
      <c r="W40" s="52"/>
      <c r="X40" s="414">
        <f>IFERROR(VLOOKUP($C40,'Proposed Rates'!$B:$J,X$11,FALSE),0)</f>
        <v>5.3339999999999996</v>
      </c>
      <c r="Y40" s="415">
        <f t="shared" ref="Y40:Y41" si="43">IF($D40="Monthly",1,IF($D40="per KW",$F$10,IF($D40="per kWh",$F$9,0)))</f>
        <v>7500</v>
      </c>
      <c r="Z40" s="400">
        <f t="shared" ref="Z40:Z41" si="44">Y40*X40</f>
        <v>40005</v>
      </c>
      <c r="AA40" s="128"/>
      <c r="AB40" s="401">
        <f t="shared" si="13"/>
        <v>0</v>
      </c>
      <c r="AC40" s="402">
        <f t="shared" si="14"/>
        <v>0</v>
      </c>
      <c r="AD40" s="52"/>
      <c r="AE40" s="414">
        <f>IFERROR(VLOOKUP($C40,'Proposed Rates'!$B:$J,AE$11,FALSE),0)</f>
        <v>5.3339999999999996</v>
      </c>
      <c r="AF40" s="415">
        <f t="shared" ref="AF40:AF41" si="45">IF($D40="Monthly",1,IF($D40="per KW",$F$10,IF($D40="per kWh",$F$9,0)))</f>
        <v>7500</v>
      </c>
      <c r="AG40" s="400">
        <f t="shared" ref="AG40:AG41" si="46">AF40*AE40</f>
        <v>40005</v>
      </c>
      <c r="AH40" s="128"/>
      <c r="AI40" s="401">
        <f t="shared" si="17"/>
        <v>0</v>
      </c>
      <c r="AJ40" s="402">
        <f t="shared" si="18"/>
        <v>0</v>
      </c>
      <c r="AK40" s="52"/>
      <c r="AL40" s="414">
        <f>IFERROR(VLOOKUP($C40,'Proposed Rates'!$B:$J,AL$11,FALSE),0)</f>
        <v>5.3339999999999996</v>
      </c>
      <c r="AM40" s="415">
        <f t="shared" ref="AM40:AM41" si="47">IF($D40="Monthly",1,IF($D40="per KW",$F$10,IF($D40="per kWh",$F$9,0)))</f>
        <v>7500</v>
      </c>
      <c r="AN40" s="400">
        <f t="shared" ref="AN40:AN41" si="48">AM40*AL40</f>
        <v>40005</v>
      </c>
      <c r="AO40" s="128"/>
      <c r="AP40" s="401">
        <f t="shared" si="21"/>
        <v>0</v>
      </c>
      <c r="AQ40" s="402">
        <f t="shared" si="22"/>
        <v>0</v>
      </c>
      <c r="AR40" s="403"/>
    </row>
    <row r="41" spans="1:44" ht="12.75" customHeight="1">
      <c r="A41" s="52"/>
      <c r="B41" s="487" t="s">
        <v>256</v>
      </c>
      <c r="C41" s="395" t="str">
        <f t="shared" si="36"/>
        <v>Large User.RTSR - Line and Transformation Connection</v>
      </c>
      <c r="D41" s="426" t="s">
        <v>377</v>
      </c>
      <c r="E41" s="128"/>
      <c r="F41" s="414">
        <f>IFERROR(VLOOKUP($C41,'Proposed Rates'!$B:$J,F$11,FALSE),0)</f>
        <v>3.3923999999999999</v>
      </c>
      <c r="G41" s="415">
        <f t="shared" si="37"/>
        <v>7500</v>
      </c>
      <c r="H41" s="400">
        <f t="shared" si="38"/>
        <v>25443</v>
      </c>
      <c r="I41" s="128"/>
      <c r="J41" s="414">
        <f>IFERROR(VLOOKUP($C41,'Proposed Rates'!$B:$J,J$11,FALSE),0)</f>
        <v>3.0192999999999999</v>
      </c>
      <c r="K41" s="415">
        <f t="shared" si="39"/>
        <v>7500</v>
      </c>
      <c r="L41" s="400">
        <f t="shared" si="40"/>
        <v>22644.75</v>
      </c>
      <c r="M41" s="128"/>
      <c r="N41" s="401">
        <f t="shared" si="5"/>
        <v>-2798.25</v>
      </c>
      <c r="O41" s="402">
        <f t="shared" si="6"/>
        <v>-0.10998113430020044</v>
      </c>
      <c r="P41" s="52"/>
      <c r="Q41" s="414">
        <f>IFERROR(VLOOKUP($C41,'Proposed Rates'!$B:$J,Q$11,FALSE),0)</f>
        <v>3.0192999999999999</v>
      </c>
      <c r="R41" s="415">
        <f t="shared" si="41"/>
        <v>7500</v>
      </c>
      <c r="S41" s="400">
        <f t="shared" si="42"/>
        <v>22644.75</v>
      </c>
      <c r="T41" s="128"/>
      <c r="U41" s="401">
        <f t="shared" si="9"/>
        <v>0</v>
      </c>
      <c r="V41" s="402">
        <f t="shared" si="10"/>
        <v>0</v>
      </c>
      <c r="W41" s="52"/>
      <c r="X41" s="414">
        <f>IFERROR(VLOOKUP($C41,'Proposed Rates'!$B:$J,X$11,FALSE),0)</f>
        <v>3.0192999999999999</v>
      </c>
      <c r="Y41" s="415">
        <f t="shared" si="43"/>
        <v>7500</v>
      </c>
      <c r="Z41" s="400">
        <f t="shared" si="44"/>
        <v>22644.75</v>
      </c>
      <c r="AA41" s="128"/>
      <c r="AB41" s="401">
        <f t="shared" si="13"/>
        <v>0</v>
      </c>
      <c r="AC41" s="402">
        <f t="shared" si="14"/>
        <v>0</v>
      </c>
      <c r="AD41" s="52"/>
      <c r="AE41" s="414">
        <f>IFERROR(VLOOKUP($C41,'Proposed Rates'!$B:$J,AE$11,FALSE),0)</f>
        <v>3.0192999999999999</v>
      </c>
      <c r="AF41" s="415">
        <f t="shared" si="45"/>
        <v>7500</v>
      </c>
      <c r="AG41" s="400">
        <f t="shared" si="46"/>
        <v>22644.75</v>
      </c>
      <c r="AH41" s="128"/>
      <c r="AI41" s="401">
        <f t="shared" si="17"/>
        <v>0</v>
      </c>
      <c r="AJ41" s="402">
        <f t="shared" si="18"/>
        <v>0</v>
      </c>
      <c r="AK41" s="52"/>
      <c r="AL41" s="414">
        <f>IFERROR(VLOOKUP($C41,'Proposed Rates'!$B:$J,AL$11,FALSE),0)</f>
        <v>3.0192999999999999</v>
      </c>
      <c r="AM41" s="415">
        <f t="shared" si="47"/>
        <v>7500</v>
      </c>
      <c r="AN41" s="400">
        <f t="shared" si="48"/>
        <v>22644.75</v>
      </c>
      <c r="AO41" s="128"/>
      <c r="AP41" s="401">
        <f t="shared" si="21"/>
        <v>0</v>
      </c>
      <c r="AQ41" s="402">
        <f t="shared" si="22"/>
        <v>0</v>
      </c>
      <c r="AR41" s="403"/>
    </row>
    <row r="42" spans="1:44" ht="12.75" customHeight="1">
      <c r="A42" s="52"/>
      <c r="B42" s="486" t="s">
        <v>314</v>
      </c>
      <c r="C42" s="560"/>
      <c r="D42" s="427"/>
      <c r="E42" s="427"/>
      <c r="F42" s="428"/>
      <c r="G42" s="501"/>
      <c r="H42" s="409">
        <f>SUM(H39:H41)</f>
        <v>146048.33000000002</v>
      </c>
      <c r="I42" s="410"/>
      <c r="J42" s="428"/>
      <c r="K42" s="501"/>
      <c r="L42" s="409">
        <f>SUM(L39:L41)</f>
        <v>149568.28</v>
      </c>
      <c r="M42" s="410"/>
      <c r="N42" s="411">
        <f t="shared" si="5"/>
        <v>3519.9499999999825</v>
      </c>
      <c r="O42" s="412">
        <f t="shared" si="6"/>
        <v>2.410126839519481E-2</v>
      </c>
      <c r="P42" s="52"/>
      <c r="Q42" s="428"/>
      <c r="R42" s="501"/>
      <c r="S42" s="409">
        <f>SUM(S39:S41)</f>
        <v>143979.85499999998</v>
      </c>
      <c r="T42" s="410"/>
      <c r="U42" s="411">
        <f t="shared" si="9"/>
        <v>-5588.4250000000175</v>
      </c>
      <c r="V42" s="412">
        <f t="shared" si="10"/>
        <v>-3.7363704389727671E-2</v>
      </c>
      <c r="W42" s="52"/>
      <c r="X42" s="428"/>
      <c r="Y42" s="501"/>
      <c r="Z42" s="409">
        <f>SUM(Z39:Z41)</f>
        <v>151704.55499999999</v>
      </c>
      <c r="AA42" s="410"/>
      <c r="AB42" s="411">
        <f t="shared" si="13"/>
        <v>7724.7000000000116</v>
      </c>
      <c r="AC42" s="412">
        <f t="shared" si="14"/>
        <v>5.3651255587109828E-2</v>
      </c>
      <c r="AD42" s="52"/>
      <c r="AE42" s="428"/>
      <c r="AF42" s="501"/>
      <c r="AG42" s="409">
        <f>SUM(AG39:AG41)</f>
        <v>157826.57999999999</v>
      </c>
      <c r="AH42" s="410"/>
      <c r="AI42" s="411">
        <f t="shared" si="17"/>
        <v>6122.0249999999942</v>
      </c>
      <c r="AJ42" s="412">
        <f t="shared" si="18"/>
        <v>4.035491880912867E-2</v>
      </c>
      <c r="AK42" s="52"/>
      <c r="AL42" s="428"/>
      <c r="AM42" s="501"/>
      <c r="AN42" s="409">
        <f>SUM(AN39:AN41)</f>
        <v>163241.57999999999</v>
      </c>
      <c r="AO42" s="410"/>
      <c r="AP42" s="411">
        <f t="shared" si="21"/>
        <v>5415</v>
      </c>
      <c r="AQ42" s="412">
        <f t="shared" si="22"/>
        <v>3.4309810172659133E-2</v>
      </c>
      <c r="AR42" s="413"/>
    </row>
    <row r="43" spans="1:44" ht="12.75" customHeight="1">
      <c r="A43" s="52"/>
      <c r="B43" s="488" t="s">
        <v>257</v>
      </c>
      <c r="C43" s="395" t="str">
        <f t="shared" ref="C43:C45" si="49">D$6&amp;"."&amp;B43</f>
        <v>Large User.Wholesale Market Service Charge (WMSC)</v>
      </c>
      <c r="D43" s="396" t="s">
        <v>308</v>
      </c>
      <c r="E43" s="320"/>
      <c r="F43" s="414">
        <f>IFERROR(VLOOKUP($C43,'Proposed Rates'!$B:$J,F$11,FALSE),0)</f>
        <v>4.4999999999999997E-3</v>
      </c>
      <c r="G43" s="419">
        <f>$F$9+G$37</f>
        <v>4020400.0000000005</v>
      </c>
      <c r="H43" s="400">
        <f t="shared" ref="H43:H46" si="50">G43*F43</f>
        <v>18091.8</v>
      </c>
      <c r="I43" s="128"/>
      <c r="J43" s="414">
        <f>IFERROR(VLOOKUP($C43,'Proposed Rates'!$B:$J,J$11,FALSE),0)</f>
        <v>4.4999999999999997E-3</v>
      </c>
      <c r="K43" s="419">
        <f>$F$9+K$37</f>
        <v>4019199.9999999995</v>
      </c>
      <c r="L43" s="400">
        <f t="shared" ref="L43:L46" si="51">K43*J43</f>
        <v>18086.399999999998</v>
      </c>
      <c r="M43" s="128"/>
      <c r="N43" s="401">
        <f t="shared" si="5"/>
        <v>-5.4000000000014552</v>
      </c>
      <c r="O43" s="402">
        <f t="shared" si="6"/>
        <v>-2.9847776340670667E-4</v>
      </c>
      <c r="P43" s="52"/>
      <c r="Q43" s="414">
        <f>IFERROR(VLOOKUP($C43,'Proposed Rates'!$B:$J,Q$11,FALSE),0)</f>
        <v>4.4999999999999997E-3</v>
      </c>
      <c r="R43" s="419">
        <f>$F$9+R$37</f>
        <v>4019199.9999999995</v>
      </c>
      <c r="S43" s="400">
        <f t="shared" ref="S43:S46" si="52">R43*Q43</f>
        <v>18086.399999999998</v>
      </c>
      <c r="T43" s="128"/>
      <c r="U43" s="401">
        <f t="shared" si="9"/>
        <v>0</v>
      </c>
      <c r="V43" s="402">
        <f t="shared" si="10"/>
        <v>0</v>
      </c>
      <c r="W43" s="52"/>
      <c r="X43" s="414">
        <f>IFERROR(VLOOKUP($C43,'Proposed Rates'!$B:$J,X$11,FALSE),0)</f>
        <v>4.4999999999999997E-3</v>
      </c>
      <c r="Y43" s="419">
        <f>$F$9+Y$37</f>
        <v>4019199.9999999995</v>
      </c>
      <c r="Z43" s="400">
        <f t="shared" ref="Z43:Z46" si="53">Y43*X43</f>
        <v>18086.399999999998</v>
      </c>
      <c r="AA43" s="128"/>
      <c r="AB43" s="401">
        <f t="shared" si="13"/>
        <v>0</v>
      </c>
      <c r="AC43" s="402">
        <f t="shared" si="14"/>
        <v>0</v>
      </c>
      <c r="AD43" s="52"/>
      <c r="AE43" s="414">
        <f>IFERROR(VLOOKUP($C43,'Proposed Rates'!$B:$J,AE$11,FALSE),0)</f>
        <v>4.4999999999999997E-3</v>
      </c>
      <c r="AF43" s="419">
        <f>$F$9+AF$37</f>
        <v>4019199.9999999995</v>
      </c>
      <c r="AG43" s="400">
        <f t="shared" ref="AG43:AG46" si="54">AF43*AE43</f>
        <v>18086.399999999998</v>
      </c>
      <c r="AH43" s="128"/>
      <c r="AI43" s="401">
        <f t="shared" si="17"/>
        <v>0</v>
      </c>
      <c r="AJ43" s="402">
        <f t="shared" si="18"/>
        <v>0</v>
      </c>
      <c r="AK43" s="52"/>
      <c r="AL43" s="414">
        <f>IFERROR(VLOOKUP($C43,'Proposed Rates'!$B:$J,AL$11,FALSE),0)</f>
        <v>4.4999999999999997E-3</v>
      </c>
      <c r="AM43" s="419">
        <f>$F$9+AM$37</f>
        <v>4019199.9999999995</v>
      </c>
      <c r="AN43" s="400">
        <f t="shared" ref="AN43:AN46" si="55">AM43*AL43</f>
        <v>18086.399999999998</v>
      </c>
      <c r="AO43" s="128"/>
      <c r="AP43" s="401">
        <f t="shared" si="21"/>
        <v>0</v>
      </c>
      <c r="AQ43" s="402">
        <f t="shared" si="22"/>
        <v>0</v>
      </c>
      <c r="AR43" s="403"/>
    </row>
    <row r="44" spans="1:44" ht="12.75" customHeight="1">
      <c r="A44" s="52"/>
      <c r="B44" s="488" t="s">
        <v>258</v>
      </c>
      <c r="C44" s="395" t="str">
        <f t="shared" si="49"/>
        <v>Large User.Rural and Remote Rate Protection (RRRP)</v>
      </c>
      <c r="D44" s="396" t="s">
        <v>308</v>
      </c>
      <c r="E44" s="320"/>
      <c r="F44" s="414">
        <f>IFERROR(VLOOKUP($C44,'Proposed Rates'!$B:$J,F$11,FALSE),0)</f>
        <v>1.5E-3</v>
      </c>
      <c r="G44" s="419">
        <f>G43</f>
        <v>4020400.0000000005</v>
      </c>
      <c r="H44" s="400">
        <f t="shared" si="50"/>
        <v>6030.6000000000013</v>
      </c>
      <c r="I44" s="128"/>
      <c r="J44" s="414">
        <f>IFERROR(VLOOKUP($C44,'Proposed Rates'!$B:$J,J$11,FALSE),0)</f>
        <v>1.5E-3</v>
      </c>
      <c r="K44" s="419">
        <f>K43</f>
        <v>4019199.9999999995</v>
      </c>
      <c r="L44" s="400">
        <f t="shared" si="51"/>
        <v>6028.7999999999993</v>
      </c>
      <c r="M44" s="128"/>
      <c r="N44" s="401">
        <f t="shared" si="5"/>
        <v>-1.8000000000020009</v>
      </c>
      <c r="O44" s="402">
        <f t="shared" si="6"/>
        <v>-2.9847776340695794E-4</v>
      </c>
      <c r="P44" s="52"/>
      <c r="Q44" s="414">
        <f>IFERROR(VLOOKUP($C44,'Proposed Rates'!$B:$J,Q$11,FALSE),0)</f>
        <v>1.5E-3</v>
      </c>
      <c r="R44" s="419">
        <f>R43</f>
        <v>4019199.9999999995</v>
      </c>
      <c r="S44" s="400">
        <f t="shared" si="52"/>
        <v>6028.7999999999993</v>
      </c>
      <c r="T44" s="128"/>
      <c r="U44" s="401">
        <f t="shared" si="9"/>
        <v>0</v>
      </c>
      <c r="V44" s="402">
        <f t="shared" si="10"/>
        <v>0</v>
      </c>
      <c r="W44" s="52"/>
      <c r="X44" s="414">
        <f>IFERROR(VLOOKUP($C44,'Proposed Rates'!$B:$J,X$11,FALSE),0)</f>
        <v>1.5E-3</v>
      </c>
      <c r="Y44" s="419">
        <f>Y43</f>
        <v>4019199.9999999995</v>
      </c>
      <c r="Z44" s="400">
        <f t="shared" si="53"/>
        <v>6028.7999999999993</v>
      </c>
      <c r="AA44" s="128"/>
      <c r="AB44" s="401">
        <f t="shared" si="13"/>
        <v>0</v>
      </c>
      <c r="AC44" s="402">
        <f t="shared" si="14"/>
        <v>0</v>
      </c>
      <c r="AD44" s="52"/>
      <c r="AE44" s="414">
        <f>IFERROR(VLOOKUP($C44,'Proposed Rates'!$B:$J,AE$11,FALSE),0)</f>
        <v>1.5E-3</v>
      </c>
      <c r="AF44" s="419">
        <f>AF43</f>
        <v>4019199.9999999995</v>
      </c>
      <c r="AG44" s="400">
        <f t="shared" si="54"/>
        <v>6028.7999999999993</v>
      </c>
      <c r="AH44" s="128"/>
      <c r="AI44" s="401">
        <f t="shared" si="17"/>
        <v>0</v>
      </c>
      <c r="AJ44" s="402">
        <f t="shared" si="18"/>
        <v>0</v>
      </c>
      <c r="AK44" s="52"/>
      <c r="AL44" s="414">
        <f>IFERROR(VLOOKUP($C44,'Proposed Rates'!$B:$J,AL$11,FALSE),0)</f>
        <v>1.5E-3</v>
      </c>
      <c r="AM44" s="419">
        <f>AM43</f>
        <v>4019199.9999999995</v>
      </c>
      <c r="AN44" s="400">
        <f t="shared" si="55"/>
        <v>6028.7999999999993</v>
      </c>
      <c r="AO44" s="128"/>
      <c r="AP44" s="401">
        <f t="shared" si="21"/>
        <v>0</v>
      </c>
      <c r="AQ44" s="402">
        <f t="shared" si="22"/>
        <v>0</v>
      </c>
      <c r="AR44" s="403"/>
    </row>
    <row r="45" spans="1:44" ht="12.75" customHeight="1">
      <c r="A45" s="52"/>
      <c r="B45" s="320" t="s">
        <v>260</v>
      </c>
      <c r="C45" s="395" t="str">
        <f t="shared" si="49"/>
        <v>Large User.Standard Supply Service Charge</v>
      </c>
      <c r="D45" s="396" t="s">
        <v>306</v>
      </c>
      <c r="E45" s="320"/>
      <c r="F45" s="397">
        <f>IFERROR(VLOOKUP($C45,'Proposed Rates'!$B:$J,F$11,FALSE),0)</f>
        <v>0.25</v>
      </c>
      <c r="G45" s="415">
        <f>IF($D45="Monthly",1,IF($D45="per KW",$F$10,IF($D45="per kWh",$F$9,0)))</f>
        <v>1</v>
      </c>
      <c r="H45" s="400">
        <f t="shared" si="50"/>
        <v>0.25</v>
      </c>
      <c r="I45" s="128"/>
      <c r="J45" s="397">
        <f>IFERROR(VLOOKUP($C45,'Proposed Rates'!$B:$J,J$11,FALSE),0)</f>
        <v>1.51</v>
      </c>
      <c r="K45" s="415">
        <f>IF($D45="Monthly",1,IF($D45="per KW",$F$10,IF($D45="per kWh",$F$9,0)))</f>
        <v>1</v>
      </c>
      <c r="L45" s="400">
        <f t="shared" si="51"/>
        <v>1.51</v>
      </c>
      <c r="M45" s="128"/>
      <c r="N45" s="401">
        <f t="shared" si="5"/>
        <v>1.26</v>
      </c>
      <c r="O45" s="402">
        <f t="shared" si="6"/>
        <v>5.04</v>
      </c>
      <c r="P45" s="52"/>
      <c r="Q45" s="397">
        <f>IFERROR(VLOOKUP($C45,'Proposed Rates'!$B:$J,Q$11,FALSE),0)</f>
        <v>1.54</v>
      </c>
      <c r="R45" s="415">
        <f>IF($D45="Monthly",1,IF($D45="per KW",$F$10,IF($D45="per kWh",$F$9,0)))</f>
        <v>1</v>
      </c>
      <c r="S45" s="400">
        <f t="shared" si="52"/>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3"/>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4"/>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55"/>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419">
        <f>G43</f>
        <v>4020400.0000000005</v>
      </c>
      <c r="H46" s="400">
        <f t="shared" si="50"/>
        <v>420131.80000000005</v>
      </c>
      <c r="I46" s="128"/>
      <c r="J46" s="414">
        <f>IFERROR(VLOOKUP($C46,'Proposed Rates'!$B:$J,J$11,FALSE),0)</f>
        <v>0.1045</v>
      </c>
      <c r="K46" s="419">
        <f>K43</f>
        <v>4019199.9999999995</v>
      </c>
      <c r="L46" s="400">
        <f t="shared" si="51"/>
        <v>420006.39999999991</v>
      </c>
      <c r="M46" s="128"/>
      <c r="N46" s="401">
        <f t="shared" si="5"/>
        <v>-125.4000000001397</v>
      </c>
      <c r="O46" s="402">
        <f t="shared" si="6"/>
        <v>-2.984777634069587E-4</v>
      </c>
      <c r="P46" s="52"/>
      <c r="Q46" s="414">
        <f>IFERROR(VLOOKUP($C46,'Proposed Rates'!$B:$J,Q$11,FALSE),0)</f>
        <v>0.1045</v>
      </c>
      <c r="R46" s="419">
        <f>R43</f>
        <v>4019199.9999999995</v>
      </c>
      <c r="S46" s="400">
        <f t="shared" si="52"/>
        <v>420006.39999999991</v>
      </c>
      <c r="T46" s="128"/>
      <c r="U46" s="401">
        <f t="shared" si="9"/>
        <v>0</v>
      </c>
      <c r="V46" s="402">
        <f t="shared" si="10"/>
        <v>0</v>
      </c>
      <c r="W46" s="52"/>
      <c r="X46" s="414">
        <f>IFERROR(VLOOKUP($C46,'Proposed Rates'!$B:$J,X$11,FALSE),0)</f>
        <v>0.1045</v>
      </c>
      <c r="Y46" s="419">
        <f>Y43</f>
        <v>4019199.9999999995</v>
      </c>
      <c r="Z46" s="400">
        <f t="shared" si="53"/>
        <v>420006.39999999991</v>
      </c>
      <c r="AA46" s="128"/>
      <c r="AB46" s="401">
        <f t="shared" si="13"/>
        <v>0</v>
      </c>
      <c r="AC46" s="402">
        <f t="shared" si="14"/>
        <v>0</v>
      </c>
      <c r="AD46" s="52"/>
      <c r="AE46" s="414">
        <f>IFERROR(VLOOKUP($C46,'Proposed Rates'!$B:$J,AE$11,FALSE),0)</f>
        <v>0.1045</v>
      </c>
      <c r="AF46" s="419">
        <f>AF43</f>
        <v>4019199.9999999995</v>
      </c>
      <c r="AG46" s="400">
        <f t="shared" si="54"/>
        <v>420006.39999999991</v>
      </c>
      <c r="AH46" s="128"/>
      <c r="AI46" s="401">
        <f t="shared" si="17"/>
        <v>0</v>
      </c>
      <c r="AJ46" s="402">
        <f t="shared" si="18"/>
        <v>0</v>
      </c>
      <c r="AK46" s="52"/>
      <c r="AL46" s="414">
        <f>IFERROR(VLOOKUP($C46,'Proposed Rates'!$B:$J,AL$11,FALSE),0)</f>
        <v>0.1045</v>
      </c>
      <c r="AM46" s="419">
        <f>AM43</f>
        <v>4019199.9999999995</v>
      </c>
      <c r="AN46" s="400">
        <f t="shared" si="55"/>
        <v>420006.39999999991</v>
      </c>
      <c r="AO46" s="128"/>
      <c r="AP46" s="401">
        <f t="shared" si="21"/>
        <v>0</v>
      </c>
      <c r="AQ46" s="402">
        <f t="shared" si="22"/>
        <v>0</v>
      </c>
      <c r="AR46" s="403"/>
    </row>
    <row r="47" spans="1:44" ht="7.5" customHeight="1">
      <c r="A47" s="52"/>
      <c r="B47" s="320"/>
      <c r="C47" s="395" t="str">
        <f t="shared" ref="C47:C50" si="56">D$6&amp;"."&amp;B47</f>
        <v>Large User.</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56"/>
        <v>Large User.</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56"/>
        <v>Large User.</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56"/>
        <v>Large User.</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562"/>
      <c r="D52" s="320"/>
      <c r="E52" s="320"/>
      <c r="F52" s="445"/>
      <c r="G52" s="489"/>
      <c r="H52" s="447">
        <f>SUM(H43:H48,H42)</f>
        <v>590302.78</v>
      </c>
      <c r="I52" s="482"/>
      <c r="J52" s="446"/>
      <c r="K52" s="446"/>
      <c r="L52" s="447">
        <f>SUM(L43:L48,L42)</f>
        <v>593691.3899999999</v>
      </c>
      <c r="M52" s="449"/>
      <c r="N52" s="448">
        <f t="shared" ref="N52:N56" si="57">L52-H52</f>
        <v>3388.6099999998696</v>
      </c>
      <c r="O52" s="450">
        <f t="shared" ref="O52:O56" si="58">IF((H52)=0,"",(N52/H52))</f>
        <v>5.7404608529877995E-3</v>
      </c>
      <c r="P52" s="52"/>
      <c r="Q52" s="446"/>
      <c r="R52" s="446"/>
      <c r="S52" s="447">
        <f>SUM(S43:S48,S42)</f>
        <v>588102.99499999988</v>
      </c>
      <c r="T52" s="449"/>
      <c r="U52" s="448">
        <f t="shared" ref="U52:U56" si="59">S52-L52</f>
        <v>-5588.3950000000186</v>
      </c>
      <c r="V52" s="450">
        <f t="shared" ref="V52:V56" si="60">IF((L52)=0,"",(U52/L52))</f>
        <v>-9.4129628526363161E-3</v>
      </c>
      <c r="W52" s="52"/>
      <c r="X52" s="446"/>
      <c r="Y52" s="446"/>
      <c r="Z52" s="447">
        <f>SUM(Z43:Z48,Z42)</f>
        <v>595827.72499999986</v>
      </c>
      <c r="AA52" s="449"/>
      <c r="AB52" s="448">
        <f t="shared" ref="AB52:AB56" si="61">Z52-S52</f>
        <v>7724.7299999999814</v>
      </c>
      <c r="AC52" s="450">
        <f t="shared" ref="AC52:AC56" si="62">IF((S52)=0,"",(AB52/S52))</f>
        <v>1.3134995172061627E-2</v>
      </c>
      <c r="AD52" s="52"/>
      <c r="AE52" s="446"/>
      <c r="AF52" s="446"/>
      <c r="AG52" s="447">
        <f>SUM(AG43:AG48,AG42)</f>
        <v>601949.77999999991</v>
      </c>
      <c r="AH52" s="449"/>
      <c r="AI52" s="448">
        <f t="shared" ref="AI52:AI56" si="63">AG52-Z52</f>
        <v>6122.0550000000512</v>
      </c>
      <c r="AJ52" s="450">
        <f t="shared" ref="AJ52:AJ56" si="64">IF((Z52)=0,"",(AI52/Z52))</f>
        <v>1.0274874335530548E-2</v>
      </c>
      <c r="AK52" s="52"/>
      <c r="AL52" s="446"/>
      <c r="AM52" s="446"/>
      <c r="AN52" s="447">
        <f>SUM(AN43:AN48,AN42)</f>
        <v>607364.80999999994</v>
      </c>
      <c r="AO52" s="449"/>
      <c r="AP52" s="448">
        <f t="shared" ref="AP52:AP56" si="65">AN52-AG52</f>
        <v>5415.0300000000279</v>
      </c>
      <c r="AQ52" s="450">
        <f t="shared" ref="AQ52:AQ56" si="66">IF((AG52)=0,"",(AP52/AG52))</f>
        <v>8.9958168935621655E-3</v>
      </c>
      <c r="AR52" s="451"/>
    </row>
    <row r="53" spans="1:44" ht="12.75" customHeight="1">
      <c r="A53" s="52"/>
      <c r="B53" s="452" t="s">
        <v>316</v>
      </c>
      <c r="C53" s="562"/>
      <c r="D53" s="320"/>
      <c r="E53" s="320"/>
      <c r="F53" s="445">
        <v>0.13</v>
      </c>
      <c r="G53" s="128"/>
      <c r="H53" s="490">
        <f>H52*F53</f>
        <v>76739.361400000009</v>
      </c>
      <c r="I53" s="417"/>
      <c r="J53" s="453">
        <v>0.13</v>
      </c>
      <c r="K53" s="417"/>
      <c r="L53" s="400">
        <f>L52*J53</f>
        <v>77179.880699999994</v>
      </c>
      <c r="M53" s="128"/>
      <c r="N53" s="401">
        <f t="shared" si="57"/>
        <v>440.51929999998538</v>
      </c>
      <c r="O53" s="402">
        <f t="shared" si="58"/>
        <v>5.7404608529878299E-3</v>
      </c>
      <c r="P53" s="52"/>
      <c r="Q53" s="453">
        <v>0.13</v>
      </c>
      <c r="R53" s="417"/>
      <c r="S53" s="400">
        <f>S52*Q53</f>
        <v>76453.389349999983</v>
      </c>
      <c r="T53" s="128"/>
      <c r="U53" s="401">
        <f t="shared" si="59"/>
        <v>-726.49135000001115</v>
      </c>
      <c r="V53" s="402">
        <f t="shared" si="60"/>
        <v>-9.4129628526364289E-3</v>
      </c>
      <c r="W53" s="52"/>
      <c r="X53" s="453">
        <v>0.13</v>
      </c>
      <c r="Y53" s="417"/>
      <c r="Z53" s="400">
        <f>Z52*X53</f>
        <v>77457.604249999989</v>
      </c>
      <c r="AA53" s="128"/>
      <c r="AB53" s="401">
        <f t="shared" si="61"/>
        <v>1004.2149000000063</v>
      </c>
      <c r="AC53" s="402">
        <f t="shared" si="62"/>
        <v>1.3134995172061742E-2</v>
      </c>
      <c r="AD53" s="52"/>
      <c r="AE53" s="453">
        <v>0.13</v>
      </c>
      <c r="AF53" s="417"/>
      <c r="AG53" s="400">
        <f>AG52*AE53</f>
        <v>78253.471399999995</v>
      </c>
      <c r="AH53" s="128"/>
      <c r="AI53" s="401">
        <f t="shared" si="63"/>
        <v>795.86715000000549</v>
      </c>
      <c r="AJ53" s="402">
        <f t="shared" si="64"/>
        <v>1.0274874335530532E-2</v>
      </c>
      <c r="AK53" s="52"/>
      <c r="AL53" s="453">
        <v>0.13</v>
      </c>
      <c r="AM53" s="417"/>
      <c r="AN53" s="400">
        <f>AN52*AL53</f>
        <v>78957.425299999988</v>
      </c>
      <c r="AO53" s="128"/>
      <c r="AP53" s="401">
        <f t="shared" si="65"/>
        <v>703.95389999999315</v>
      </c>
      <c r="AQ53" s="402">
        <f t="shared" si="66"/>
        <v>8.9958168935620302E-3</v>
      </c>
      <c r="AR53" s="403"/>
    </row>
    <row r="54" spans="1:44" ht="12.75" customHeight="1">
      <c r="A54" s="52"/>
      <c r="B54" s="491" t="s">
        <v>405</v>
      </c>
      <c r="C54" s="562"/>
      <c r="D54" s="320"/>
      <c r="E54" s="320"/>
      <c r="F54" s="455"/>
      <c r="G54" s="128"/>
      <c r="H54" s="490">
        <f>H52+H53</f>
        <v>667042.14140000008</v>
      </c>
      <c r="I54" s="417"/>
      <c r="J54" s="417"/>
      <c r="K54" s="417"/>
      <c r="L54" s="400">
        <f>L52+L53</f>
        <v>670871.27069999988</v>
      </c>
      <c r="M54" s="128"/>
      <c r="N54" s="401">
        <f t="shared" si="57"/>
        <v>3829.1292999997968</v>
      </c>
      <c r="O54" s="402">
        <f t="shared" si="58"/>
        <v>5.7404608529877154E-3</v>
      </c>
      <c r="P54" s="52"/>
      <c r="Q54" s="417"/>
      <c r="R54" s="417"/>
      <c r="S54" s="400">
        <f>S52+S53</f>
        <v>664556.38434999983</v>
      </c>
      <c r="T54" s="128"/>
      <c r="U54" s="401">
        <f t="shared" si="59"/>
        <v>-6314.8863500000443</v>
      </c>
      <c r="V54" s="402">
        <f t="shared" si="60"/>
        <v>-9.4129628526363508E-3</v>
      </c>
      <c r="W54" s="52"/>
      <c r="X54" s="417"/>
      <c r="Y54" s="417"/>
      <c r="Z54" s="400">
        <f>Z52+Z53</f>
        <v>673285.32924999984</v>
      </c>
      <c r="AA54" s="128"/>
      <c r="AB54" s="401">
        <f t="shared" si="61"/>
        <v>8728.9449000000022</v>
      </c>
      <c r="AC54" s="402">
        <f t="shared" si="62"/>
        <v>1.3134995172061662E-2</v>
      </c>
      <c r="AD54" s="52"/>
      <c r="AE54" s="417"/>
      <c r="AF54" s="417"/>
      <c r="AG54" s="400">
        <f>AG52+AG53</f>
        <v>680203.25139999995</v>
      </c>
      <c r="AH54" s="128"/>
      <c r="AI54" s="401">
        <f t="shared" si="63"/>
        <v>6917.9221500001149</v>
      </c>
      <c r="AJ54" s="402">
        <f t="shared" si="64"/>
        <v>1.0274874335530633E-2</v>
      </c>
      <c r="AK54" s="52"/>
      <c r="AL54" s="417"/>
      <c r="AM54" s="417"/>
      <c r="AN54" s="400">
        <f>AN52+AN53</f>
        <v>686322.23529999994</v>
      </c>
      <c r="AO54" s="128"/>
      <c r="AP54" s="401">
        <f t="shared" si="65"/>
        <v>6118.983899999992</v>
      </c>
      <c r="AQ54" s="402">
        <f t="shared" si="66"/>
        <v>8.9958168935621065E-3</v>
      </c>
      <c r="AR54" s="403"/>
    </row>
    <row r="55" spans="1:44" ht="15.75" customHeight="1">
      <c r="A55" s="52"/>
      <c r="B55" s="628" t="s">
        <v>273</v>
      </c>
      <c r="C55" s="615"/>
      <c r="D55" s="615"/>
      <c r="E55" s="320"/>
      <c r="F55" s="455"/>
      <c r="G55" s="128"/>
      <c r="H55" s="492">
        <f>F55*H52</f>
        <v>0</v>
      </c>
      <c r="I55" s="417"/>
      <c r="J55" s="417"/>
      <c r="K55" s="417"/>
      <c r="L55" s="512">
        <f>J55*L52</f>
        <v>0</v>
      </c>
      <c r="M55" s="128"/>
      <c r="N55" s="457">
        <f t="shared" si="57"/>
        <v>0</v>
      </c>
      <c r="O55" s="459" t="str">
        <f t="shared" si="58"/>
        <v/>
      </c>
      <c r="P55" s="52"/>
      <c r="Q55" s="417"/>
      <c r="R55" s="417"/>
      <c r="S55" s="512">
        <f>Q55*S52</f>
        <v>0</v>
      </c>
      <c r="T55" s="128"/>
      <c r="U55" s="457">
        <f t="shared" si="59"/>
        <v>0</v>
      </c>
      <c r="V55" s="459" t="str">
        <f t="shared" si="60"/>
        <v/>
      </c>
      <c r="W55" s="52"/>
      <c r="X55" s="417"/>
      <c r="Y55" s="417"/>
      <c r="Z55" s="512">
        <f>X55*Z52</f>
        <v>0</v>
      </c>
      <c r="AA55" s="128"/>
      <c r="AB55" s="457">
        <f t="shared" si="61"/>
        <v>0</v>
      </c>
      <c r="AC55" s="459" t="str">
        <f t="shared" si="62"/>
        <v/>
      </c>
      <c r="AD55" s="52"/>
      <c r="AE55" s="417"/>
      <c r="AF55" s="417"/>
      <c r="AG55" s="512">
        <f>AE55*AG52</f>
        <v>0</v>
      </c>
      <c r="AH55" s="128"/>
      <c r="AI55" s="457">
        <f t="shared" si="63"/>
        <v>0</v>
      </c>
      <c r="AJ55" s="459" t="str">
        <f t="shared" si="64"/>
        <v/>
      </c>
      <c r="AK55" s="52"/>
      <c r="AL55" s="417"/>
      <c r="AM55" s="417"/>
      <c r="AN55" s="512">
        <f>AL55*AN52</f>
        <v>0</v>
      </c>
      <c r="AO55" s="128"/>
      <c r="AP55" s="457">
        <f t="shared" si="65"/>
        <v>0</v>
      </c>
      <c r="AQ55" s="459" t="str">
        <f t="shared" si="66"/>
        <v/>
      </c>
      <c r="AR55" s="460"/>
    </row>
    <row r="56" spans="1:44" ht="13.5" customHeight="1">
      <c r="A56" s="52"/>
      <c r="B56" s="627" t="s">
        <v>318</v>
      </c>
      <c r="C56" s="613"/>
      <c r="D56" s="613"/>
      <c r="E56" s="461"/>
      <c r="F56" s="462"/>
      <c r="G56" s="493"/>
      <c r="H56" s="494">
        <f>H54-H55</f>
        <v>667042.14140000008</v>
      </c>
      <c r="I56" s="463"/>
      <c r="J56" s="463"/>
      <c r="K56" s="463"/>
      <c r="L56" s="464">
        <f>L54-L55</f>
        <v>670871.27069999988</v>
      </c>
      <c r="M56" s="465"/>
      <c r="N56" s="466">
        <f t="shared" si="57"/>
        <v>3829.1292999997968</v>
      </c>
      <c r="O56" s="467">
        <f t="shared" si="58"/>
        <v>5.7404608529877154E-3</v>
      </c>
      <c r="P56" s="52"/>
      <c r="Q56" s="463"/>
      <c r="R56" s="463"/>
      <c r="S56" s="464">
        <f>S54-S55</f>
        <v>664556.38434999983</v>
      </c>
      <c r="T56" s="465"/>
      <c r="U56" s="466">
        <f t="shared" si="59"/>
        <v>-6314.8863500000443</v>
      </c>
      <c r="V56" s="467">
        <f t="shared" si="60"/>
        <v>-9.4129628526363508E-3</v>
      </c>
      <c r="W56" s="52"/>
      <c r="X56" s="463"/>
      <c r="Y56" s="463"/>
      <c r="Z56" s="464">
        <f>Z54-Z55</f>
        <v>673285.32924999984</v>
      </c>
      <c r="AA56" s="465"/>
      <c r="AB56" s="466">
        <f t="shared" si="61"/>
        <v>8728.9449000000022</v>
      </c>
      <c r="AC56" s="467">
        <f t="shared" si="62"/>
        <v>1.3134995172061662E-2</v>
      </c>
      <c r="AD56" s="52"/>
      <c r="AE56" s="463"/>
      <c r="AF56" s="463"/>
      <c r="AG56" s="464">
        <f>AG54-AG55</f>
        <v>680203.25139999995</v>
      </c>
      <c r="AH56" s="465"/>
      <c r="AI56" s="466">
        <f t="shared" si="63"/>
        <v>6917.9221500001149</v>
      </c>
      <c r="AJ56" s="467">
        <f t="shared" si="64"/>
        <v>1.0274874335530633E-2</v>
      </c>
      <c r="AK56" s="52"/>
      <c r="AL56" s="463"/>
      <c r="AM56" s="463"/>
      <c r="AN56" s="464">
        <f>AN54-AN55</f>
        <v>686322.23529999994</v>
      </c>
      <c r="AO56" s="465"/>
      <c r="AP56" s="466">
        <f t="shared" si="65"/>
        <v>6118.983899999992</v>
      </c>
      <c r="AQ56" s="467">
        <f t="shared" si="66"/>
        <v>8.9958168935621065E-3</v>
      </c>
      <c r="AR56" s="468"/>
    </row>
    <row r="57" spans="1:44"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63"/>
      <c r="D58" s="515"/>
      <c r="E58" s="515"/>
      <c r="F58" s="516"/>
      <c r="G58" s="517"/>
      <c r="H58" s="518">
        <f>SUM(H49:H50,H42,H43:H45)</f>
        <v>170170.98</v>
      </c>
      <c r="I58" s="519"/>
      <c r="J58" s="520"/>
      <c r="K58" s="520"/>
      <c r="L58" s="518">
        <f>SUM(L49:L50,L42,L43:L45)</f>
        <v>173684.99</v>
      </c>
      <c r="M58" s="521"/>
      <c r="N58" s="522">
        <f t="shared" ref="N58:N62" si="67">L58-H58</f>
        <v>3514.0099999999802</v>
      </c>
      <c r="O58" s="523">
        <f t="shared" ref="O58:O62" si="68">IF((H58)=0,"",(N58/H58))</f>
        <v>2.0649878140209219E-2</v>
      </c>
      <c r="P58" s="513"/>
      <c r="Q58" s="520"/>
      <c r="R58" s="520"/>
      <c r="S58" s="518">
        <f>SUM(S49:S50,S42,S43:S45)</f>
        <v>168096.59499999997</v>
      </c>
      <c r="T58" s="521"/>
      <c r="U58" s="522">
        <f t="shared" ref="U58:U62" si="69">S58-L58</f>
        <v>-5588.3950000000186</v>
      </c>
      <c r="V58" s="523">
        <f t="shared" ref="V58:V62" si="70">IF((L58)=0,"",(U58/L58))</f>
        <v>-3.2175463176179003E-2</v>
      </c>
      <c r="W58" s="513"/>
      <c r="X58" s="520"/>
      <c r="Y58" s="520"/>
      <c r="Z58" s="518">
        <f>SUM(Z49:Z50,Z42,Z43:Z45)</f>
        <v>175821.32499999998</v>
      </c>
      <c r="AA58" s="521"/>
      <c r="AB58" s="522">
        <f t="shared" ref="AB58:AB62" si="71">Z58-S58</f>
        <v>7724.7300000000105</v>
      </c>
      <c r="AC58" s="523">
        <f t="shared" ref="AC58:AC62" si="72">IF((S58)=0,"",(AB58/S58))</f>
        <v>4.5954113466724365E-2</v>
      </c>
      <c r="AD58" s="513"/>
      <c r="AE58" s="520"/>
      <c r="AF58" s="520"/>
      <c r="AG58" s="518">
        <f>SUM(AG49:AG50,AG42,AG43:AG45)</f>
        <v>181943.37999999998</v>
      </c>
      <c r="AH58" s="521"/>
      <c r="AI58" s="522">
        <f t="shared" ref="AI58:AI62" si="73">AG58-Z58</f>
        <v>6122.054999999993</v>
      </c>
      <c r="AJ58" s="523">
        <f t="shared" ref="AJ58:AJ62" si="74">IF((Z58)=0,"",(AI58/Z58))</f>
        <v>3.4819752382141321E-2</v>
      </c>
      <c r="AK58" s="513"/>
      <c r="AL58" s="520"/>
      <c r="AM58" s="520"/>
      <c r="AN58" s="518">
        <f>SUM(AN49:AN50,AN42,AN43:AN45)</f>
        <v>187358.40999999997</v>
      </c>
      <c r="AO58" s="521"/>
      <c r="AP58" s="522">
        <f t="shared" ref="AP58:AP62" si="75">AN58-AG58</f>
        <v>5415.0299999999988</v>
      </c>
      <c r="AQ58" s="523">
        <f t="shared" ref="AQ58:AQ62" si="76">IF((AG58)=0,"",(AP58/AG58))</f>
        <v>2.976217106662523E-2</v>
      </c>
      <c r="AR58" s="524"/>
    </row>
    <row r="59" spans="1:44" ht="12.75" customHeight="1">
      <c r="A59" s="513"/>
      <c r="B59" s="525" t="s">
        <v>316</v>
      </c>
      <c r="C59" s="563"/>
      <c r="D59" s="515"/>
      <c r="E59" s="515"/>
      <c r="F59" s="516">
        <v>0.13</v>
      </c>
      <c r="G59" s="517"/>
      <c r="H59" s="526">
        <f>H58*F59</f>
        <v>22122.227400000003</v>
      </c>
      <c r="I59" s="527"/>
      <c r="J59" s="516">
        <v>0.13</v>
      </c>
      <c r="K59" s="528"/>
      <c r="L59" s="529">
        <f>L58*J59</f>
        <v>22579.048699999999</v>
      </c>
      <c r="M59" s="530"/>
      <c r="N59" s="531">
        <f t="shared" si="67"/>
        <v>456.82129999999597</v>
      </c>
      <c r="O59" s="532">
        <f t="shared" si="68"/>
        <v>2.064987814020915E-2</v>
      </c>
      <c r="P59" s="513"/>
      <c r="Q59" s="516">
        <v>0.13</v>
      </c>
      <c r="R59" s="528"/>
      <c r="S59" s="529">
        <f>S58*Q59</f>
        <v>21852.557349999995</v>
      </c>
      <c r="T59" s="530"/>
      <c r="U59" s="531">
        <f t="shared" si="69"/>
        <v>-726.49135000000388</v>
      </c>
      <c r="V59" s="532">
        <f t="shared" si="70"/>
        <v>-3.2175463176179073E-2</v>
      </c>
      <c r="W59" s="513"/>
      <c r="X59" s="516">
        <v>0.13</v>
      </c>
      <c r="Y59" s="528"/>
      <c r="Z59" s="529">
        <f>Z58*X59</f>
        <v>22856.772249999998</v>
      </c>
      <c r="AA59" s="530"/>
      <c r="AB59" s="531">
        <f t="shared" si="71"/>
        <v>1004.2149000000027</v>
      </c>
      <c r="AC59" s="532">
        <f t="shared" si="72"/>
        <v>4.5954113466724428E-2</v>
      </c>
      <c r="AD59" s="513"/>
      <c r="AE59" s="516">
        <v>0.13</v>
      </c>
      <c r="AF59" s="528"/>
      <c r="AG59" s="529">
        <f>AG58*AE59</f>
        <v>23652.639399999996</v>
      </c>
      <c r="AH59" s="530"/>
      <c r="AI59" s="531">
        <f t="shared" si="73"/>
        <v>795.86714999999822</v>
      </c>
      <c r="AJ59" s="532">
        <f t="shared" si="74"/>
        <v>3.4819752382141286E-2</v>
      </c>
      <c r="AK59" s="513"/>
      <c r="AL59" s="516">
        <v>0.13</v>
      </c>
      <c r="AM59" s="528"/>
      <c r="AN59" s="529">
        <f>AN58*AL59</f>
        <v>24356.593299999997</v>
      </c>
      <c r="AO59" s="530"/>
      <c r="AP59" s="531">
        <f t="shared" si="75"/>
        <v>703.95390000000043</v>
      </c>
      <c r="AQ59" s="532">
        <f t="shared" si="76"/>
        <v>2.9762171066625254E-2</v>
      </c>
      <c r="AR59" s="533"/>
    </row>
    <row r="60" spans="1:44" ht="12.75" customHeight="1">
      <c r="A60" s="513"/>
      <c r="B60" s="554" t="s">
        <v>406</v>
      </c>
      <c r="C60" s="563"/>
      <c r="D60" s="515"/>
      <c r="E60" s="515"/>
      <c r="F60" s="535"/>
      <c r="G60" s="530"/>
      <c r="H60" s="526">
        <f>H58+H59</f>
        <v>192293.20740000001</v>
      </c>
      <c r="I60" s="527"/>
      <c r="J60" s="527"/>
      <c r="K60" s="527"/>
      <c r="L60" s="529">
        <f>L58+L59</f>
        <v>196264.03869999998</v>
      </c>
      <c r="M60" s="530"/>
      <c r="N60" s="531">
        <f t="shared" si="67"/>
        <v>3970.8312999999616</v>
      </c>
      <c r="O60" s="532">
        <f t="shared" si="68"/>
        <v>2.0649878140209136E-2</v>
      </c>
      <c r="P60" s="513"/>
      <c r="Q60" s="527"/>
      <c r="R60" s="527"/>
      <c r="S60" s="529">
        <f>S58+S59</f>
        <v>189949.15234999996</v>
      </c>
      <c r="T60" s="530"/>
      <c r="U60" s="531">
        <f t="shared" si="69"/>
        <v>-6314.8863500000152</v>
      </c>
      <c r="V60" s="532">
        <f t="shared" si="70"/>
        <v>-3.2175463176178976E-2</v>
      </c>
      <c r="W60" s="513"/>
      <c r="X60" s="527"/>
      <c r="Y60" s="527"/>
      <c r="Z60" s="529">
        <f>Z58+Z59</f>
        <v>198678.09724999999</v>
      </c>
      <c r="AA60" s="530"/>
      <c r="AB60" s="531">
        <f t="shared" si="71"/>
        <v>8728.9449000000313</v>
      </c>
      <c r="AC60" s="532">
        <f t="shared" si="72"/>
        <v>4.5954113466724469E-2</v>
      </c>
      <c r="AD60" s="513"/>
      <c r="AE60" s="527"/>
      <c r="AF60" s="527"/>
      <c r="AG60" s="529">
        <f>AG58+AG59</f>
        <v>205596.01939999996</v>
      </c>
      <c r="AH60" s="530"/>
      <c r="AI60" s="531">
        <f t="shared" si="73"/>
        <v>6917.9221499999694</v>
      </c>
      <c r="AJ60" s="532">
        <f t="shared" si="74"/>
        <v>3.4819752382141203E-2</v>
      </c>
      <c r="AK60" s="513"/>
      <c r="AL60" s="527"/>
      <c r="AM60" s="527"/>
      <c r="AN60" s="529">
        <f>AN58+AN59</f>
        <v>211715.00329999998</v>
      </c>
      <c r="AO60" s="530"/>
      <c r="AP60" s="531">
        <f t="shared" si="75"/>
        <v>6118.9839000000211</v>
      </c>
      <c r="AQ60" s="532">
        <f t="shared" si="76"/>
        <v>2.9762171066625341E-2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67"/>
        <v>0</v>
      </c>
      <c r="O61" s="539" t="str">
        <f t="shared" si="68"/>
        <v/>
      </c>
      <c r="P61" s="513"/>
      <c r="Q61" s="527"/>
      <c r="R61" s="527"/>
      <c r="S61" s="537">
        <f>Q61*S58</f>
        <v>0</v>
      </c>
      <c r="T61" s="530"/>
      <c r="U61" s="538">
        <f t="shared" si="69"/>
        <v>0</v>
      </c>
      <c r="V61" s="539" t="str">
        <f t="shared" si="70"/>
        <v/>
      </c>
      <c r="W61" s="513"/>
      <c r="X61" s="527"/>
      <c r="Y61" s="527"/>
      <c r="Z61" s="537">
        <f>X61*Z58</f>
        <v>0</v>
      </c>
      <c r="AA61" s="530"/>
      <c r="AB61" s="538">
        <f t="shared" si="71"/>
        <v>0</v>
      </c>
      <c r="AC61" s="539" t="str">
        <f t="shared" si="72"/>
        <v/>
      </c>
      <c r="AD61" s="513"/>
      <c r="AE61" s="527"/>
      <c r="AF61" s="527"/>
      <c r="AG61" s="537">
        <f>AE61*AG58</f>
        <v>0</v>
      </c>
      <c r="AH61" s="530"/>
      <c r="AI61" s="538">
        <f t="shared" si="73"/>
        <v>0</v>
      </c>
      <c r="AJ61" s="539" t="str">
        <f t="shared" si="74"/>
        <v/>
      </c>
      <c r="AK61" s="513"/>
      <c r="AL61" s="527"/>
      <c r="AM61" s="527"/>
      <c r="AN61" s="537">
        <f>AL61*AN58</f>
        <v>0</v>
      </c>
      <c r="AO61" s="530"/>
      <c r="AP61" s="538">
        <f t="shared" si="75"/>
        <v>0</v>
      </c>
      <c r="AQ61" s="539" t="str">
        <f t="shared" si="76"/>
        <v/>
      </c>
      <c r="AR61" s="540"/>
    </row>
    <row r="62" spans="1:44" ht="13.5" customHeight="1">
      <c r="A62" s="513"/>
      <c r="B62" s="635" t="s">
        <v>321</v>
      </c>
      <c r="C62" s="613"/>
      <c r="D62" s="613"/>
      <c r="E62" s="541"/>
      <c r="F62" s="542"/>
      <c r="G62" s="543"/>
      <c r="H62" s="544">
        <f>H60-H61</f>
        <v>192293.20740000001</v>
      </c>
      <c r="I62" s="545"/>
      <c r="J62" s="545"/>
      <c r="K62" s="545"/>
      <c r="L62" s="546">
        <f>L60-L61</f>
        <v>196264.03869999998</v>
      </c>
      <c r="M62" s="547"/>
      <c r="N62" s="548">
        <f t="shared" si="67"/>
        <v>3970.8312999999616</v>
      </c>
      <c r="O62" s="549">
        <f t="shared" si="68"/>
        <v>2.0649878140209136E-2</v>
      </c>
      <c r="P62" s="513"/>
      <c r="Q62" s="545"/>
      <c r="R62" s="545"/>
      <c r="S62" s="546">
        <f>S60-S61</f>
        <v>189949.15234999996</v>
      </c>
      <c r="T62" s="547"/>
      <c r="U62" s="548">
        <f t="shared" si="69"/>
        <v>-6314.8863500000152</v>
      </c>
      <c r="V62" s="549">
        <f t="shared" si="70"/>
        <v>-3.2175463176178976E-2</v>
      </c>
      <c r="W62" s="513"/>
      <c r="X62" s="545"/>
      <c r="Y62" s="545"/>
      <c r="Z62" s="546">
        <f>Z60-Z61</f>
        <v>198678.09724999999</v>
      </c>
      <c r="AA62" s="547"/>
      <c r="AB62" s="548">
        <f t="shared" si="71"/>
        <v>8728.9449000000313</v>
      </c>
      <c r="AC62" s="549">
        <f t="shared" si="72"/>
        <v>4.5954113466724469E-2</v>
      </c>
      <c r="AD62" s="513"/>
      <c r="AE62" s="545"/>
      <c r="AF62" s="545"/>
      <c r="AG62" s="546">
        <f>AG60-AG61</f>
        <v>205596.01939999996</v>
      </c>
      <c r="AH62" s="547"/>
      <c r="AI62" s="548">
        <f t="shared" si="73"/>
        <v>6917.9221499999694</v>
      </c>
      <c r="AJ62" s="549">
        <f t="shared" si="74"/>
        <v>3.4819752382141203E-2</v>
      </c>
      <c r="AK62" s="513"/>
      <c r="AL62" s="545"/>
      <c r="AM62" s="545"/>
      <c r="AN62" s="546">
        <f>AN60-AN61</f>
        <v>211715.00329999998</v>
      </c>
      <c r="AO62" s="547"/>
      <c r="AP62" s="548">
        <f t="shared" si="75"/>
        <v>6118.9839000000211</v>
      </c>
      <c r="AQ62" s="549">
        <f t="shared" si="76"/>
        <v>2.9762171066625341E-2</v>
      </c>
      <c r="AR62" s="550"/>
    </row>
    <row r="63" spans="1:44"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55"/>
      <c r="D65" s="52"/>
      <c r="E65" s="52"/>
      <c r="F65" s="478">
        <f>'Proposed Rates'!$E$303</f>
        <v>5.1000000000000004E-3</v>
      </c>
      <c r="G65" s="52"/>
      <c r="H65" s="52"/>
      <c r="I65" s="52"/>
      <c r="J65" s="478">
        <f>'Proposed Rates'!$F$303</f>
        <v>4.7999999999999996E-3</v>
      </c>
      <c r="K65" s="52"/>
      <c r="L65" s="52"/>
      <c r="M65" s="52"/>
      <c r="N65" s="52"/>
      <c r="O65" s="52"/>
      <c r="P65" s="52"/>
      <c r="Q65" s="478">
        <f>'Proposed Rates'!$G$303</f>
        <v>4.7999999999999996E-3</v>
      </c>
      <c r="R65" s="52"/>
      <c r="S65" s="52"/>
      <c r="T65" s="52"/>
      <c r="U65" s="52"/>
      <c r="V65" s="52"/>
      <c r="W65" s="52"/>
      <c r="X65" s="478">
        <f>'Proposed Rates'!$H$303</f>
        <v>4.7999999999999996E-3</v>
      </c>
      <c r="Y65" s="52"/>
      <c r="Z65" s="52"/>
      <c r="AA65" s="52"/>
      <c r="AB65" s="52"/>
      <c r="AC65" s="52"/>
      <c r="AD65" s="52"/>
      <c r="AE65" s="478">
        <f>'Proposed Rates'!$I$303</f>
        <v>4.7999999999999996E-3</v>
      </c>
      <c r="AF65" s="52"/>
      <c r="AG65" s="52"/>
      <c r="AH65" s="52"/>
      <c r="AI65" s="52"/>
      <c r="AJ65" s="52"/>
      <c r="AK65" s="52"/>
      <c r="AL65" s="478">
        <f>'Proposed Rates'!$J$303</f>
        <v>4.7999999999999996E-3</v>
      </c>
      <c r="AM65" s="52"/>
      <c r="AN65" s="52"/>
      <c r="AO65" s="52"/>
      <c r="AP65" s="52"/>
      <c r="AQ65" s="52"/>
      <c r="AR65" s="52"/>
    </row>
    <row r="66" spans="1:44"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407</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100-000000000000}">
      <formula1>"TOU,non-TOU"</formula1>
    </dataValidation>
    <dataValidation type="list" allowBlank="1" showErrorMessage="1" sqref="E15:E28 E30:E38 E40:E41 E43:E51 E57 E63" xr:uid="{00000000-0002-0000-2100-000001000000}">
      <formula1>#REF!</formula1>
    </dataValidation>
    <dataValidation type="list" allowBlank="1" showInputMessage="1" showErrorMessage="1" prompt="Select Charge Unit - monthly, per kWh, per kW" sqref="D15:D28 D30:D38 D40:D41 D43:D51 D57 D63" xr:uid="{00000000-0002-0000-2100-000002000000}">
      <formula1>"Monthly,per kWh,per kW"</formula1>
    </dataValidation>
  </dataValidations>
  <pageMargins left="0.74803149606299213" right="0.74803149606299213" top="0.98425196850393704" bottom="0.98425196850393704"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3.140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28515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 customWidth="1"/>
    <col min="36" max="36" width="10" customWidth="1"/>
    <col min="37" max="37" width="0.7109375" customWidth="1"/>
    <col min="38" max="38" width="12.28515625" customWidth="1"/>
    <col min="39" max="39" width="11" customWidth="1"/>
    <col min="40" max="40" width="13" customWidth="1"/>
    <col min="41" max="41" width="1.28515625" customWidth="1"/>
    <col min="42" max="42" width="11" customWidth="1"/>
    <col min="43" max="43" width="10" customWidth="1"/>
    <col min="44" max="44" width="1.28515625" customWidth="1"/>
  </cols>
  <sheetData>
    <row r="1" spans="1:44" ht="7.5" customHeight="1">
      <c r="A1" s="52"/>
      <c r="B1" s="52"/>
      <c r="C1" s="555"/>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4" ht="18.75" customHeight="1">
      <c r="A2" s="52"/>
      <c r="B2" s="52"/>
      <c r="C2" s="556"/>
      <c r="D2" s="379"/>
      <c r="E2" s="379"/>
      <c r="F2" s="379" t="s">
        <v>291</v>
      </c>
      <c r="G2" s="379"/>
      <c r="H2" s="379"/>
      <c r="I2" s="379"/>
      <c r="J2" s="379"/>
      <c r="K2" s="379"/>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4" ht="18.75" customHeight="1">
      <c r="A3" s="52"/>
      <c r="B3" s="52"/>
      <c r="C3" s="556"/>
      <c r="D3" s="379"/>
      <c r="E3" s="379"/>
      <c r="F3" s="379" t="s">
        <v>293</v>
      </c>
      <c r="G3" s="379"/>
      <c r="H3" s="379"/>
      <c r="I3" s="379"/>
      <c r="J3" s="379"/>
      <c r="K3" s="379"/>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7.5" customHeight="1">
      <c r="A4" s="52"/>
      <c r="B4" s="52"/>
      <c r="C4" s="555"/>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7.5" customHeight="1">
      <c r="A5" s="52"/>
      <c r="B5" s="52"/>
      <c r="C5" s="555"/>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75" customHeight="1">
      <c r="A6" s="52"/>
      <c r="B6" s="319" t="s">
        <v>294</v>
      </c>
      <c r="C6" s="555"/>
      <c r="D6" s="381" t="s">
        <v>223</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75" customHeight="1">
      <c r="A9" s="52"/>
      <c r="B9" s="383"/>
      <c r="C9" s="555"/>
      <c r="D9" s="306" t="s">
        <v>297</v>
      </c>
      <c r="E9" s="306"/>
      <c r="F9" s="386">
        <v>4290127</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75" customHeight="1">
      <c r="A10" s="52"/>
      <c r="B10" s="52"/>
      <c r="C10" s="555"/>
      <c r="D10" s="52"/>
      <c r="E10" s="52"/>
      <c r="F10" s="386">
        <v>7900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75" customHeight="1">
      <c r="A11" s="52"/>
      <c r="B11" s="52"/>
      <c r="C11" s="555"/>
      <c r="D11" s="3"/>
      <c r="E11" s="3"/>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75" customHeight="1">
      <c r="A15" s="52"/>
      <c r="B15" s="320" t="s">
        <v>218</v>
      </c>
      <c r="C15" s="395" t="str">
        <f t="shared" ref="C15:C28" si="0">D$6&amp;"."&amp;B15</f>
        <v>Large User.Monthly Service Charge</v>
      </c>
      <c r="D15" s="396" t="s">
        <v>306</v>
      </c>
      <c r="E15" s="320"/>
      <c r="F15" s="397">
        <f>IFERROR(VLOOKUP($C15,'Proposed Rates'!$B:$J,F$11,FALSE),0)</f>
        <v>14946.93</v>
      </c>
      <c r="G15" s="415">
        <f t="shared" ref="G15:G28" si="1">IF($D15="Monthly",1,IF($D15="per KW",$F$10,IF($D15="per kWh",$F$9,0)))</f>
        <v>1</v>
      </c>
      <c r="H15" s="400">
        <f t="shared" ref="H15:H28" si="2">G15*F15</f>
        <v>14946.93</v>
      </c>
      <c r="I15" s="128"/>
      <c r="J15" s="397">
        <f>IFERROR(VLOOKUP($C15,'Proposed Rates'!$B:$J,J$11,FALSE),0)</f>
        <v>14946.93</v>
      </c>
      <c r="K15" s="415">
        <f t="shared" ref="K15:K28" si="3">IF($D15="Monthly",1,IF($D15="per KW",$F$10,IF($D15="per kWh",$F$9,0)))</f>
        <v>1</v>
      </c>
      <c r="L15" s="400">
        <f t="shared" ref="L15:L28" si="4">K15*J15</f>
        <v>14946.93</v>
      </c>
      <c r="M15" s="128"/>
      <c r="N15" s="401">
        <f t="shared" ref="N15:N46" si="5">L15-H15</f>
        <v>0</v>
      </c>
      <c r="O15" s="402">
        <f t="shared" ref="O15:O46" si="6">IF((H15)=0,"",(N15/H15))</f>
        <v>0</v>
      </c>
      <c r="P15" s="52"/>
      <c r="Q15" s="397">
        <f>IFERROR(VLOOKUP($C15,'Proposed Rates'!$B:$J,Q$11,FALSE),0)</f>
        <v>14946.93</v>
      </c>
      <c r="R15" s="415">
        <f t="shared" ref="R15:R28" si="7">IF($D15="Monthly",1,IF($D15="per KW",$F$10,IF($D15="per kWh",$F$9,0)))</f>
        <v>1</v>
      </c>
      <c r="S15" s="400">
        <f t="shared" ref="S15:S28" si="8">R15*Q15</f>
        <v>14946.93</v>
      </c>
      <c r="T15" s="128"/>
      <c r="U15" s="401">
        <f t="shared" ref="U15:U46" si="9">S15-L15</f>
        <v>0</v>
      </c>
      <c r="V15" s="402">
        <f t="shared" ref="V15:V46" si="10">IF((L15)=0,"",(U15/L15))</f>
        <v>0</v>
      </c>
      <c r="W15" s="52"/>
      <c r="X15" s="397">
        <f>IFERROR(VLOOKUP($C15,'Proposed Rates'!$B:$J,X$11,FALSE),0)</f>
        <v>14946.93</v>
      </c>
      <c r="Y15" s="415">
        <f t="shared" ref="Y15:Y28" si="11">IF($D15="Monthly",1,IF($D15="per KW",$F$10,IF($D15="per kWh",$F$9,0)))</f>
        <v>1</v>
      </c>
      <c r="Z15" s="400">
        <f t="shared" ref="Z15:Z28" si="12">Y15*X15</f>
        <v>14946.93</v>
      </c>
      <c r="AA15" s="128"/>
      <c r="AB15" s="401">
        <f t="shared" ref="AB15:AB46" si="13">Z15-S15</f>
        <v>0</v>
      </c>
      <c r="AC15" s="402">
        <f t="shared" ref="AC15:AC46" si="14">IF((S15)=0,"",(AB15/S15))</f>
        <v>0</v>
      </c>
      <c r="AD15" s="52"/>
      <c r="AE15" s="397">
        <f>IFERROR(VLOOKUP($C15,'Proposed Rates'!$B:$J,AE$11,FALSE),0)</f>
        <v>14946.93</v>
      </c>
      <c r="AF15" s="415">
        <f t="shared" ref="AF15:AF28" si="15">IF($D15="Monthly",1,IF($D15="per KW",$F$10,IF($D15="per kWh",$F$9,0)))</f>
        <v>1</v>
      </c>
      <c r="AG15" s="400">
        <f t="shared" ref="AG15:AG28" si="16">AF15*AE15</f>
        <v>14946.93</v>
      </c>
      <c r="AH15" s="128"/>
      <c r="AI15" s="401">
        <f t="shared" ref="AI15:AI46" si="17">AG15-Z15</f>
        <v>0</v>
      </c>
      <c r="AJ15" s="402">
        <f t="shared" ref="AJ15:AJ46" si="18">IF((Z15)=0,"",(AI15/Z15))</f>
        <v>0</v>
      </c>
      <c r="AK15" s="52"/>
      <c r="AL15" s="397">
        <f>IFERROR(VLOOKUP($C15,'Proposed Rates'!$B:$J,AL$11,FALSE),0)</f>
        <v>14946.93</v>
      </c>
      <c r="AM15" s="415">
        <f t="shared" ref="AM15:AM28" si="19">IF($D15="Monthly",1,IF($D15="per KW",$F$10,IF($D15="per kWh",$F$9,0)))</f>
        <v>1</v>
      </c>
      <c r="AN15" s="400">
        <f t="shared" ref="AN15:AN28" si="20">AM15*AL15</f>
        <v>14946.93</v>
      </c>
      <c r="AO15" s="128"/>
      <c r="AP15" s="401">
        <f t="shared" ref="AP15:AP46" si="21">AN15-AG15</f>
        <v>0</v>
      </c>
      <c r="AQ15" s="402">
        <f t="shared" ref="AQ15:AQ46" si="22">IF((AG15)=0,"",(AP15/AG15))</f>
        <v>0</v>
      </c>
      <c r="AR15" s="403"/>
    </row>
    <row r="16" spans="1:44" ht="12.75" customHeight="1">
      <c r="A16" s="52"/>
      <c r="B16" s="320" t="s">
        <v>307</v>
      </c>
      <c r="C16" s="395" t="str">
        <f t="shared" si="0"/>
        <v>Large User.Smart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Large User.Rate Rider Calculation for PILs</v>
      </c>
      <c r="D17" s="396" t="s">
        <v>377</v>
      </c>
      <c r="E17" s="320"/>
      <c r="F17" s="397">
        <f>IFERROR(VLOOKUP($C17,'Proposed Rates'!$B:$J,F$11,FALSE),0)</f>
        <v>0</v>
      </c>
      <c r="G17" s="415">
        <f t="shared" si="1"/>
        <v>7900</v>
      </c>
      <c r="H17" s="400">
        <f t="shared" si="2"/>
        <v>0</v>
      </c>
      <c r="I17" s="128"/>
      <c r="J17" s="397">
        <f>IFERROR(VLOOKUP($C17,'Proposed Rates'!$B:$J,J$11,FALSE),0)</f>
        <v>0</v>
      </c>
      <c r="K17" s="415">
        <f t="shared" si="3"/>
        <v>7900</v>
      </c>
      <c r="L17" s="400">
        <f t="shared" si="4"/>
        <v>0</v>
      </c>
      <c r="M17" s="128"/>
      <c r="N17" s="401">
        <f t="shared" si="5"/>
        <v>0</v>
      </c>
      <c r="O17" s="402" t="str">
        <f t="shared" si="6"/>
        <v/>
      </c>
      <c r="P17" s="52"/>
      <c r="Q17" s="397">
        <f>IFERROR(VLOOKUP($C17,'Proposed Rates'!$B:$J,Q$11,FALSE),0)</f>
        <v>0</v>
      </c>
      <c r="R17" s="415">
        <f t="shared" si="7"/>
        <v>7900</v>
      </c>
      <c r="S17" s="400">
        <f t="shared" si="8"/>
        <v>0</v>
      </c>
      <c r="T17" s="128"/>
      <c r="U17" s="401">
        <f t="shared" si="9"/>
        <v>0</v>
      </c>
      <c r="V17" s="402" t="str">
        <f t="shared" si="10"/>
        <v/>
      </c>
      <c r="W17" s="52"/>
      <c r="X17" s="397">
        <f>IFERROR(VLOOKUP($C17,'Proposed Rates'!$B:$J,X$11,FALSE),0)</f>
        <v>0</v>
      </c>
      <c r="Y17" s="415">
        <f t="shared" si="11"/>
        <v>7900</v>
      </c>
      <c r="Z17" s="400">
        <f t="shared" si="12"/>
        <v>0</v>
      </c>
      <c r="AA17" s="128"/>
      <c r="AB17" s="401">
        <f t="shared" si="13"/>
        <v>0</v>
      </c>
      <c r="AC17" s="402" t="str">
        <f t="shared" si="14"/>
        <v/>
      </c>
      <c r="AD17" s="52"/>
      <c r="AE17" s="397">
        <f>IFERROR(VLOOKUP($C17,'Proposed Rates'!$B:$J,AE$11,FALSE),0)</f>
        <v>0</v>
      </c>
      <c r="AF17" s="415">
        <f t="shared" si="15"/>
        <v>7900</v>
      </c>
      <c r="AG17" s="400">
        <f t="shared" si="16"/>
        <v>0</v>
      </c>
      <c r="AH17" s="128"/>
      <c r="AI17" s="401">
        <f t="shared" si="17"/>
        <v>0</v>
      </c>
      <c r="AJ17" s="402" t="str">
        <f t="shared" si="18"/>
        <v/>
      </c>
      <c r="AK17" s="52"/>
      <c r="AL17" s="397">
        <f>IFERROR(VLOOKUP($C17,'Proposed Rates'!$B:$J,AL$11,FALSE),0)</f>
        <v>0</v>
      </c>
      <c r="AM17" s="415">
        <f t="shared" si="19"/>
        <v>7900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Large User.Rate Rider Calculation for Generic</v>
      </c>
      <c r="D18" s="396" t="s">
        <v>377</v>
      </c>
      <c r="E18" s="320"/>
      <c r="F18" s="397">
        <f>IFERROR(VLOOKUP($C18,'Proposed Rates'!$B:$J,F$11,FALSE),0)</f>
        <v>0</v>
      </c>
      <c r="G18" s="415">
        <f t="shared" si="1"/>
        <v>7900</v>
      </c>
      <c r="H18" s="400">
        <f t="shared" si="2"/>
        <v>0</v>
      </c>
      <c r="I18" s="128"/>
      <c r="J18" s="397">
        <f>IFERROR(VLOOKUP($C18,'Proposed Rates'!$B:$J,J$11,FALSE),0)</f>
        <v>0</v>
      </c>
      <c r="K18" s="415">
        <f t="shared" si="3"/>
        <v>7900</v>
      </c>
      <c r="L18" s="400">
        <f t="shared" si="4"/>
        <v>0</v>
      </c>
      <c r="M18" s="128"/>
      <c r="N18" s="401">
        <f t="shared" si="5"/>
        <v>0</v>
      </c>
      <c r="O18" s="402" t="str">
        <f t="shared" si="6"/>
        <v/>
      </c>
      <c r="P18" s="52"/>
      <c r="Q18" s="397">
        <f>IFERROR(VLOOKUP($C18,'Proposed Rates'!$B:$J,Q$11,FALSE),0)</f>
        <v>0</v>
      </c>
      <c r="R18" s="415">
        <f t="shared" si="7"/>
        <v>7900</v>
      </c>
      <c r="S18" s="400">
        <f t="shared" si="8"/>
        <v>0</v>
      </c>
      <c r="T18" s="128"/>
      <c r="U18" s="401">
        <f t="shared" si="9"/>
        <v>0</v>
      </c>
      <c r="V18" s="402" t="str">
        <f t="shared" si="10"/>
        <v/>
      </c>
      <c r="W18" s="52"/>
      <c r="X18" s="397">
        <f>IFERROR(VLOOKUP($C18,'Proposed Rates'!$B:$J,X$11,FALSE),0)</f>
        <v>0</v>
      </c>
      <c r="Y18" s="415">
        <f t="shared" si="11"/>
        <v>7900</v>
      </c>
      <c r="Z18" s="400">
        <f t="shared" si="12"/>
        <v>0</v>
      </c>
      <c r="AA18" s="128"/>
      <c r="AB18" s="401">
        <f t="shared" si="13"/>
        <v>0</v>
      </c>
      <c r="AC18" s="402" t="str">
        <f t="shared" si="14"/>
        <v/>
      </c>
      <c r="AD18" s="52"/>
      <c r="AE18" s="397">
        <f>IFERROR(VLOOKUP($C18,'Proposed Rates'!$B:$J,AE$11,FALSE),0)</f>
        <v>0</v>
      </c>
      <c r="AF18" s="415">
        <f t="shared" si="15"/>
        <v>7900</v>
      </c>
      <c r="AG18" s="400">
        <f t="shared" si="16"/>
        <v>0</v>
      </c>
      <c r="AH18" s="128"/>
      <c r="AI18" s="401">
        <f t="shared" si="17"/>
        <v>0</v>
      </c>
      <c r="AJ18" s="402" t="str">
        <f t="shared" si="18"/>
        <v/>
      </c>
      <c r="AK18" s="52"/>
      <c r="AL18" s="397">
        <f>IFERROR(VLOOKUP($C18,'Proposed Rates'!$B:$J,AL$11,FALSE),0)</f>
        <v>0</v>
      </c>
      <c r="AM18" s="415">
        <f t="shared" si="19"/>
        <v>7900</v>
      </c>
      <c r="AN18" s="400">
        <f t="shared" si="20"/>
        <v>0</v>
      </c>
      <c r="AO18" s="128"/>
      <c r="AP18" s="401">
        <f t="shared" si="21"/>
        <v>0</v>
      </c>
      <c r="AQ18" s="402" t="str">
        <f t="shared" si="22"/>
        <v/>
      </c>
      <c r="AR18" s="403"/>
    </row>
    <row r="19" spans="1:44" ht="12.75" customHeight="1">
      <c r="A19" s="52"/>
      <c r="B19" s="320" t="s">
        <v>59</v>
      </c>
      <c r="C19" s="395" t="str">
        <f t="shared" si="0"/>
        <v>Large User.Distribution Volumetric Rate</v>
      </c>
      <c r="D19" s="396" t="s">
        <v>377</v>
      </c>
      <c r="E19" s="320"/>
      <c r="F19" s="414">
        <f>IFERROR(VLOOKUP($C19,'Proposed Rates'!$B:$J,F$11,FALSE),0)</f>
        <v>6.0316000000000001</v>
      </c>
      <c r="G19" s="415">
        <f t="shared" si="1"/>
        <v>7900</v>
      </c>
      <c r="H19" s="400">
        <f t="shared" si="2"/>
        <v>47649.64</v>
      </c>
      <c r="I19" s="128"/>
      <c r="J19" s="414">
        <f>IFERROR(VLOOKUP($C19,'Proposed Rates'!$B:$J,J$11,FALSE),0)</f>
        <v>7.8982000000000001</v>
      </c>
      <c r="K19" s="415">
        <f t="shared" si="3"/>
        <v>7900</v>
      </c>
      <c r="L19" s="400">
        <f t="shared" si="4"/>
        <v>62395.78</v>
      </c>
      <c r="M19" s="128"/>
      <c r="N19" s="401">
        <f t="shared" si="5"/>
        <v>14746.14</v>
      </c>
      <c r="O19" s="402">
        <f t="shared" si="6"/>
        <v>0.30947012401352875</v>
      </c>
      <c r="P19" s="52"/>
      <c r="Q19" s="414">
        <f>IFERROR(VLOOKUP($C19,'Proposed Rates'!$B:$J,Q$11,FALSE),0)</f>
        <v>8.8231999999999999</v>
      </c>
      <c r="R19" s="415">
        <f t="shared" si="7"/>
        <v>7900</v>
      </c>
      <c r="S19" s="400">
        <f t="shared" si="8"/>
        <v>69703.28</v>
      </c>
      <c r="T19" s="128"/>
      <c r="U19" s="401">
        <f t="shared" si="9"/>
        <v>7307.5</v>
      </c>
      <c r="V19" s="402">
        <f t="shared" si="10"/>
        <v>0.11711529209186904</v>
      </c>
      <c r="W19" s="52"/>
      <c r="X19" s="414">
        <f>IFERROR(VLOOKUP($C19,'Proposed Rates'!$B:$J,X$11,FALSE),0)</f>
        <v>9.8528000000000002</v>
      </c>
      <c r="Y19" s="415">
        <f t="shared" si="11"/>
        <v>7900</v>
      </c>
      <c r="Z19" s="400">
        <f t="shared" si="12"/>
        <v>77837.119999999995</v>
      </c>
      <c r="AA19" s="128"/>
      <c r="AB19" s="401">
        <f t="shared" si="13"/>
        <v>8133.8399999999965</v>
      </c>
      <c r="AC19" s="402">
        <f t="shared" si="14"/>
        <v>0.11669235651464316</v>
      </c>
      <c r="AD19" s="52"/>
      <c r="AE19" s="414">
        <f>IFERROR(VLOOKUP($C19,'Proposed Rates'!$B:$J,AE$11,FALSE),0)</f>
        <v>10.6686</v>
      </c>
      <c r="AF19" s="415">
        <f t="shared" si="15"/>
        <v>7900</v>
      </c>
      <c r="AG19" s="400">
        <f t="shared" si="16"/>
        <v>84281.94</v>
      </c>
      <c r="AH19" s="128"/>
      <c r="AI19" s="401">
        <f t="shared" si="17"/>
        <v>6444.820000000007</v>
      </c>
      <c r="AJ19" s="402">
        <f t="shared" si="18"/>
        <v>8.2798798311140079E-2</v>
      </c>
      <c r="AK19" s="52"/>
      <c r="AL19" s="414">
        <f>IFERROR(VLOOKUP($C19,'Proposed Rates'!$B:$J,AL$11,FALSE),0)</f>
        <v>11.3901</v>
      </c>
      <c r="AM19" s="415">
        <f t="shared" si="19"/>
        <v>7900</v>
      </c>
      <c r="AN19" s="400">
        <f t="shared" si="20"/>
        <v>89981.790000000008</v>
      </c>
      <c r="AO19" s="128"/>
      <c r="AP19" s="401">
        <f t="shared" si="21"/>
        <v>5699.8500000000058</v>
      </c>
      <c r="AQ19" s="402">
        <f t="shared" si="22"/>
        <v>6.7628367358416361E-2</v>
      </c>
      <c r="AR19" s="403"/>
    </row>
    <row r="20" spans="1:44" ht="12.75" customHeight="1">
      <c r="A20" s="52"/>
      <c r="B20" s="320" t="s">
        <v>309</v>
      </c>
      <c r="C20" s="395" t="str">
        <f t="shared" si="0"/>
        <v>Large User.Smart Meter Disposition Rider</v>
      </c>
      <c r="D20" s="396" t="s">
        <v>308</v>
      </c>
      <c r="E20" s="320"/>
      <c r="F20" s="397">
        <f>IFERROR(VLOOKUP($C20,'Proposed Rates'!$B:$J,F$11,FALSE),0)</f>
        <v>0</v>
      </c>
      <c r="G20" s="415">
        <f t="shared" si="1"/>
        <v>4290127</v>
      </c>
      <c r="H20" s="400">
        <f t="shared" si="2"/>
        <v>0</v>
      </c>
      <c r="I20" s="128"/>
      <c r="J20" s="397">
        <f>IFERROR(VLOOKUP($C20,'Proposed Rates'!$B:$J,J$11,FALSE),0)</f>
        <v>0</v>
      </c>
      <c r="K20" s="415">
        <f t="shared" si="3"/>
        <v>4290127</v>
      </c>
      <c r="L20" s="400">
        <f t="shared" si="4"/>
        <v>0</v>
      </c>
      <c r="M20" s="128"/>
      <c r="N20" s="401">
        <f t="shared" si="5"/>
        <v>0</v>
      </c>
      <c r="O20" s="402" t="str">
        <f t="shared" si="6"/>
        <v/>
      </c>
      <c r="P20" s="52"/>
      <c r="Q20" s="397">
        <f>IFERROR(VLOOKUP($C20,'Proposed Rates'!$B:$J,Q$11,FALSE),0)</f>
        <v>0</v>
      </c>
      <c r="R20" s="415">
        <f t="shared" si="7"/>
        <v>4290127</v>
      </c>
      <c r="S20" s="400">
        <f t="shared" si="8"/>
        <v>0</v>
      </c>
      <c r="T20" s="128"/>
      <c r="U20" s="401">
        <f t="shared" si="9"/>
        <v>0</v>
      </c>
      <c r="V20" s="402" t="str">
        <f t="shared" si="10"/>
        <v/>
      </c>
      <c r="W20" s="52"/>
      <c r="X20" s="397">
        <f>IFERROR(VLOOKUP($C20,'Proposed Rates'!$B:$J,X$11,FALSE),0)</f>
        <v>0</v>
      </c>
      <c r="Y20" s="415">
        <f t="shared" si="11"/>
        <v>4290127</v>
      </c>
      <c r="Z20" s="400">
        <f t="shared" si="12"/>
        <v>0</v>
      </c>
      <c r="AA20" s="128"/>
      <c r="AB20" s="401">
        <f t="shared" si="13"/>
        <v>0</v>
      </c>
      <c r="AC20" s="402" t="str">
        <f t="shared" si="14"/>
        <v/>
      </c>
      <c r="AD20" s="52"/>
      <c r="AE20" s="397">
        <f>IFERROR(VLOOKUP($C20,'Proposed Rates'!$B:$J,AE$11,FALSE),0)</f>
        <v>0</v>
      </c>
      <c r="AF20" s="415">
        <f t="shared" si="15"/>
        <v>4290127</v>
      </c>
      <c r="AG20" s="400">
        <f t="shared" si="16"/>
        <v>0</v>
      </c>
      <c r="AH20" s="128"/>
      <c r="AI20" s="401">
        <f t="shared" si="17"/>
        <v>0</v>
      </c>
      <c r="AJ20" s="402" t="str">
        <f t="shared" si="18"/>
        <v/>
      </c>
      <c r="AK20" s="52"/>
      <c r="AL20" s="397">
        <f>IFERROR(VLOOKUP($C20,'Proposed Rates'!$B:$J,AL$11,FALSE),0)</f>
        <v>0</v>
      </c>
      <c r="AM20" s="415">
        <f t="shared" si="19"/>
        <v>4290127</v>
      </c>
      <c r="AN20" s="400">
        <f t="shared" si="20"/>
        <v>0</v>
      </c>
      <c r="AO20" s="128"/>
      <c r="AP20" s="401">
        <f t="shared" si="21"/>
        <v>0</v>
      </c>
      <c r="AQ20" s="402" t="str">
        <f t="shared" si="22"/>
        <v/>
      </c>
      <c r="AR20" s="403"/>
    </row>
    <row r="21" spans="1:44" ht="12.75" customHeight="1">
      <c r="A21" s="52"/>
      <c r="B21" s="320" t="s">
        <v>241</v>
      </c>
      <c r="C21" s="395" t="str">
        <f t="shared" si="0"/>
        <v>Large User.LRAM Rate Rider</v>
      </c>
      <c r="D21" s="396" t="s">
        <v>377</v>
      </c>
      <c r="E21" s="320"/>
      <c r="F21" s="414">
        <f>'Proposed Rates'!E81+'Proposed Rates'!E94</f>
        <v>0.2011</v>
      </c>
      <c r="G21" s="415">
        <f t="shared" si="1"/>
        <v>7900</v>
      </c>
      <c r="H21" s="400">
        <f t="shared" si="2"/>
        <v>1588.69</v>
      </c>
      <c r="I21" s="128"/>
      <c r="J21" s="414">
        <f>'Proposed Rates'!F81+'Proposed Rates'!F94</f>
        <v>-0.52569999999999995</v>
      </c>
      <c r="K21" s="415">
        <f t="shared" si="3"/>
        <v>7900</v>
      </c>
      <c r="L21" s="400">
        <f t="shared" si="4"/>
        <v>-4153.03</v>
      </c>
      <c r="M21" s="128"/>
      <c r="N21" s="401">
        <f t="shared" si="5"/>
        <v>-5741.7199999999993</v>
      </c>
      <c r="O21" s="402">
        <f t="shared" si="6"/>
        <v>-3.6141223272003971</v>
      </c>
      <c r="P21" s="52"/>
      <c r="Q21" s="414">
        <f>'Proposed Rates'!G81+'Proposed Rates'!G94</f>
        <v>0</v>
      </c>
      <c r="R21" s="415">
        <f t="shared" si="7"/>
        <v>7900</v>
      </c>
      <c r="S21" s="400">
        <f t="shared" si="8"/>
        <v>0</v>
      </c>
      <c r="T21" s="128"/>
      <c r="U21" s="401">
        <f t="shared" si="9"/>
        <v>4153.03</v>
      </c>
      <c r="V21" s="402">
        <f t="shared" si="10"/>
        <v>-1</v>
      </c>
      <c r="W21" s="52"/>
      <c r="X21" s="414">
        <f>IFERROR(VLOOKUP($C21,'Proposed Rates'!$B:$J,X$11,FALSE),0)</f>
        <v>0</v>
      </c>
      <c r="Y21" s="415">
        <f t="shared" si="11"/>
        <v>7900</v>
      </c>
      <c r="Z21" s="400">
        <f t="shared" si="12"/>
        <v>0</v>
      </c>
      <c r="AA21" s="128"/>
      <c r="AB21" s="401">
        <f t="shared" si="13"/>
        <v>0</v>
      </c>
      <c r="AC21" s="402" t="str">
        <f t="shared" si="14"/>
        <v/>
      </c>
      <c r="AD21" s="52"/>
      <c r="AE21" s="414">
        <f>IFERROR(VLOOKUP($C21,'Proposed Rates'!$B:$J,AE$11,FALSE),0)</f>
        <v>0</v>
      </c>
      <c r="AF21" s="415">
        <f t="shared" si="15"/>
        <v>7900</v>
      </c>
      <c r="AG21" s="400">
        <f t="shared" si="16"/>
        <v>0</v>
      </c>
      <c r="AH21" s="128"/>
      <c r="AI21" s="401">
        <f t="shared" si="17"/>
        <v>0</v>
      </c>
      <c r="AJ21" s="402" t="str">
        <f t="shared" si="18"/>
        <v/>
      </c>
      <c r="AK21" s="52"/>
      <c r="AL21" s="414">
        <f>IFERROR(VLOOKUP($C21,'Proposed Rates'!$B:$J,AL$11,FALSE),0)</f>
        <v>0</v>
      </c>
      <c r="AM21" s="415">
        <f t="shared" si="19"/>
        <v>7900</v>
      </c>
      <c r="AN21" s="400">
        <f t="shared" si="20"/>
        <v>0</v>
      </c>
      <c r="AO21" s="128"/>
      <c r="AP21" s="401">
        <f t="shared" si="21"/>
        <v>0</v>
      </c>
      <c r="AQ21" s="402" t="str">
        <f t="shared" si="22"/>
        <v/>
      </c>
      <c r="AR21" s="403"/>
    </row>
    <row r="22" spans="1:44" ht="12.75" customHeight="1">
      <c r="A22" s="52"/>
      <c r="B22" s="484" t="s">
        <v>237</v>
      </c>
      <c r="C22" s="395" t="str">
        <f t="shared" si="0"/>
        <v>Large User.Deferral/Variance Account Disposition Rate Rider Group 2</v>
      </c>
      <c r="D22" s="396" t="s">
        <v>377</v>
      </c>
      <c r="E22" s="320"/>
      <c r="F22" s="397">
        <f>IFERROR(VLOOKUP($C22,'Proposed Rates'!$B:$J,F$11,FALSE),0)</f>
        <v>0</v>
      </c>
      <c r="G22" s="415">
        <f t="shared" si="1"/>
        <v>7900</v>
      </c>
      <c r="H22" s="400">
        <f t="shared" si="2"/>
        <v>0</v>
      </c>
      <c r="I22" s="128"/>
      <c r="J22" s="397">
        <f>IFERROR(VLOOKUP($C22,'Proposed Rates'!$B:$J,J$11,FALSE),0)</f>
        <v>-0.1401</v>
      </c>
      <c r="K22" s="415">
        <f t="shared" si="3"/>
        <v>7900</v>
      </c>
      <c r="L22" s="400">
        <f t="shared" si="4"/>
        <v>-1106.79</v>
      </c>
      <c r="M22" s="128"/>
      <c r="N22" s="401">
        <f t="shared" si="5"/>
        <v>-1106.79</v>
      </c>
      <c r="O22" s="402" t="str">
        <f t="shared" si="6"/>
        <v/>
      </c>
      <c r="P22" s="52"/>
      <c r="Q22" s="397">
        <f>IFERROR(VLOOKUP($C22,'Proposed Rates'!$B:$J,Q$11,FALSE),0)</f>
        <v>0</v>
      </c>
      <c r="R22" s="415">
        <f t="shared" si="7"/>
        <v>7900</v>
      </c>
      <c r="S22" s="400">
        <f t="shared" si="8"/>
        <v>0</v>
      </c>
      <c r="T22" s="128"/>
      <c r="U22" s="401">
        <f t="shared" si="9"/>
        <v>1106.79</v>
      </c>
      <c r="V22" s="402">
        <f t="shared" si="10"/>
        <v>-1</v>
      </c>
      <c r="W22" s="52"/>
      <c r="X22" s="397">
        <f>IFERROR(VLOOKUP($C22,'Proposed Rates'!$B:$J,X$11,FALSE),0)</f>
        <v>0</v>
      </c>
      <c r="Y22" s="415">
        <f t="shared" si="11"/>
        <v>7900</v>
      </c>
      <c r="Z22" s="400">
        <f t="shared" si="12"/>
        <v>0</v>
      </c>
      <c r="AA22" s="128"/>
      <c r="AB22" s="401">
        <f t="shared" si="13"/>
        <v>0</v>
      </c>
      <c r="AC22" s="402" t="str">
        <f t="shared" si="14"/>
        <v/>
      </c>
      <c r="AD22" s="52"/>
      <c r="AE22" s="397">
        <f>IFERROR(VLOOKUP($C22,'Proposed Rates'!$B:$J,AE$11,FALSE),0)</f>
        <v>0</v>
      </c>
      <c r="AF22" s="415">
        <f t="shared" si="15"/>
        <v>7900</v>
      </c>
      <c r="AG22" s="400">
        <f t="shared" si="16"/>
        <v>0</v>
      </c>
      <c r="AH22" s="128"/>
      <c r="AI22" s="401">
        <f t="shared" si="17"/>
        <v>0</v>
      </c>
      <c r="AJ22" s="402" t="str">
        <f t="shared" si="18"/>
        <v/>
      </c>
      <c r="AK22" s="52"/>
      <c r="AL22" s="397">
        <f>IFERROR(VLOOKUP($C22,'Proposed Rates'!$B:$J,AL$11,FALSE),0)</f>
        <v>0</v>
      </c>
      <c r="AM22" s="415">
        <f t="shared" si="19"/>
        <v>7900</v>
      </c>
      <c r="AN22" s="400">
        <f t="shared" si="20"/>
        <v>0</v>
      </c>
      <c r="AO22" s="128"/>
      <c r="AP22" s="401">
        <f t="shared" si="21"/>
        <v>0</v>
      </c>
      <c r="AQ22" s="402" t="str">
        <f t="shared" si="22"/>
        <v/>
      </c>
      <c r="AR22" s="403"/>
    </row>
    <row r="23" spans="1:44" ht="12.75" customHeight="1">
      <c r="A23" s="52"/>
      <c r="B23" s="404"/>
      <c r="C23" s="395" t="str">
        <f t="shared" si="0"/>
        <v>Large User.</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Large User.</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Large User.</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Large User.</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Large User.</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Large User.</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557"/>
      <c r="D29" s="406"/>
      <c r="E29" s="406"/>
      <c r="F29" s="407"/>
      <c r="G29" s="500"/>
      <c r="H29" s="409">
        <f>SUM(H15:H28)</f>
        <v>64185.26</v>
      </c>
      <c r="I29" s="410"/>
      <c r="J29" s="407"/>
      <c r="K29" s="500"/>
      <c r="L29" s="409">
        <f>SUM(L15:L28)</f>
        <v>72082.89</v>
      </c>
      <c r="M29" s="410"/>
      <c r="N29" s="411">
        <f t="shared" si="5"/>
        <v>7897.6299999999974</v>
      </c>
      <c r="O29" s="412">
        <f t="shared" si="6"/>
        <v>0.12304429397029781</v>
      </c>
      <c r="P29" s="306"/>
      <c r="Q29" s="407"/>
      <c r="R29" s="500"/>
      <c r="S29" s="409">
        <f>SUM(S15:S28)</f>
        <v>84650.209999999992</v>
      </c>
      <c r="T29" s="410"/>
      <c r="U29" s="411">
        <f t="shared" si="9"/>
        <v>12567.319999999992</v>
      </c>
      <c r="V29" s="412">
        <f t="shared" si="10"/>
        <v>0.17434539597399595</v>
      </c>
      <c r="W29" s="306"/>
      <c r="X29" s="407"/>
      <c r="Y29" s="500"/>
      <c r="Z29" s="409">
        <f>SUM(Z15:Z28)</f>
        <v>92784.049999999988</v>
      </c>
      <c r="AA29" s="410"/>
      <c r="AB29" s="411">
        <f t="shared" si="13"/>
        <v>8133.8399999999965</v>
      </c>
      <c r="AC29" s="412">
        <f t="shared" si="14"/>
        <v>9.6087652942621143E-2</v>
      </c>
      <c r="AD29" s="306"/>
      <c r="AE29" s="407"/>
      <c r="AF29" s="500"/>
      <c r="AG29" s="409">
        <f>SUM(AG15:AG28)</f>
        <v>99228.87</v>
      </c>
      <c r="AH29" s="410"/>
      <c r="AI29" s="411">
        <f t="shared" si="17"/>
        <v>6444.820000000007</v>
      </c>
      <c r="AJ29" s="412">
        <f t="shared" si="18"/>
        <v>6.9460429890697895E-2</v>
      </c>
      <c r="AK29" s="306"/>
      <c r="AL29" s="407"/>
      <c r="AM29" s="500"/>
      <c r="AN29" s="409">
        <f>SUM(AN15:AN28)</f>
        <v>104928.72</v>
      </c>
      <c r="AO29" s="410"/>
      <c r="AP29" s="411">
        <f t="shared" si="21"/>
        <v>5699.8500000000058</v>
      </c>
      <c r="AQ29" s="412">
        <f t="shared" si="22"/>
        <v>5.7441448239811718E-2</v>
      </c>
      <c r="AR29" s="413"/>
    </row>
    <row r="30" spans="1:44" ht="12.75" customHeight="1">
      <c r="A30" s="52"/>
      <c r="B30" s="404" t="s">
        <v>234</v>
      </c>
      <c r="C30" s="395" t="str">
        <f t="shared" ref="C30:C38" si="23">D$6&amp;"."&amp;B30</f>
        <v>Large User.DVA Disposition Rate Rider Group 1 -2025</v>
      </c>
      <c r="D30" s="396" t="s">
        <v>377</v>
      </c>
      <c r="E30" s="320"/>
      <c r="F30" s="414">
        <f>IFERROR(VLOOKUP($C30,'Proposed Rates'!$B:$J,F$11,FALSE),0)</f>
        <v>6.3399999999999998E-2</v>
      </c>
      <c r="G30" s="415">
        <f t="shared" ref="G30:G36" si="24">IF($D30="Monthly",1,IF($D30="per KW",$F$10,IF($D30="per kWh",$F$9,0)))</f>
        <v>7900</v>
      </c>
      <c r="H30" s="400">
        <f t="shared" ref="H30:H38" si="25">G30*F30</f>
        <v>500.85999999999996</v>
      </c>
      <c r="I30" s="128"/>
      <c r="J30" s="414">
        <f>IFERROR(VLOOKUP($C30,'Proposed Rates'!$B:$J,J$11,FALSE),0)</f>
        <v>-0.2767</v>
      </c>
      <c r="K30" s="415">
        <f t="shared" ref="K30:K36" si="26">IF($D30="Monthly",1,IF($D30="per KW",$F$10,IF($D30="per kWh",$F$9,0)))</f>
        <v>7900</v>
      </c>
      <c r="L30" s="400">
        <f t="shared" ref="L30:L38" si="27">K30*J30</f>
        <v>-2185.9299999999998</v>
      </c>
      <c r="M30" s="128"/>
      <c r="N30" s="401">
        <f t="shared" si="5"/>
        <v>-2686.79</v>
      </c>
      <c r="O30" s="402">
        <f t="shared" si="6"/>
        <v>-5.3643533123028391</v>
      </c>
      <c r="P30" s="52"/>
      <c r="Q30" s="414">
        <f>IFERROR(VLOOKUP($C30,'Proposed Rates'!$B:$J,Q$11,FALSE),0)</f>
        <v>0</v>
      </c>
      <c r="R30" s="415">
        <f t="shared" ref="R30:R36" si="28">IF($D30="Monthly",1,IF($D30="per KW",$F$10,IF($D30="per kWh",$F$9,0)))</f>
        <v>7900</v>
      </c>
      <c r="S30" s="400">
        <f t="shared" ref="S30:S38" si="29">R30*Q30</f>
        <v>0</v>
      </c>
      <c r="T30" s="128"/>
      <c r="U30" s="401">
        <f t="shared" si="9"/>
        <v>2185.9299999999998</v>
      </c>
      <c r="V30" s="402">
        <f t="shared" si="10"/>
        <v>-1</v>
      </c>
      <c r="W30" s="52"/>
      <c r="X30" s="414">
        <f>IFERROR(VLOOKUP($C30,'Proposed Rates'!$B:$J,X$11,FALSE),0)</f>
        <v>0</v>
      </c>
      <c r="Y30" s="415">
        <f t="shared" ref="Y30:Y36" si="30">IF($D30="Monthly",1,IF($D30="per KW",$F$10,IF($D30="per kWh",$F$9,0)))</f>
        <v>7900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7900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7900</v>
      </c>
      <c r="AN30" s="400">
        <f t="shared" ref="AN30:AN38" si="35">AM30*AL30</f>
        <v>0</v>
      </c>
      <c r="AO30" s="128"/>
      <c r="AP30" s="401">
        <f t="shared" si="21"/>
        <v>0</v>
      </c>
      <c r="AQ30" s="402" t="str">
        <f t="shared" si="22"/>
        <v/>
      </c>
      <c r="AR30" s="403"/>
    </row>
    <row r="31" spans="1:44" ht="12.75" customHeight="1">
      <c r="A31" s="52"/>
      <c r="B31" s="484" t="s">
        <v>236</v>
      </c>
      <c r="C31" s="395" t="str">
        <f t="shared" si="23"/>
        <v>Large User.DVA Disposition Rate Rider Group 1 - 2024</v>
      </c>
      <c r="D31" s="396" t="s">
        <v>377</v>
      </c>
      <c r="E31" s="320"/>
      <c r="F31" s="397">
        <f>IFERROR(VLOOKUP($C31,'Proposed Rates'!$B:$J,F$11,FALSE),0)</f>
        <v>0</v>
      </c>
      <c r="G31" s="415">
        <f t="shared" si="24"/>
        <v>7900</v>
      </c>
      <c r="H31" s="400">
        <f t="shared" si="25"/>
        <v>0</v>
      </c>
      <c r="I31" s="128"/>
      <c r="J31" s="397">
        <f>IFERROR(VLOOKUP($C31,'Proposed Rates'!$B:$J,J$11,FALSE),0)</f>
        <v>0</v>
      </c>
      <c r="K31" s="415">
        <f t="shared" si="26"/>
        <v>7900</v>
      </c>
      <c r="L31" s="400">
        <f t="shared" si="27"/>
        <v>0</v>
      </c>
      <c r="M31" s="128"/>
      <c r="N31" s="401">
        <f t="shared" si="5"/>
        <v>0</v>
      </c>
      <c r="O31" s="402" t="str">
        <f t="shared" si="6"/>
        <v/>
      </c>
      <c r="P31" s="52"/>
      <c r="Q31" s="397">
        <f>IFERROR(VLOOKUP($C31,'Proposed Rates'!$B:$J,Q$11,FALSE),0)</f>
        <v>0</v>
      </c>
      <c r="R31" s="415">
        <f t="shared" si="28"/>
        <v>7900</v>
      </c>
      <c r="S31" s="400">
        <f t="shared" si="29"/>
        <v>0</v>
      </c>
      <c r="T31" s="128"/>
      <c r="U31" s="401">
        <f t="shared" si="9"/>
        <v>0</v>
      </c>
      <c r="V31" s="402" t="str">
        <f t="shared" si="10"/>
        <v/>
      </c>
      <c r="W31" s="52"/>
      <c r="X31" s="397">
        <f>IFERROR(VLOOKUP($C31,'Proposed Rates'!$B:$J,X$11,FALSE),0)</f>
        <v>0</v>
      </c>
      <c r="Y31" s="415">
        <f t="shared" si="30"/>
        <v>7900</v>
      </c>
      <c r="Z31" s="400">
        <f t="shared" si="31"/>
        <v>0</v>
      </c>
      <c r="AA31" s="128"/>
      <c r="AB31" s="401">
        <f t="shared" si="13"/>
        <v>0</v>
      </c>
      <c r="AC31" s="402" t="str">
        <f t="shared" si="14"/>
        <v/>
      </c>
      <c r="AD31" s="52"/>
      <c r="AE31" s="397">
        <f>IFERROR(VLOOKUP($C31,'Proposed Rates'!$B:$J,AE$11,FALSE),0)</f>
        <v>0</v>
      </c>
      <c r="AF31" s="415">
        <f t="shared" si="32"/>
        <v>7900</v>
      </c>
      <c r="AG31" s="400">
        <f t="shared" si="33"/>
        <v>0</v>
      </c>
      <c r="AH31" s="128"/>
      <c r="AI31" s="401">
        <f t="shared" si="17"/>
        <v>0</v>
      </c>
      <c r="AJ31" s="402" t="str">
        <f t="shared" si="18"/>
        <v/>
      </c>
      <c r="AK31" s="52"/>
      <c r="AL31" s="397">
        <f>IFERROR(VLOOKUP($C31,'Proposed Rates'!$B:$J,AL$11,FALSE),0)</f>
        <v>0</v>
      </c>
      <c r="AM31" s="415">
        <f t="shared" si="34"/>
        <v>7900</v>
      </c>
      <c r="AN31" s="400">
        <f t="shared" si="35"/>
        <v>0</v>
      </c>
      <c r="AO31" s="128"/>
      <c r="AP31" s="401">
        <f t="shared" si="21"/>
        <v>0</v>
      </c>
      <c r="AQ31" s="402" t="str">
        <f t="shared" si="22"/>
        <v/>
      </c>
      <c r="AR31" s="403"/>
    </row>
    <row r="32" spans="1:44" ht="12.75" customHeight="1">
      <c r="A32" s="52"/>
      <c r="B32" s="484" t="s">
        <v>244</v>
      </c>
      <c r="C32" s="395" t="str">
        <f t="shared" si="23"/>
        <v>Large User.CBR Class B Rate Riders</v>
      </c>
      <c r="D32" s="396" t="s">
        <v>308</v>
      </c>
      <c r="E32" s="320"/>
      <c r="F32" s="414">
        <f>IFERROR(VLOOKUP($C32,'Proposed Rates'!$B:$J,F$11,FALSE),0)</f>
        <v>2.0000000000000001E-4</v>
      </c>
      <c r="G32" s="415">
        <f t="shared" si="24"/>
        <v>4290127</v>
      </c>
      <c r="H32" s="400">
        <f t="shared" si="25"/>
        <v>858.02539999999999</v>
      </c>
      <c r="I32" s="485"/>
      <c r="J32" s="414">
        <f>IFERROR(VLOOKUP($C32,'Proposed Rates'!$B:$J,J$11,FALSE),0)</f>
        <v>4.0000000000000002E-4</v>
      </c>
      <c r="K32" s="415">
        <f t="shared" si="26"/>
        <v>4290127</v>
      </c>
      <c r="L32" s="400">
        <f t="shared" si="27"/>
        <v>1716.0508</v>
      </c>
      <c r="M32" s="417"/>
      <c r="N32" s="401">
        <f t="shared" si="5"/>
        <v>858.02539999999999</v>
      </c>
      <c r="O32" s="402">
        <f t="shared" si="6"/>
        <v>1</v>
      </c>
      <c r="P32" s="52"/>
      <c r="Q32" s="414">
        <f>IFERROR(VLOOKUP($C32,'Proposed Rates'!$B:$J,Q$11,FALSE),0)</f>
        <v>0</v>
      </c>
      <c r="R32" s="415">
        <f t="shared" si="28"/>
        <v>4290127</v>
      </c>
      <c r="S32" s="400">
        <f t="shared" si="29"/>
        <v>0</v>
      </c>
      <c r="T32" s="417"/>
      <c r="U32" s="401">
        <f t="shared" si="9"/>
        <v>-1716.0508</v>
      </c>
      <c r="V32" s="402">
        <f t="shared" si="10"/>
        <v>-1</v>
      </c>
      <c r="W32" s="52"/>
      <c r="X32" s="414">
        <f>IFERROR(VLOOKUP($C32,'Proposed Rates'!$B:$J,X$11,FALSE),0)</f>
        <v>0</v>
      </c>
      <c r="Y32" s="415">
        <f t="shared" si="30"/>
        <v>4290127</v>
      </c>
      <c r="Z32" s="400">
        <f t="shared" si="31"/>
        <v>0</v>
      </c>
      <c r="AA32" s="128"/>
      <c r="AB32" s="401">
        <f t="shared" si="13"/>
        <v>0</v>
      </c>
      <c r="AC32" s="402" t="str">
        <f t="shared" si="14"/>
        <v/>
      </c>
      <c r="AD32" s="52"/>
      <c r="AE32" s="414">
        <f>IFERROR(VLOOKUP($C32,'Proposed Rates'!$B:$J,AE$11,FALSE),0)</f>
        <v>0</v>
      </c>
      <c r="AF32" s="415">
        <f t="shared" si="32"/>
        <v>4290127</v>
      </c>
      <c r="AG32" s="400">
        <f t="shared" si="33"/>
        <v>0</v>
      </c>
      <c r="AH32" s="128"/>
      <c r="AI32" s="401">
        <f t="shared" si="17"/>
        <v>0</v>
      </c>
      <c r="AJ32" s="402" t="str">
        <f t="shared" si="18"/>
        <v/>
      </c>
      <c r="AK32" s="52"/>
      <c r="AL32" s="414">
        <f>IFERROR(VLOOKUP($C32,'Proposed Rates'!$B:$J,AL$11,FALSE),0)</f>
        <v>0</v>
      </c>
      <c r="AM32" s="415">
        <f t="shared" si="34"/>
        <v>4290127</v>
      </c>
      <c r="AN32" s="400">
        <f t="shared" si="35"/>
        <v>0</v>
      </c>
      <c r="AO32" s="417"/>
      <c r="AP32" s="401">
        <f t="shared" si="21"/>
        <v>0</v>
      </c>
      <c r="AQ32" s="402" t="str">
        <f t="shared" si="22"/>
        <v/>
      </c>
      <c r="AR32" s="403"/>
    </row>
    <row r="33" spans="1:44" ht="12.75" customHeight="1">
      <c r="A33" s="52"/>
      <c r="B33" s="484" t="s">
        <v>249</v>
      </c>
      <c r="C33" s="395" t="str">
        <f t="shared" si="23"/>
        <v>Large User.GA Rate Riders</v>
      </c>
      <c r="D33" s="396" t="s">
        <v>308</v>
      </c>
      <c r="E33" s="320"/>
      <c r="F33" s="414">
        <f>IFERROR(VLOOKUP($C33,'Proposed Rates'!$B:$J,F$11,FALSE),0)</f>
        <v>3.8999999999999998E-3</v>
      </c>
      <c r="G33" s="415">
        <f t="shared" si="24"/>
        <v>4290127</v>
      </c>
      <c r="H33" s="400">
        <f t="shared" si="25"/>
        <v>16731.495299999999</v>
      </c>
      <c r="I33" s="485"/>
      <c r="J33" s="414">
        <f>IFERROR(VLOOKUP($C33,'Proposed Rates'!$B:$J,J$11,FALSE),0)</f>
        <v>4.4999999999999997E-3</v>
      </c>
      <c r="K33" s="415">
        <f t="shared" si="26"/>
        <v>4290127</v>
      </c>
      <c r="L33" s="400">
        <f t="shared" si="27"/>
        <v>19305.571499999998</v>
      </c>
      <c r="M33" s="417"/>
      <c r="N33" s="401">
        <f t="shared" si="5"/>
        <v>2574.0761999999995</v>
      </c>
      <c r="O33" s="402">
        <f t="shared" si="6"/>
        <v>0.15384615384615383</v>
      </c>
      <c r="P33" s="52"/>
      <c r="Q33" s="414">
        <f>IFERROR(VLOOKUP($C33,'Proposed Rates'!$B:$J,Q$11,FALSE),0)</f>
        <v>0</v>
      </c>
      <c r="R33" s="415">
        <f t="shared" si="28"/>
        <v>4290127</v>
      </c>
      <c r="S33" s="400">
        <f t="shared" si="29"/>
        <v>0</v>
      </c>
      <c r="T33" s="417"/>
      <c r="U33" s="401">
        <f t="shared" si="9"/>
        <v>-19305.571499999998</v>
      </c>
      <c r="V33" s="402">
        <f t="shared" si="10"/>
        <v>-1</v>
      </c>
      <c r="W33" s="52"/>
      <c r="X33" s="414">
        <f>IFERROR(VLOOKUP($C33,'Proposed Rates'!$B:$J,X$11,FALSE),0)</f>
        <v>0</v>
      </c>
      <c r="Y33" s="415">
        <f t="shared" si="30"/>
        <v>4290127</v>
      </c>
      <c r="Z33" s="400">
        <f t="shared" si="31"/>
        <v>0</v>
      </c>
      <c r="AA33" s="417"/>
      <c r="AB33" s="401">
        <f t="shared" si="13"/>
        <v>0</v>
      </c>
      <c r="AC33" s="402" t="str">
        <f t="shared" si="14"/>
        <v/>
      </c>
      <c r="AD33" s="52"/>
      <c r="AE33" s="414">
        <f>IFERROR(VLOOKUP($C33,'Proposed Rates'!$B:$J,AE$11,FALSE),0)</f>
        <v>0</v>
      </c>
      <c r="AF33" s="415">
        <f t="shared" si="32"/>
        <v>4290127</v>
      </c>
      <c r="AG33" s="400">
        <f t="shared" si="33"/>
        <v>0</v>
      </c>
      <c r="AH33" s="417"/>
      <c r="AI33" s="401">
        <f t="shared" si="17"/>
        <v>0</v>
      </c>
      <c r="AJ33" s="402" t="str">
        <f t="shared" si="18"/>
        <v/>
      </c>
      <c r="AK33" s="52"/>
      <c r="AL33" s="414">
        <f>IFERROR(VLOOKUP($C33,'Proposed Rates'!$B:$J,AL$11,FALSE),0)</f>
        <v>0</v>
      </c>
      <c r="AM33" s="415">
        <f t="shared" si="34"/>
        <v>4290127</v>
      </c>
      <c r="AN33" s="400">
        <f t="shared" si="35"/>
        <v>0</v>
      </c>
      <c r="AO33" s="417"/>
      <c r="AP33" s="401">
        <f t="shared" si="21"/>
        <v>0</v>
      </c>
      <c r="AQ33" s="402" t="str">
        <f t="shared" si="22"/>
        <v/>
      </c>
      <c r="AR33" s="403"/>
    </row>
    <row r="34" spans="1:44" ht="12.75" customHeight="1">
      <c r="A34" s="52"/>
      <c r="B34" s="484" t="s">
        <v>252</v>
      </c>
      <c r="C34" s="395" t="str">
        <f t="shared" si="23"/>
        <v>Large User.Total Deferral/Variance Account Rate RidersYr2</v>
      </c>
      <c r="D34" s="396" t="s">
        <v>377</v>
      </c>
      <c r="E34" s="320"/>
      <c r="F34" s="397">
        <f>IFERROR(VLOOKUP($C34,'Proposed Rates'!$B:$J,F$11,FALSE),0)</f>
        <v>0</v>
      </c>
      <c r="G34" s="415">
        <f t="shared" si="24"/>
        <v>7900</v>
      </c>
      <c r="H34" s="400">
        <f t="shared" si="25"/>
        <v>0</v>
      </c>
      <c r="I34" s="485"/>
      <c r="J34" s="397">
        <f>IFERROR(VLOOKUP($C34,'Proposed Rates'!$B:$J,J$11,FALSE),0)</f>
        <v>0</v>
      </c>
      <c r="K34" s="415">
        <f t="shared" si="26"/>
        <v>7900</v>
      </c>
      <c r="L34" s="400">
        <f t="shared" si="27"/>
        <v>0</v>
      </c>
      <c r="M34" s="417"/>
      <c r="N34" s="401">
        <f t="shared" si="5"/>
        <v>0</v>
      </c>
      <c r="O34" s="402" t="str">
        <f t="shared" si="6"/>
        <v/>
      </c>
      <c r="P34" s="52"/>
      <c r="Q34" s="397">
        <f>IFERROR(VLOOKUP($C34,'Proposed Rates'!$B:$J,Q$11,FALSE),0)</f>
        <v>0</v>
      </c>
      <c r="R34" s="415">
        <f t="shared" si="28"/>
        <v>7900</v>
      </c>
      <c r="S34" s="400">
        <f t="shared" si="29"/>
        <v>0</v>
      </c>
      <c r="T34" s="417"/>
      <c r="U34" s="401">
        <f t="shared" si="9"/>
        <v>0</v>
      </c>
      <c r="V34" s="402" t="str">
        <f t="shared" si="10"/>
        <v/>
      </c>
      <c r="W34" s="52"/>
      <c r="X34" s="397">
        <f>IFERROR(VLOOKUP($C34,'Proposed Rates'!$B:$J,X$11,FALSE),0)</f>
        <v>0</v>
      </c>
      <c r="Y34" s="415">
        <f t="shared" si="30"/>
        <v>7900</v>
      </c>
      <c r="Z34" s="400">
        <f t="shared" si="31"/>
        <v>0</v>
      </c>
      <c r="AA34" s="417"/>
      <c r="AB34" s="401">
        <f t="shared" si="13"/>
        <v>0</v>
      </c>
      <c r="AC34" s="402" t="str">
        <f t="shared" si="14"/>
        <v/>
      </c>
      <c r="AD34" s="52"/>
      <c r="AE34" s="397">
        <f>IFERROR(VLOOKUP($C34,'Proposed Rates'!$B:$J,AE$11,FALSE),0)</f>
        <v>0</v>
      </c>
      <c r="AF34" s="415">
        <f t="shared" si="32"/>
        <v>7900</v>
      </c>
      <c r="AG34" s="400">
        <f t="shared" si="33"/>
        <v>0</v>
      </c>
      <c r="AH34" s="417"/>
      <c r="AI34" s="401">
        <f t="shared" si="17"/>
        <v>0</v>
      </c>
      <c r="AJ34" s="402" t="str">
        <f t="shared" si="18"/>
        <v/>
      </c>
      <c r="AK34" s="52"/>
      <c r="AL34" s="397">
        <f>IFERROR(VLOOKUP($C34,'Proposed Rates'!$B:$J,AL$11,FALSE),0)</f>
        <v>0</v>
      </c>
      <c r="AM34" s="415">
        <f t="shared" si="34"/>
        <v>7900</v>
      </c>
      <c r="AN34" s="400">
        <f t="shared" si="35"/>
        <v>0</v>
      </c>
      <c r="AO34" s="417"/>
      <c r="AP34" s="401">
        <f t="shared" si="21"/>
        <v>0</v>
      </c>
      <c r="AQ34" s="402" t="str">
        <f t="shared" si="22"/>
        <v/>
      </c>
      <c r="AR34" s="403"/>
    </row>
    <row r="35" spans="1:44" ht="12.75" customHeight="1">
      <c r="A35" s="52"/>
      <c r="B35" s="484" t="s">
        <v>254</v>
      </c>
      <c r="C35" s="395" t="str">
        <f t="shared" si="23"/>
        <v>Large User.Total Deferral/Variance Account Rate Riders</v>
      </c>
      <c r="D35" s="396" t="s">
        <v>377</v>
      </c>
      <c r="E35" s="320"/>
      <c r="F35" s="397">
        <f>IFERROR(VLOOKUP($C35,'Proposed Rates'!$B:$J,F$11,FALSE),0)</f>
        <v>0</v>
      </c>
      <c r="G35" s="415">
        <f t="shared" si="24"/>
        <v>7900</v>
      </c>
      <c r="H35" s="400">
        <f t="shared" si="25"/>
        <v>0</v>
      </c>
      <c r="I35" s="128"/>
      <c r="J35" s="397">
        <f>IFERROR(VLOOKUP($C35,'Proposed Rates'!$B:$J,J$11,FALSE),0)</f>
        <v>0</v>
      </c>
      <c r="K35" s="415">
        <f t="shared" si="26"/>
        <v>7900</v>
      </c>
      <c r="L35" s="400">
        <f t="shared" si="27"/>
        <v>0</v>
      </c>
      <c r="M35" s="128"/>
      <c r="N35" s="401">
        <f t="shared" si="5"/>
        <v>0</v>
      </c>
      <c r="O35" s="402" t="str">
        <f t="shared" si="6"/>
        <v/>
      </c>
      <c r="P35" s="52"/>
      <c r="Q35" s="397">
        <f>IFERROR(VLOOKUP($C35,'Proposed Rates'!$B:$J,Q$11,FALSE),0)</f>
        <v>0</v>
      </c>
      <c r="R35" s="415">
        <f t="shared" si="28"/>
        <v>7900</v>
      </c>
      <c r="S35" s="400">
        <f t="shared" si="29"/>
        <v>0</v>
      </c>
      <c r="T35" s="128"/>
      <c r="U35" s="401">
        <f t="shared" si="9"/>
        <v>0</v>
      </c>
      <c r="V35" s="402" t="str">
        <f t="shared" si="10"/>
        <v/>
      </c>
      <c r="W35" s="52"/>
      <c r="X35" s="397">
        <f>IFERROR(VLOOKUP($C35,'Proposed Rates'!$B:$J,X$11,FALSE),0)</f>
        <v>0</v>
      </c>
      <c r="Y35" s="415">
        <f t="shared" si="30"/>
        <v>7900</v>
      </c>
      <c r="Z35" s="400">
        <f t="shared" si="31"/>
        <v>0</v>
      </c>
      <c r="AA35" s="128"/>
      <c r="AB35" s="401">
        <f t="shared" si="13"/>
        <v>0</v>
      </c>
      <c r="AC35" s="402" t="str">
        <f t="shared" si="14"/>
        <v/>
      </c>
      <c r="AD35" s="52"/>
      <c r="AE35" s="397">
        <f>IFERROR(VLOOKUP($C35,'Proposed Rates'!$B:$J,AE$11,FALSE),0)</f>
        <v>0</v>
      </c>
      <c r="AF35" s="415">
        <f t="shared" si="32"/>
        <v>7900</v>
      </c>
      <c r="AG35" s="400">
        <f t="shared" si="33"/>
        <v>0</v>
      </c>
      <c r="AH35" s="128"/>
      <c r="AI35" s="401">
        <f t="shared" si="17"/>
        <v>0</v>
      </c>
      <c r="AJ35" s="402" t="str">
        <f t="shared" si="18"/>
        <v/>
      </c>
      <c r="AK35" s="52"/>
      <c r="AL35" s="397">
        <f>IFERROR(VLOOKUP($C35,'Proposed Rates'!$B:$J,AL$11,FALSE),0)</f>
        <v>0</v>
      </c>
      <c r="AM35" s="415">
        <f t="shared" si="34"/>
        <v>7900</v>
      </c>
      <c r="AN35" s="400">
        <f t="shared" si="35"/>
        <v>0</v>
      </c>
      <c r="AO35" s="128"/>
      <c r="AP35" s="401">
        <f t="shared" si="21"/>
        <v>0</v>
      </c>
      <c r="AQ35" s="402" t="str">
        <f t="shared" si="22"/>
        <v/>
      </c>
      <c r="AR35" s="403"/>
    </row>
    <row r="36" spans="1:44" ht="12.75" customHeight="1">
      <c r="A36" s="52"/>
      <c r="B36" s="320" t="s">
        <v>269</v>
      </c>
      <c r="C36" s="395" t="str">
        <f t="shared" si="23"/>
        <v>Large User.Low Voltage Service Charge</v>
      </c>
      <c r="D36" s="396" t="s">
        <v>377</v>
      </c>
      <c r="E36" s="320"/>
      <c r="F36" s="418">
        <f>IFERROR(VLOOKUP($C36,'Proposed Rates'!$B:$J,F$11,FALSE),0)</f>
        <v>2.4819999999999998E-2</v>
      </c>
      <c r="G36" s="415">
        <f t="shared" si="24"/>
        <v>7900</v>
      </c>
      <c r="H36" s="400">
        <f t="shared" si="25"/>
        <v>196.07799999999997</v>
      </c>
      <c r="I36" s="128"/>
      <c r="J36" s="418">
        <f>IFERROR(VLOOKUP($C36,'Proposed Rates'!$B:$J,J$11,FALSE),0)</f>
        <v>2.7179999999999999E-2</v>
      </c>
      <c r="K36" s="415">
        <f t="shared" si="26"/>
        <v>7900</v>
      </c>
      <c r="L36" s="400">
        <f t="shared" si="27"/>
        <v>214.72200000000001</v>
      </c>
      <c r="M36" s="128"/>
      <c r="N36" s="401">
        <f t="shared" si="5"/>
        <v>18.644000000000034</v>
      </c>
      <c r="O36" s="402">
        <f t="shared" si="6"/>
        <v>9.5084609186140395E-2</v>
      </c>
      <c r="P36" s="52"/>
      <c r="Q36" s="418">
        <f>IFERROR(VLOOKUP($C36,'Proposed Rates'!$B:$J,Q$11,FALSE),0)</f>
        <v>2.7890000000000002E-2</v>
      </c>
      <c r="R36" s="415">
        <f t="shared" si="28"/>
        <v>7900</v>
      </c>
      <c r="S36" s="400">
        <f t="shared" si="29"/>
        <v>220.33100000000002</v>
      </c>
      <c r="T36" s="128"/>
      <c r="U36" s="401">
        <f t="shared" si="9"/>
        <v>5.6090000000000089</v>
      </c>
      <c r="V36" s="402">
        <f t="shared" si="10"/>
        <v>2.6122148638704969E-2</v>
      </c>
      <c r="W36" s="52"/>
      <c r="X36" s="418">
        <f>IFERROR(VLOOKUP($C36,'Proposed Rates'!$B:$J,X$11,FALSE),0)</f>
        <v>2.8250000000000001E-2</v>
      </c>
      <c r="Y36" s="415">
        <f t="shared" si="30"/>
        <v>7900</v>
      </c>
      <c r="Z36" s="400">
        <f t="shared" si="31"/>
        <v>223.17500000000001</v>
      </c>
      <c r="AA36" s="128"/>
      <c r="AB36" s="401">
        <f t="shared" si="13"/>
        <v>2.8439999999999941</v>
      </c>
      <c r="AC36" s="402">
        <f t="shared" si="14"/>
        <v>1.2907852276801694E-2</v>
      </c>
      <c r="AD36" s="52"/>
      <c r="AE36" s="418">
        <f>IFERROR(VLOOKUP($C36,'Proposed Rates'!$B:$J,AE$11,FALSE),0)</f>
        <v>2.8719999999999999E-2</v>
      </c>
      <c r="AF36" s="415">
        <f t="shared" si="32"/>
        <v>7900</v>
      </c>
      <c r="AG36" s="400">
        <f t="shared" si="33"/>
        <v>226.88800000000001</v>
      </c>
      <c r="AH36" s="128"/>
      <c r="AI36" s="401">
        <f t="shared" si="17"/>
        <v>3.7129999999999939</v>
      </c>
      <c r="AJ36" s="402">
        <f t="shared" si="18"/>
        <v>1.6637168141592891E-2</v>
      </c>
      <c r="AK36" s="52"/>
      <c r="AL36" s="418">
        <f>IFERROR(VLOOKUP($C36,'Proposed Rates'!$B:$J,AL$11,FALSE),0)</f>
        <v>2.9219999999999999E-2</v>
      </c>
      <c r="AM36" s="415">
        <f t="shared" si="34"/>
        <v>7900</v>
      </c>
      <c r="AN36" s="400">
        <f t="shared" si="35"/>
        <v>230.83799999999999</v>
      </c>
      <c r="AO36" s="128"/>
      <c r="AP36" s="401">
        <f t="shared" si="21"/>
        <v>3.9499999999999886</v>
      </c>
      <c r="AQ36" s="402">
        <f t="shared" si="22"/>
        <v>1.7409470752089085E-2</v>
      </c>
      <c r="AR36" s="403"/>
    </row>
    <row r="37" spans="1:44" ht="12.75" customHeight="1">
      <c r="A37" s="52"/>
      <c r="B37" s="320" t="s">
        <v>312</v>
      </c>
      <c r="C37" s="395" t="str">
        <f t="shared" si="23"/>
        <v>Large User.Line Losses on Cost of Power</v>
      </c>
      <c r="D37" s="396" t="s">
        <v>308</v>
      </c>
      <c r="E37" s="320"/>
      <c r="F37" s="558"/>
      <c r="G37" s="507">
        <f>$F$9*(1+F$65)-$F$9</f>
        <v>21879.647700000554</v>
      </c>
      <c r="H37" s="400">
        <f t="shared" si="25"/>
        <v>0</v>
      </c>
      <c r="I37" s="128"/>
      <c r="J37" s="558"/>
      <c r="K37" s="507">
        <f>$F$9*(1+J$65)-$F$9</f>
        <v>20592.609600000083</v>
      </c>
      <c r="L37" s="400">
        <f t="shared" si="27"/>
        <v>0</v>
      </c>
      <c r="M37" s="128"/>
      <c r="N37" s="401">
        <f t="shared" si="5"/>
        <v>0</v>
      </c>
      <c r="O37" s="402" t="str">
        <f t="shared" si="6"/>
        <v/>
      </c>
      <c r="P37" s="52"/>
      <c r="Q37" s="558"/>
      <c r="R37" s="507">
        <f>$F$9*(1+Q$65)-$F$9</f>
        <v>20592.609600000083</v>
      </c>
      <c r="S37" s="400">
        <f t="shared" si="29"/>
        <v>0</v>
      </c>
      <c r="T37" s="128"/>
      <c r="U37" s="401">
        <f t="shared" si="9"/>
        <v>0</v>
      </c>
      <c r="V37" s="402" t="str">
        <f t="shared" si="10"/>
        <v/>
      </c>
      <c r="W37" s="52"/>
      <c r="X37" s="558"/>
      <c r="Y37" s="507">
        <f>$F$9*(1+X$65)-$F$9</f>
        <v>20592.609600000083</v>
      </c>
      <c r="Z37" s="400">
        <f t="shared" si="31"/>
        <v>0</v>
      </c>
      <c r="AA37" s="128"/>
      <c r="AB37" s="401">
        <f t="shared" si="13"/>
        <v>0</v>
      </c>
      <c r="AC37" s="402" t="str">
        <f t="shared" si="14"/>
        <v/>
      </c>
      <c r="AD37" s="52"/>
      <c r="AE37" s="558"/>
      <c r="AF37" s="507">
        <f>$F$9*(1+AE$65)-$F$9</f>
        <v>20592.609600000083</v>
      </c>
      <c r="AG37" s="400">
        <f t="shared" si="33"/>
        <v>0</v>
      </c>
      <c r="AH37" s="128"/>
      <c r="AI37" s="401">
        <f t="shared" si="17"/>
        <v>0</v>
      </c>
      <c r="AJ37" s="402" t="str">
        <f t="shared" si="18"/>
        <v/>
      </c>
      <c r="AK37" s="52"/>
      <c r="AL37" s="558"/>
      <c r="AM37" s="507">
        <f>$F$9*(1+AL$65)-$F$9</f>
        <v>20592.609600000083</v>
      </c>
      <c r="AN37" s="400">
        <f t="shared" si="35"/>
        <v>0</v>
      </c>
      <c r="AO37" s="128"/>
      <c r="AP37" s="401">
        <f t="shared" si="21"/>
        <v>0</v>
      </c>
      <c r="AQ37" s="402" t="str">
        <f t="shared" si="22"/>
        <v/>
      </c>
      <c r="AR37" s="403"/>
    </row>
    <row r="38" spans="1:44" ht="12.75" customHeight="1">
      <c r="A38" s="52"/>
      <c r="B38" s="320" t="s">
        <v>271</v>
      </c>
      <c r="C38" s="395" t="str">
        <f t="shared" si="23"/>
        <v>Large User.Smart Meter Entity Charge</v>
      </c>
      <c r="D38" s="396" t="s">
        <v>306</v>
      </c>
      <c r="E38" s="320"/>
      <c r="F38" s="397">
        <f>IFERROR(VLOOKUP($C38,'Proposed Rates'!$B:$J,F$11,FALSE),0)</f>
        <v>0</v>
      </c>
      <c r="G38" s="415">
        <f>IF($D38="Monthly",1,IF($D38="per KW",$F$10,IF($D38="per kWh",$F$9,0)))</f>
        <v>1</v>
      </c>
      <c r="H38" s="400">
        <f t="shared" si="25"/>
        <v>0</v>
      </c>
      <c r="I38" s="128"/>
      <c r="J38" s="397">
        <f>IFERROR(VLOOKUP($C38,'Proposed Rates'!$B:$J,J$11,FALSE),0)</f>
        <v>0</v>
      </c>
      <c r="K38" s="415">
        <f>IF($D38="Monthly",1,IF($D38="per KW",$F$10,IF($D38="per kWh",$F$9,0)))</f>
        <v>1</v>
      </c>
      <c r="L38" s="400">
        <f t="shared" si="27"/>
        <v>0</v>
      </c>
      <c r="M38" s="128"/>
      <c r="N38" s="401">
        <f t="shared" si="5"/>
        <v>0</v>
      </c>
      <c r="O38" s="402" t="str">
        <f t="shared" si="6"/>
        <v/>
      </c>
      <c r="P38" s="52"/>
      <c r="Q38" s="397">
        <f>IFERROR(VLOOKUP($C38,'Proposed Rates'!$B:$J,Q$11,FALSE),0)</f>
        <v>0</v>
      </c>
      <c r="R38" s="415">
        <f>IF($D38="Monthly",1,IF($D38="per KW",$F$10,IF($D38="per kWh",$F$9,0)))</f>
        <v>1</v>
      </c>
      <c r="S38" s="400">
        <f t="shared" si="29"/>
        <v>0</v>
      </c>
      <c r="T38" s="128"/>
      <c r="U38" s="401">
        <f t="shared" si="9"/>
        <v>0</v>
      </c>
      <c r="V38" s="402" t="str">
        <f t="shared" si="10"/>
        <v/>
      </c>
      <c r="W38" s="52"/>
      <c r="X38" s="397">
        <f>IFERROR(VLOOKUP($C38,'Proposed Rates'!$B:$J,X$11,FALSE),0)</f>
        <v>0</v>
      </c>
      <c r="Y38" s="415">
        <f>IF($D38="Monthly",1,IF($D38="per KW",$F$10,IF($D38="per kWh",$F$9,0)))</f>
        <v>1</v>
      </c>
      <c r="Z38" s="400">
        <f t="shared" si="31"/>
        <v>0</v>
      </c>
      <c r="AA38" s="128"/>
      <c r="AB38" s="401">
        <f t="shared" si="13"/>
        <v>0</v>
      </c>
      <c r="AC38" s="402" t="str">
        <f t="shared" si="14"/>
        <v/>
      </c>
      <c r="AD38" s="52"/>
      <c r="AE38" s="397">
        <f>IFERROR(VLOOKUP($C38,'Proposed Rates'!$B:$J,AE$11,FALSE),0)</f>
        <v>0</v>
      </c>
      <c r="AF38" s="415">
        <f>IF($D38="Monthly",1,IF($D38="per KW",$F$10,IF($D38="per kWh",$F$9,0)))</f>
        <v>1</v>
      </c>
      <c r="AG38" s="400">
        <f t="shared" si="33"/>
        <v>0</v>
      </c>
      <c r="AH38" s="128"/>
      <c r="AI38" s="401">
        <f t="shared" si="17"/>
        <v>0</v>
      </c>
      <c r="AJ38" s="402" t="str">
        <f t="shared" si="18"/>
        <v/>
      </c>
      <c r="AK38" s="52"/>
      <c r="AL38" s="397">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559"/>
      <c r="D39" s="422"/>
      <c r="E39" s="422"/>
      <c r="F39" s="423"/>
      <c r="G39" s="501"/>
      <c r="H39" s="409">
        <f>SUM(H30:H38)+H29</f>
        <v>82471.718699999998</v>
      </c>
      <c r="I39" s="425"/>
      <c r="J39" s="423"/>
      <c r="K39" s="501"/>
      <c r="L39" s="409">
        <f>SUM(L30:L38)+L29</f>
        <v>91133.304300000003</v>
      </c>
      <c r="M39" s="425"/>
      <c r="N39" s="411">
        <f t="shared" si="5"/>
        <v>8661.5856000000058</v>
      </c>
      <c r="O39" s="412">
        <f t="shared" si="6"/>
        <v>0.10502491928787712</v>
      </c>
      <c r="P39" s="52"/>
      <c r="Q39" s="423"/>
      <c r="R39" s="501"/>
      <c r="S39" s="409">
        <f>SUM(S30:S38)+S29</f>
        <v>84870.540999999997</v>
      </c>
      <c r="T39" s="425"/>
      <c r="U39" s="411">
        <f t="shared" si="9"/>
        <v>-6262.763300000006</v>
      </c>
      <c r="V39" s="412">
        <f t="shared" si="10"/>
        <v>-6.8720906677362803E-2</v>
      </c>
      <c r="W39" s="52"/>
      <c r="X39" s="423"/>
      <c r="Y39" s="501"/>
      <c r="Z39" s="409">
        <f>SUM(Z30:Z38)+Z29</f>
        <v>93007.224999999991</v>
      </c>
      <c r="AA39" s="425"/>
      <c r="AB39" s="411">
        <f t="shared" si="13"/>
        <v>8136.6839999999938</v>
      </c>
      <c r="AC39" s="412">
        <f t="shared" si="14"/>
        <v>9.5871711245483798E-2</v>
      </c>
      <c r="AD39" s="52"/>
      <c r="AE39" s="423"/>
      <c r="AF39" s="501"/>
      <c r="AG39" s="409">
        <f>SUM(AG30:AG38)+AG29</f>
        <v>99455.758000000002</v>
      </c>
      <c r="AH39" s="425"/>
      <c r="AI39" s="411">
        <f t="shared" si="17"/>
        <v>6448.5330000000104</v>
      </c>
      <c r="AJ39" s="412">
        <f t="shared" si="18"/>
        <v>6.9333678109415806E-2</v>
      </c>
      <c r="AK39" s="52"/>
      <c r="AL39" s="423"/>
      <c r="AM39" s="501"/>
      <c r="AN39" s="409">
        <f>SUM(AN30:AN38)+AN29</f>
        <v>105159.558</v>
      </c>
      <c r="AO39" s="425"/>
      <c r="AP39" s="411">
        <f t="shared" si="21"/>
        <v>5703.8000000000029</v>
      </c>
      <c r="AQ39" s="412">
        <f t="shared" si="22"/>
        <v>5.7350123458915298E-2</v>
      </c>
      <c r="AR39" s="413"/>
    </row>
    <row r="40" spans="1:44" ht="12.75" customHeight="1">
      <c r="A40" s="52"/>
      <c r="B40" s="128" t="s">
        <v>255</v>
      </c>
      <c r="C40" s="395" t="str">
        <f t="shared" ref="C40:C41" si="36">D$6&amp;"."&amp;B40</f>
        <v>Large User.RTSR - Network</v>
      </c>
      <c r="D40" s="426" t="s">
        <v>377</v>
      </c>
      <c r="E40" s="128"/>
      <c r="F40" s="414">
        <f>IFERROR(VLOOKUP($C40,'Proposed Rates'!$B:$J,F$11,FALSE),0)</f>
        <v>5.5801999999999996</v>
      </c>
      <c r="G40" s="415">
        <f t="shared" ref="G40:G41" si="37">IF($D40="Monthly",1,IF($D40="per KW",$F$10,IF($D40="per kWh",$F$9,0)))</f>
        <v>7900</v>
      </c>
      <c r="H40" s="400">
        <f t="shared" ref="H40:H41" si="38">G40*F40</f>
        <v>44083.579999999994</v>
      </c>
      <c r="I40" s="128"/>
      <c r="J40" s="414">
        <f>IFERROR(VLOOKUP($C40,'Proposed Rates'!$B:$J,J$11,FALSE),0)</f>
        <v>5.3339999999999996</v>
      </c>
      <c r="K40" s="415">
        <f t="shared" ref="K40:K41" si="39">IF($D40="Monthly",1,IF($D40="per KW",$F$10,IF($D40="per kWh",$F$9,0)))</f>
        <v>7900</v>
      </c>
      <c r="L40" s="400">
        <f t="shared" ref="L40:L41" si="40">K40*J40</f>
        <v>42138.6</v>
      </c>
      <c r="M40" s="128"/>
      <c r="N40" s="401">
        <f t="shared" si="5"/>
        <v>-1944.9799999999959</v>
      </c>
      <c r="O40" s="402">
        <f t="shared" si="6"/>
        <v>-4.412028242715306E-2</v>
      </c>
      <c r="P40" s="52"/>
      <c r="Q40" s="414">
        <f>IFERROR(VLOOKUP($C40,'Proposed Rates'!$B:$J,Q$11,FALSE),0)</f>
        <v>5.3339999999999996</v>
      </c>
      <c r="R40" s="415">
        <f t="shared" ref="R40:R41" si="41">IF($D40="Monthly",1,IF($D40="per KW",$F$10,IF($D40="per kWh",$F$9,0)))</f>
        <v>7900</v>
      </c>
      <c r="S40" s="400">
        <f t="shared" ref="S40:S41" si="42">R40*Q40</f>
        <v>42138.6</v>
      </c>
      <c r="T40" s="128"/>
      <c r="U40" s="401">
        <f t="shared" si="9"/>
        <v>0</v>
      </c>
      <c r="V40" s="402">
        <f t="shared" si="10"/>
        <v>0</v>
      </c>
      <c r="W40" s="52"/>
      <c r="X40" s="414">
        <f>IFERROR(VLOOKUP($C40,'Proposed Rates'!$B:$J,X$11,FALSE),0)</f>
        <v>5.3339999999999996</v>
      </c>
      <c r="Y40" s="415">
        <f t="shared" ref="Y40:Y41" si="43">IF($D40="Monthly",1,IF($D40="per KW",$F$10,IF($D40="per kWh",$F$9,0)))</f>
        <v>7900</v>
      </c>
      <c r="Z40" s="400">
        <f t="shared" ref="Z40:Z41" si="44">Y40*X40</f>
        <v>42138.6</v>
      </c>
      <c r="AA40" s="128"/>
      <c r="AB40" s="401">
        <f t="shared" si="13"/>
        <v>0</v>
      </c>
      <c r="AC40" s="402">
        <f t="shared" si="14"/>
        <v>0</v>
      </c>
      <c r="AD40" s="52"/>
      <c r="AE40" s="414">
        <f>IFERROR(VLOOKUP($C40,'Proposed Rates'!$B:$J,AE$11,FALSE),0)</f>
        <v>5.3339999999999996</v>
      </c>
      <c r="AF40" s="415">
        <f t="shared" ref="AF40:AF41" si="45">IF($D40="Monthly",1,IF($D40="per KW",$F$10,IF($D40="per kWh",$F$9,0)))</f>
        <v>7900</v>
      </c>
      <c r="AG40" s="400">
        <f t="shared" ref="AG40:AG41" si="46">AF40*AE40</f>
        <v>42138.6</v>
      </c>
      <c r="AH40" s="128"/>
      <c r="AI40" s="401">
        <f t="shared" si="17"/>
        <v>0</v>
      </c>
      <c r="AJ40" s="402">
        <f t="shared" si="18"/>
        <v>0</v>
      </c>
      <c r="AK40" s="52"/>
      <c r="AL40" s="414">
        <f>IFERROR(VLOOKUP($C40,'Proposed Rates'!$B:$J,AL$11,FALSE),0)</f>
        <v>5.3339999999999996</v>
      </c>
      <c r="AM40" s="415">
        <f t="shared" ref="AM40:AM41" si="47">IF($D40="Monthly",1,IF($D40="per KW",$F$10,IF($D40="per kWh",$F$9,0)))</f>
        <v>7900</v>
      </c>
      <c r="AN40" s="400">
        <f t="shared" ref="AN40:AN41" si="48">AM40*AL40</f>
        <v>42138.6</v>
      </c>
      <c r="AO40" s="128"/>
      <c r="AP40" s="401">
        <f t="shared" si="21"/>
        <v>0</v>
      </c>
      <c r="AQ40" s="402">
        <f t="shared" si="22"/>
        <v>0</v>
      </c>
      <c r="AR40" s="403"/>
    </row>
    <row r="41" spans="1:44" ht="12.75" customHeight="1">
      <c r="A41" s="52"/>
      <c r="B41" s="487" t="s">
        <v>256</v>
      </c>
      <c r="C41" s="395" t="str">
        <f t="shared" si="36"/>
        <v>Large User.RTSR - Line and Transformation Connection</v>
      </c>
      <c r="D41" s="426" t="s">
        <v>377</v>
      </c>
      <c r="E41" s="128"/>
      <c r="F41" s="414">
        <f>IFERROR(VLOOKUP($C41,'Proposed Rates'!$B:$J,F$11,FALSE),0)</f>
        <v>3.3923999999999999</v>
      </c>
      <c r="G41" s="415">
        <f t="shared" si="37"/>
        <v>7900</v>
      </c>
      <c r="H41" s="400">
        <f t="shared" si="38"/>
        <v>26799.96</v>
      </c>
      <c r="I41" s="128"/>
      <c r="J41" s="414">
        <f>IFERROR(VLOOKUP($C41,'Proposed Rates'!$B:$J,J$11,FALSE),0)</f>
        <v>3.0192999999999999</v>
      </c>
      <c r="K41" s="415">
        <f t="shared" si="39"/>
        <v>7900</v>
      </c>
      <c r="L41" s="400">
        <f t="shared" si="40"/>
        <v>23852.469999999998</v>
      </c>
      <c r="M41" s="128"/>
      <c r="N41" s="401">
        <f t="shared" si="5"/>
        <v>-2947.4900000000016</v>
      </c>
      <c r="O41" s="402">
        <f t="shared" si="6"/>
        <v>-0.10998113430020051</v>
      </c>
      <c r="P41" s="52"/>
      <c r="Q41" s="414">
        <f>IFERROR(VLOOKUP($C41,'Proposed Rates'!$B:$J,Q$11,FALSE),0)</f>
        <v>3.0192999999999999</v>
      </c>
      <c r="R41" s="415">
        <f t="shared" si="41"/>
        <v>7900</v>
      </c>
      <c r="S41" s="400">
        <f t="shared" si="42"/>
        <v>23852.469999999998</v>
      </c>
      <c r="T41" s="128"/>
      <c r="U41" s="401">
        <f t="shared" si="9"/>
        <v>0</v>
      </c>
      <c r="V41" s="402">
        <f t="shared" si="10"/>
        <v>0</v>
      </c>
      <c r="W41" s="52"/>
      <c r="X41" s="414">
        <f>IFERROR(VLOOKUP($C41,'Proposed Rates'!$B:$J,X$11,FALSE),0)</f>
        <v>3.0192999999999999</v>
      </c>
      <c r="Y41" s="415">
        <f t="shared" si="43"/>
        <v>7900</v>
      </c>
      <c r="Z41" s="400">
        <f t="shared" si="44"/>
        <v>23852.469999999998</v>
      </c>
      <c r="AA41" s="128"/>
      <c r="AB41" s="401">
        <f t="shared" si="13"/>
        <v>0</v>
      </c>
      <c r="AC41" s="402">
        <f t="shared" si="14"/>
        <v>0</v>
      </c>
      <c r="AD41" s="52"/>
      <c r="AE41" s="414">
        <f>IFERROR(VLOOKUP($C41,'Proposed Rates'!$B:$J,AE$11,FALSE),0)</f>
        <v>3.0192999999999999</v>
      </c>
      <c r="AF41" s="415">
        <f t="shared" si="45"/>
        <v>7900</v>
      </c>
      <c r="AG41" s="400">
        <f t="shared" si="46"/>
        <v>23852.469999999998</v>
      </c>
      <c r="AH41" s="128"/>
      <c r="AI41" s="401">
        <f t="shared" si="17"/>
        <v>0</v>
      </c>
      <c r="AJ41" s="402">
        <f t="shared" si="18"/>
        <v>0</v>
      </c>
      <c r="AK41" s="52"/>
      <c r="AL41" s="414">
        <f>IFERROR(VLOOKUP($C41,'Proposed Rates'!$B:$J,AL$11,FALSE),0)</f>
        <v>3.0192999999999999</v>
      </c>
      <c r="AM41" s="415">
        <f t="shared" si="47"/>
        <v>7900</v>
      </c>
      <c r="AN41" s="400">
        <f t="shared" si="48"/>
        <v>23852.469999999998</v>
      </c>
      <c r="AO41" s="128"/>
      <c r="AP41" s="401">
        <f t="shared" si="21"/>
        <v>0</v>
      </c>
      <c r="AQ41" s="402">
        <f t="shared" si="22"/>
        <v>0</v>
      </c>
      <c r="AR41" s="403"/>
    </row>
    <row r="42" spans="1:44" ht="12.75" customHeight="1">
      <c r="A42" s="52"/>
      <c r="B42" s="486" t="s">
        <v>314</v>
      </c>
      <c r="C42" s="560"/>
      <c r="D42" s="427"/>
      <c r="E42" s="427"/>
      <c r="F42" s="428"/>
      <c r="G42" s="501"/>
      <c r="H42" s="409">
        <f>SUM(H39:H41)</f>
        <v>153355.25869999998</v>
      </c>
      <c r="I42" s="410"/>
      <c r="J42" s="428"/>
      <c r="K42" s="501"/>
      <c r="L42" s="409">
        <f>SUM(L39:L41)</f>
        <v>157124.3743</v>
      </c>
      <c r="M42" s="410"/>
      <c r="N42" s="411">
        <f t="shared" si="5"/>
        <v>3769.1156000000192</v>
      </c>
      <c r="O42" s="412">
        <f t="shared" si="6"/>
        <v>2.4577674296603822E-2</v>
      </c>
      <c r="P42" s="52"/>
      <c r="Q42" s="428"/>
      <c r="R42" s="501"/>
      <c r="S42" s="409">
        <f>SUM(S39:S41)</f>
        <v>150861.611</v>
      </c>
      <c r="T42" s="410"/>
      <c r="U42" s="411">
        <f t="shared" si="9"/>
        <v>-6262.7632999999914</v>
      </c>
      <c r="V42" s="412">
        <f t="shared" si="10"/>
        <v>-3.9858636369443236E-2</v>
      </c>
      <c r="W42" s="52"/>
      <c r="X42" s="428"/>
      <c r="Y42" s="501"/>
      <c r="Z42" s="409">
        <f>SUM(Z39:Z41)</f>
        <v>158998.29499999998</v>
      </c>
      <c r="AA42" s="410"/>
      <c r="AB42" s="411">
        <f t="shared" si="13"/>
        <v>8136.6839999999793</v>
      </c>
      <c r="AC42" s="412">
        <f t="shared" si="14"/>
        <v>5.3934754813137843E-2</v>
      </c>
      <c r="AD42" s="52"/>
      <c r="AE42" s="428"/>
      <c r="AF42" s="501"/>
      <c r="AG42" s="409">
        <f>SUM(AG39:AG41)</f>
        <v>165446.82800000001</v>
      </c>
      <c r="AH42" s="410"/>
      <c r="AI42" s="411">
        <f t="shared" si="17"/>
        <v>6448.5330000000249</v>
      </c>
      <c r="AJ42" s="412">
        <f t="shared" si="18"/>
        <v>4.0557246227074482E-2</v>
      </c>
      <c r="AK42" s="52"/>
      <c r="AL42" s="428"/>
      <c r="AM42" s="501"/>
      <c r="AN42" s="409">
        <f>SUM(AN39:AN41)</f>
        <v>171150.628</v>
      </c>
      <c r="AO42" s="410"/>
      <c r="AP42" s="411">
        <f t="shared" si="21"/>
        <v>5703.7999999999884</v>
      </c>
      <c r="AQ42" s="412">
        <f t="shared" si="22"/>
        <v>3.447512453971005E-2</v>
      </c>
      <c r="AR42" s="413"/>
    </row>
    <row r="43" spans="1:44" ht="12.75" customHeight="1">
      <c r="A43" s="52"/>
      <c r="B43" s="488" t="s">
        <v>257</v>
      </c>
      <c r="C43" s="395" t="str">
        <f t="shared" ref="C43:C45" si="49">D$6&amp;"."&amp;B43</f>
        <v>Large User.Wholesale Market Service Charge (WMSC)</v>
      </c>
      <c r="D43" s="396" t="s">
        <v>308</v>
      </c>
      <c r="E43" s="320"/>
      <c r="F43" s="414">
        <f>IFERROR(VLOOKUP($C43,'Proposed Rates'!$B:$J,F$11,FALSE),0)</f>
        <v>4.4999999999999997E-3</v>
      </c>
      <c r="G43" s="419">
        <f>$F$9+G$37</f>
        <v>4312006.6477000006</v>
      </c>
      <c r="H43" s="400">
        <f t="shared" ref="H43:H46" si="50">G43*F43</f>
        <v>19404.02991465</v>
      </c>
      <c r="I43" s="128"/>
      <c r="J43" s="414">
        <f>IFERROR(VLOOKUP($C43,'Proposed Rates'!$B:$J,J$11,FALSE),0)</f>
        <v>4.4999999999999997E-3</v>
      </c>
      <c r="K43" s="419">
        <f>$F$9+K$37</f>
        <v>4310719.6096000001</v>
      </c>
      <c r="L43" s="400">
        <f t="shared" ref="L43:L46" si="51">K43*J43</f>
        <v>19398.238243199998</v>
      </c>
      <c r="M43" s="128"/>
      <c r="N43" s="401">
        <f t="shared" si="5"/>
        <v>-5.7916714500024682</v>
      </c>
      <c r="O43" s="402">
        <f t="shared" si="6"/>
        <v>-2.984777634067534E-4</v>
      </c>
      <c r="P43" s="52"/>
      <c r="Q43" s="414">
        <f>IFERROR(VLOOKUP($C43,'Proposed Rates'!$B:$J,Q$11,FALSE),0)</f>
        <v>4.4999999999999997E-3</v>
      </c>
      <c r="R43" s="419">
        <f>$F$9+R$37</f>
        <v>4310719.6096000001</v>
      </c>
      <c r="S43" s="400">
        <f t="shared" ref="S43:S46" si="52">R43*Q43</f>
        <v>19398.238243199998</v>
      </c>
      <c r="T43" s="128"/>
      <c r="U43" s="401">
        <f t="shared" si="9"/>
        <v>0</v>
      </c>
      <c r="V43" s="402">
        <f t="shared" si="10"/>
        <v>0</v>
      </c>
      <c r="W43" s="52"/>
      <c r="X43" s="414">
        <f>IFERROR(VLOOKUP($C43,'Proposed Rates'!$B:$J,X$11,FALSE),0)</f>
        <v>4.4999999999999997E-3</v>
      </c>
      <c r="Y43" s="419">
        <f>$F$9+Y$37</f>
        <v>4310719.6096000001</v>
      </c>
      <c r="Z43" s="400">
        <f t="shared" ref="Z43:Z46" si="53">Y43*X43</f>
        <v>19398.238243199998</v>
      </c>
      <c r="AA43" s="128"/>
      <c r="AB43" s="401">
        <f t="shared" si="13"/>
        <v>0</v>
      </c>
      <c r="AC43" s="402">
        <f t="shared" si="14"/>
        <v>0</v>
      </c>
      <c r="AD43" s="52"/>
      <c r="AE43" s="414">
        <f>IFERROR(VLOOKUP($C43,'Proposed Rates'!$B:$J,AE$11,FALSE),0)</f>
        <v>4.4999999999999997E-3</v>
      </c>
      <c r="AF43" s="419">
        <f>$F$9+AF$37</f>
        <v>4310719.6096000001</v>
      </c>
      <c r="AG43" s="400">
        <f t="shared" ref="AG43:AG46" si="54">AF43*AE43</f>
        <v>19398.238243199998</v>
      </c>
      <c r="AH43" s="128"/>
      <c r="AI43" s="401">
        <f t="shared" si="17"/>
        <v>0</v>
      </c>
      <c r="AJ43" s="402">
        <f t="shared" si="18"/>
        <v>0</v>
      </c>
      <c r="AK43" s="52"/>
      <c r="AL43" s="414">
        <f>IFERROR(VLOOKUP($C43,'Proposed Rates'!$B:$J,AL$11,FALSE),0)</f>
        <v>4.4999999999999997E-3</v>
      </c>
      <c r="AM43" s="419">
        <f>$F$9+AM$37</f>
        <v>4310719.6096000001</v>
      </c>
      <c r="AN43" s="400">
        <f t="shared" ref="AN43:AN46" si="55">AM43*AL43</f>
        <v>19398.238243199998</v>
      </c>
      <c r="AO43" s="128"/>
      <c r="AP43" s="401">
        <f t="shared" si="21"/>
        <v>0</v>
      </c>
      <c r="AQ43" s="402">
        <f t="shared" si="22"/>
        <v>0</v>
      </c>
      <c r="AR43" s="403"/>
    </row>
    <row r="44" spans="1:44" ht="12.75" customHeight="1">
      <c r="A44" s="52"/>
      <c r="B44" s="488" t="s">
        <v>258</v>
      </c>
      <c r="C44" s="395" t="str">
        <f t="shared" si="49"/>
        <v>Large User.Rural and Remote Rate Protection (RRRP)</v>
      </c>
      <c r="D44" s="396" t="s">
        <v>308</v>
      </c>
      <c r="E44" s="320"/>
      <c r="F44" s="414">
        <f>IFERROR(VLOOKUP($C44,'Proposed Rates'!$B:$J,F$11,FALSE),0)</f>
        <v>1.5E-3</v>
      </c>
      <c r="G44" s="419">
        <f>G43</f>
        <v>4312006.6477000006</v>
      </c>
      <c r="H44" s="400">
        <f t="shared" si="50"/>
        <v>6468.009971550001</v>
      </c>
      <c r="I44" s="128"/>
      <c r="J44" s="414">
        <f>IFERROR(VLOOKUP($C44,'Proposed Rates'!$B:$J,J$11,FALSE),0)</f>
        <v>1.5E-3</v>
      </c>
      <c r="K44" s="419">
        <f>K43</f>
        <v>4310719.6096000001</v>
      </c>
      <c r="L44" s="400">
        <f t="shared" si="51"/>
        <v>6466.0794144000001</v>
      </c>
      <c r="M44" s="128"/>
      <c r="N44" s="401">
        <f t="shared" si="5"/>
        <v>-1.9305571500008227</v>
      </c>
      <c r="O44" s="402">
        <f t="shared" si="6"/>
        <v>-2.9847776340675335E-4</v>
      </c>
      <c r="P44" s="52"/>
      <c r="Q44" s="414">
        <f>IFERROR(VLOOKUP($C44,'Proposed Rates'!$B:$J,Q$11,FALSE),0)</f>
        <v>1.5E-3</v>
      </c>
      <c r="R44" s="419">
        <f>R43</f>
        <v>4310719.6096000001</v>
      </c>
      <c r="S44" s="400">
        <f t="shared" si="52"/>
        <v>6466.0794144000001</v>
      </c>
      <c r="T44" s="128"/>
      <c r="U44" s="401">
        <f t="shared" si="9"/>
        <v>0</v>
      </c>
      <c r="V44" s="402">
        <f t="shared" si="10"/>
        <v>0</v>
      </c>
      <c r="W44" s="52"/>
      <c r="X44" s="414">
        <f>IFERROR(VLOOKUP($C44,'Proposed Rates'!$B:$J,X$11,FALSE),0)</f>
        <v>1.5E-3</v>
      </c>
      <c r="Y44" s="419">
        <f>Y43</f>
        <v>4310719.6096000001</v>
      </c>
      <c r="Z44" s="400">
        <f t="shared" si="53"/>
        <v>6466.0794144000001</v>
      </c>
      <c r="AA44" s="128"/>
      <c r="AB44" s="401">
        <f t="shared" si="13"/>
        <v>0</v>
      </c>
      <c r="AC44" s="402">
        <f t="shared" si="14"/>
        <v>0</v>
      </c>
      <c r="AD44" s="52"/>
      <c r="AE44" s="414">
        <f>IFERROR(VLOOKUP($C44,'Proposed Rates'!$B:$J,AE$11,FALSE),0)</f>
        <v>1.5E-3</v>
      </c>
      <c r="AF44" s="419">
        <f>AF43</f>
        <v>4310719.6096000001</v>
      </c>
      <c r="AG44" s="400">
        <f t="shared" si="54"/>
        <v>6466.0794144000001</v>
      </c>
      <c r="AH44" s="128"/>
      <c r="AI44" s="401">
        <f t="shared" si="17"/>
        <v>0</v>
      </c>
      <c r="AJ44" s="402">
        <f t="shared" si="18"/>
        <v>0</v>
      </c>
      <c r="AK44" s="52"/>
      <c r="AL44" s="414">
        <f>IFERROR(VLOOKUP($C44,'Proposed Rates'!$B:$J,AL$11,FALSE),0)</f>
        <v>1.5E-3</v>
      </c>
      <c r="AM44" s="419">
        <f>AM43</f>
        <v>4310719.6096000001</v>
      </c>
      <c r="AN44" s="400">
        <f t="shared" si="55"/>
        <v>6466.0794144000001</v>
      </c>
      <c r="AO44" s="128"/>
      <c r="AP44" s="401">
        <f t="shared" si="21"/>
        <v>0</v>
      </c>
      <c r="AQ44" s="402">
        <f t="shared" si="22"/>
        <v>0</v>
      </c>
      <c r="AR44" s="403"/>
    </row>
    <row r="45" spans="1:44" ht="12.75" customHeight="1">
      <c r="A45" s="52"/>
      <c r="B45" s="320" t="s">
        <v>260</v>
      </c>
      <c r="C45" s="395" t="str">
        <f t="shared" si="49"/>
        <v>Large User.Standard Supply Service Charge</v>
      </c>
      <c r="D45" s="396" t="s">
        <v>306</v>
      </c>
      <c r="E45" s="320"/>
      <c r="F45" s="397">
        <f>IFERROR(VLOOKUP($C45,'Proposed Rates'!$B:$J,F$11,FALSE),0)</f>
        <v>0.25</v>
      </c>
      <c r="G45" s="415">
        <f>IF($D45="Monthly",1,IF($D45="per KW",$F$10,IF($D45="per kWh",$F$9,0)))</f>
        <v>1</v>
      </c>
      <c r="H45" s="400">
        <f t="shared" si="50"/>
        <v>0.25</v>
      </c>
      <c r="I45" s="128"/>
      <c r="J45" s="397">
        <f>IFERROR(VLOOKUP($C45,'Proposed Rates'!$B:$J,J$11,FALSE),0)</f>
        <v>1.51</v>
      </c>
      <c r="K45" s="415">
        <f>IF($D45="Monthly",1,IF($D45="per KW",$F$10,IF($D45="per kWh",$F$9,0)))</f>
        <v>1</v>
      </c>
      <c r="L45" s="400">
        <f t="shared" si="51"/>
        <v>1.51</v>
      </c>
      <c r="M45" s="128"/>
      <c r="N45" s="401">
        <f t="shared" si="5"/>
        <v>1.26</v>
      </c>
      <c r="O45" s="402">
        <f t="shared" si="6"/>
        <v>5.04</v>
      </c>
      <c r="P45" s="52"/>
      <c r="Q45" s="397">
        <f>IFERROR(VLOOKUP($C45,'Proposed Rates'!$B:$J,Q$11,FALSE),0)</f>
        <v>1.54</v>
      </c>
      <c r="R45" s="415">
        <f>IF($D45="Monthly",1,IF($D45="per KW",$F$10,IF($D45="per kWh",$F$9,0)))</f>
        <v>1</v>
      </c>
      <c r="S45" s="400">
        <f t="shared" si="52"/>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3"/>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4"/>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55"/>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419">
        <f>G43</f>
        <v>4312006.6477000006</v>
      </c>
      <c r="H46" s="400">
        <f t="shared" si="50"/>
        <v>450604.69468465005</v>
      </c>
      <c r="I46" s="128"/>
      <c r="J46" s="414">
        <f>IFERROR(VLOOKUP($C46,'Proposed Rates'!$B:$J,J$11,FALSE),0)</f>
        <v>0.1045</v>
      </c>
      <c r="K46" s="419">
        <f>K43</f>
        <v>4310719.6096000001</v>
      </c>
      <c r="L46" s="400">
        <f t="shared" si="51"/>
        <v>450470.1992032</v>
      </c>
      <c r="M46" s="128"/>
      <c r="N46" s="401">
        <f t="shared" si="5"/>
        <v>-134.49548145005247</v>
      </c>
      <c r="O46" s="402">
        <f t="shared" si="6"/>
        <v>-2.9847776340674261E-4</v>
      </c>
      <c r="P46" s="52"/>
      <c r="Q46" s="414">
        <f>IFERROR(VLOOKUP($C46,'Proposed Rates'!$B:$J,Q$11,FALSE),0)</f>
        <v>0.1045</v>
      </c>
      <c r="R46" s="419">
        <f>R43</f>
        <v>4310719.6096000001</v>
      </c>
      <c r="S46" s="400">
        <f t="shared" si="52"/>
        <v>450470.1992032</v>
      </c>
      <c r="T46" s="128"/>
      <c r="U46" s="401">
        <f t="shared" si="9"/>
        <v>0</v>
      </c>
      <c r="V46" s="402">
        <f t="shared" si="10"/>
        <v>0</v>
      </c>
      <c r="W46" s="52"/>
      <c r="X46" s="414">
        <f>IFERROR(VLOOKUP($C46,'Proposed Rates'!$B:$J,X$11,FALSE),0)</f>
        <v>0.1045</v>
      </c>
      <c r="Y46" s="419">
        <f>Y43</f>
        <v>4310719.6096000001</v>
      </c>
      <c r="Z46" s="400">
        <f t="shared" si="53"/>
        <v>450470.1992032</v>
      </c>
      <c r="AA46" s="128"/>
      <c r="AB46" s="401">
        <f t="shared" si="13"/>
        <v>0</v>
      </c>
      <c r="AC46" s="402">
        <f t="shared" si="14"/>
        <v>0</v>
      </c>
      <c r="AD46" s="52"/>
      <c r="AE46" s="414">
        <f>IFERROR(VLOOKUP($C46,'Proposed Rates'!$B:$J,AE$11,FALSE),0)</f>
        <v>0.1045</v>
      </c>
      <c r="AF46" s="419">
        <f>AF43</f>
        <v>4310719.6096000001</v>
      </c>
      <c r="AG46" s="400">
        <f t="shared" si="54"/>
        <v>450470.1992032</v>
      </c>
      <c r="AH46" s="128"/>
      <c r="AI46" s="401">
        <f t="shared" si="17"/>
        <v>0</v>
      </c>
      <c r="AJ46" s="402">
        <f t="shared" si="18"/>
        <v>0</v>
      </c>
      <c r="AK46" s="52"/>
      <c r="AL46" s="414">
        <f>IFERROR(VLOOKUP($C46,'Proposed Rates'!$B:$J,AL$11,FALSE),0)</f>
        <v>0.1045</v>
      </c>
      <c r="AM46" s="419">
        <f>AM43</f>
        <v>4310719.6096000001</v>
      </c>
      <c r="AN46" s="400">
        <f t="shared" si="55"/>
        <v>450470.1992032</v>
      </c>
      <c r="AO46" s="128"/>
      <c r="AP46" s="401">
        <f t="shared" si="21"/>
        <v>0</v>
      </c>
      <c r="AQ46" s="402">
        <f t="shared" si="22"/>
        <v>0</v>
      </c>
      <c r="AR46" s="403"/>
    </row>
    <row r="47" spans="1:44" ht="7.5" customHeight="1">
      <c r="A47" s="52"/>
      <c r="B47" s="320"/>
      <c r="C47" s="395" t="str">
        <f t="shared" ref="C47:C50" si="56">D$6&amp;"."&amp;B47</f>
        <v>Large User.</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56"/>
        <v>Large User.</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56"/>
        <v>Large User.</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56"/>
        <v>Large User.</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562"/>
      <c r="D52" s="320"/>
      <c r="E52" s="320"/>
      <c r="F52" s="445"/>
      <c r="G52" s="489"/>
      <c r="H52" s="447">
        <f>SUM(H43:H48,H42)</f>
        <v>629832.24327085004</v>
      </c>
      <c r="I52" s="482"/>
      <c r="J52" s="446"/>
      <c r="K52" s="446"/>
      <c r="L52" s="447">
        <f>SUM(L43:L48,L42)</f>
        <v>633460.40116080001</v>
      </c>
      <c r="M52" s="449"/>
      <c r="N52" s="448">
        <f t="shared" ref="N52:N56" si="57">L52-H52</f>
        <v>3628.1578899499727</v>
      </c>
      <c r="O52" s="450">
        <f t="shared" ref="O52:O56" si="58">IF((H52)=0,"",(N52/H52))</f>
        <v>5.760514690559812E-3</v>
      </c>
      <c r="P52" s="52"/>
      <c r="Q52" s="446"/>
      <c r="R52" s="446"/>
      <c r="S52" s="447">
        <f>SUM(S43:S48,S42)</f>
        <v>627197.66786080005</v>
      </c>
      <c r="T52" s="449"/>
      <c r="U52" s="448">
        <f t="shared" ref="U52:U56" si="59">S52-L52</f>
        <v>-6262.7332999999635</v>
      </c>
      <c r="V52" s="450">
        <f t="shared" ref="V52:V56" si="60">IF((L52)=0,"",(U52/L52))</f>
        <v>-9.8865426923666656E-3</v>
      </c>
      <c r="W52" s="52"/>
      <c r="X52" s="446"/>
      <c r="Y52" s="446"/>
      <c r="Z52" s="447">
        <f>SUM(Z43:Z48,Z42)</f>
        <v>635334.38186079997</v>
      </c>
      <c r="AA52" s="449"/>
      <c r="AB52" s="448">
        <f t="shared" ref="AB52:AB56" si="61">Z52-S52</f>
        <v>8136.7139999999199</v>
      </c>
      <c r="AC52" s="450">
        <f t="shared" ref="AC52:AC56" si="62">IF((S52)=0,"",(AB52/S52))</f>
        <v>1.2973125406782887E-2</v>
      </c>
      <c r="AD52" s="52"/>
      <c r="AE52" s="446"/>
      <c r="AF52" s="446"/>
      <c r="AG52" s="447">
        <f>SUM(AG43:AG48,AG42)</f>
        <v>641782.94486080005</v>
      </c>
      <c r="AH52" s="449"/>
      <c r="AI52" s="448">
        <f t="shared" ref="AI52:AI56" si="63">AG52-Z52</f>
        <v>6448.563000000082</v>
      </c>
      <c r="AJ52" s="450">
        <f t="shared" ref="AJ52:AJ56" si="64">IF((Z52)=0,"",(AI52/Z52))</f>
        <v>1.0149872546033474E-2</v>
      </c>
      <c r="AK52" s="52"/>
      <c r="AL52" s="446"/>
      <c r="AM52" s="446"/>
      <c r="AN52" s="447">
        <f>SUM(AN43:AN48,AN42)</f>
        <v>647486.77486080001</v>
      </c>
      <c r="AO52" s="449"/>
      <c r="AP52" s="448">
        <f t="shared" ref="AP52:AP56" si="65">AN52-AG52</f>
        <v>5703.8299999999581</v>
      </c>
      <c r="AQ52" s="450">
        <f t="shared" ref="AQ52:AQ56" si="66">IF((AG52)=0,"",(AP52/AG52))</f>
        <v>8.8874751902874166E-3</v>
      </c>
      <c r="AR52" s="451"/>
    </row>
    <row r="53" spans="1:44" ht="12.75" customHeight="1">
      <c r="A53" s="52"/>
      <c r="B53" s="452" t="s">
        <v>316</v>
      </c>
      <c r="C53" s="562"/>
      <c r="D53" s="320"/>
      <c r="E53" s="320"/>
      <c r="F53" s="445">
        <v>0.13</v>
      </c>
      <c r="G53" s="128"/>
      <c r="H53" s="490">
        <f>H52*F53</f>
        <v>81878.191625210515</v>
      </c>
      <c r="I53" s="417"/>
      <c r="J53" s="453">
        <v>0.13</v>
      </c>
      <c r="K53" s="417"/>
      <c r="L53" s="400">
        <f>L52*J53</f>
        <v>82349.852150904</v>
      </c>
      <c r="M53" s="128"/>
      <c r="N53" s="401">
        <f t="shared" si="57"/>
        <v>471.6605256934854</v>
      </c>
      <c r="O53" s="402">
        <f t="shared" si="58"/>
        <v>5.7605146905596758E-3</v>
      </c>
      <c r="P53" s="52"/>
      <c r="Q53" s="453">
        <v>0.13</v>
      </c>
      <c r="R53" s="417"/>
      <c r="S53" s="400">
        <f>S52*Q53</f>
        <v>81535.696821904014</v>
      </c>
      <c r="T53" s="128"/>
      <c r="U53" s="401">
        <f t="shared" si="59"/>
        <v>-814.15532899998652</v>
      </c>
      <c r="V53" s="402">
        <f t="shared" si="60"/>
        <v>-9.8865426923665598E-3</v>
      </c>
      <c r="W53" s="52"/>
      <c r="X53" s="453">
        <v>0.13</v>
      </c>
      <c r="Y53" s="417"/>
      <c r="Z53" s="400">
        <f>Z52*X53</f>
        <v>82593.469641903997</v>
      </c>
      <c r="AA53" s="128"/>
      <c r="AB53" s="401">
        <f t="shared" si="61"/>
        <v>1057.7728199999838</v>
      </c>
      <c r="AC53" s="402">
        <f t="shared" si="62"/>
        <v>1.2973125406782814E-2</v>
      </c>
      <c r="AD53" s="52"/>
      <c r="AE53" s="453">
        <v>0.13</v>
      </c>
      <c r="AF53" s="417"/>
      <c r="AG53" s="400">
        <f>AG52*AE53</f>
        <v>83431.782831904013</v>
      </c>
      <c r="AH53" s="128"/>
      <c r="AI53" s="401">
        <f t="shared" si="63"/>
        <v>838.31319000001531</v>
      </c>
      <c r="AJ53" s="402">
        <f t="shared" si="64"/>
        <v>1.0149872546033532E-2</v>
      </c>
      <c r="AK53" s="52"/>
      <c r="AL53" s="453">
        <v>0.13</v>
      </c>
      <c r="AM53" s="417"/>
      <c r="AN53" s="400">
        <f>AN52*AL53</f>
        <v>84173.280731904</v>
      </c>
      <c r="AO53" s="128"/>
      <c r="AP53" s="401">
        <f t="shared" si="65"/>
        <v>741.49789999998757</v>
      </c>
      <c r="AQ53" s="402">
        <f t="shared" si="66"/>
        <v>8.8874751902873333E-3</v>
      </c>
      <c r="AR53" s="403"/>
    </row>
    <row r="54" spans="1:44" ht="12.75" customHeight="1">
      <c r="A54" s="52"/>
      <c r="B54" s="491" t="s">
        <v>408</v>
      </c>
      <c r="C54" s="562"/>
      <c r="D54" s="320"/>
      <c r="E54" s="320"/>
      <c r="F54" s="455"/>
      <c r="G54" s="128"/>
      <c r="H54" s="490">
        <f>H52+H53</f>
        <v>711710.4348960605</v>
      </c>
      <c r="I54" s="417"/>
      <c r="J54" s="417"/>
      <c r="K54" s="417"/>
      <c r="L54" s="400">
        <f>L52+L53</f>
        <v>715810.25331170403</v>
      </c>
      <c r="M54" s="128"/>
      <c r="N54" s="401">
        <f t="shared" si="57"/>
        <v>4099.8184156435309</v>
      </c>
      <c r="O54" s="402">
        <f t="shared" si="58"/>
        <v>5.7605146905598988E-3</v>
      </c>
      <c r="P54" s="52"/>
      <c r="Q54" s="417"/>
      <c r="R54" s="417"/>
      <c r="S54" s="400">
        <f>S52+S53</f>
        <v>708733.36468270409</v>
      </c>
      <c r="T54" s="128"/>
      <c r="U54" s="401">
        <f t="shared" si="59"/>
        <v>-7076.8886289999355</v>
      </c>
      <c r="V54" s="402">
        <f t="shared" si="60"/>
        <v>-9.8865426923666327E-3</v>
      </c>
      <c r="W54" s="52"/>
      <c r="X54" s="417"/>
      <c r="Y54" s="417"/>
      <c r="Z54" s="400">
        <f>Z52+Z53</f>
        <v>717927.85150270397</v>
      </c>
      <c r="AA54" s="128"/>
      <c r="AB54" s="401">
        <f t="shared" si="61"/>
        <v>9194.4868199998746</v>
      </c>
      <c r="AC54" s="402">
        <f t="shared" si="62"/>
        <v>1.2973125406782837E-2</v>
      </c>
      <c r="AD54" s="52"/>
      <c r="AE54" s="417"/>
      <c r="AF54" s="417"/>
      <c r="AG54" s="400">
        <f>AG52+AG53</f>
        <v>725214.72769270407</v>
      </c>
      <c r="AH54" s="128"/>
      <c r="AI54" s="401">
        <f t="shared" si="63"/>
        <v>7286.8761900000973</v>
      </c>
      <c r="AJ54" s="402">
        <f t="shared" si="64"/>
        <v>1.0149872546033481E-2</v>
      </c>
      <c r="AK54" s="52"/>
      <c r="AL54" s="417"/>
      <c r="AM54" s="417"/>
      <c r="AN54" s="400">
        <f>AN52+AN53</f>
        <v>731660.05559270398</v>
      </c>
      <c r="AO54" s="128"/>
      <c r="AP54" s="401">
        <f t="shared" si="65"/>
        <v>6445.3278999999166</v>
      </c>
      <c r="AQ54" s="402">
        <f t="shared" si="66"/>
        <v>8.887475190287368E-3</v>
      </c>
      <c r="AR54" s="403"/>
    </row>
    <row r="55" spans="1:44" ht="15.75" customHeight="1">
      <c r="A55" s="52"/>
      <c r="B55" s="628" t="s">
        <v>273</v>
      </c>
      <c r="C55" s="615"/>
      <c r="D55" s="615"/>
      <c r="E55" s="320"/>
      <c r="F55" s="455"/>
      <c r="G55" s="128"/>
      <c r="H55" s="492">
        <f>F55*H52</f>
        <v>0</v>
      </c>
      <c r="I55" s="417"/>
      <c r="J55" s="417"/>
      <c r="K55" s="417"/>
      <c r="L55" s="512">
        <f>J55*L52</f>
        <v>0</v>
      </c>
      <c r="M55" s="128"/>
      <c r="N55" s="457">
        <f t="shared" si="57"/>
        <v>0</v>
      </c>
      <c r="O55" s="459" t="str">
        <f t="shared" si="58"/>
        <v/>
      </c>
      <c r="P55" s="52"/>
      <c r="Q55" s="417"/>
      <c r="R55" s="417"/>
      <c r="S55" s="512">
        <f>Q55*S52</f>
        <v>0</v>
      </c>
      <c r="T55" s="128"/>
      <c r="U55" s="457">
        <f t="shared" si="59"/>
        <v>0</v>
      </c>
      <c r="V55" s="459" t="str">
        <f t="shared" si="60"/>
        <v/>
      </c>
      <c r="W55" s="52"/>
      <c r="X55" s="417"/>
      <c r="Y55" s="417"/>
      <c r="Z55" s="512">
        <f>X55*Z52</f>
        <v>0</v>
      </c>
      <c r="AA55" s="128"/>
      <c r="AB55" s="457">
        <f t="shared" si="61"/>
        <v>0</v>
      </c>
      <c r="AC55" s="459" t="str">
        <f t="shared" si="62"/>
        <v/>
      </c>
      <c r="AD55" s="52"/>
      <c r="AE55" s="417"/>
      <c r="AF55" s="417"/>
      <c r="AG55" s="512">
        <f>AE55*AG52</f>
        <v>0</v>
      </c>
      <c r="AH55" s="128"/>
      <c r="AI55" s="457">
        <f t="shared" si="63"/>
        <v>0</v>
      </c>
      <c r="AJ55" s="459" t="str">
        <f t="shared" si="64"/>
        <v/>
      </c>
      <c r="AK55" s="52"/>
      <c r="AL55" s="417"/>
      <c r="AM55" s="417"/>
      <c r="AN55" s="512">
        <f>AL55*AN52</f>
        <v>0</v>
      </c>
      <c r="AO55" s="128"/>
      <c r="AP55" s="457">
        <f t="shared" si="65"/>
        <v>0</v>
      </c>
      <c r="AQ55" s="459" t="str">
        <f t="shared" si="66"/>
        <v/>
      </c>
      <c r="AR55" s="460"/>
    </row>
    <row r="56" spans="1:44" ht="13.5" customHeight="1">
      <c r="A56" s="52"/>
      <c r="B56" s="627" t="s">
        <v>318</v>
      </c>
      <c r="C56" s="613"/>
      <c r="D56" s="613"/>
      <c r="E56" s="461"/>
      <c r="F56" s="462"/>
      <c r="G56" s="493"/>
      <c r="H56" s="494">
        <f>H54-H55</f>
        <v>711710.4348960605</v>
      </c>
      <c r="I56" s="463"/>
      <c r="J56" s="463"/>
      <c r="K56" s="463"/>
      <c r="L56" s="464">
        <f>L54-L55</f>
        <v>715810.25331170403</v>
      </c>
      <c r="M56" s="465"/>
      <c r="N56" s="466">
        <f t="shared" si="57"/>
        <v>4099.8184156435309</v>
      </c>
      <c r="O56" s="467">
        <f t="shared" si="58"/>
        <v>5.7605146905598988E-3</v>
      </c>
      <c r="P56" s="52"/>
      <c r="Q56" s="463"/>
      <c r="R56" s="463"/>
      <c r="S56" s="464">
        <f>S54-S55</f>
        <v>708733.36468270409</v>
      </c>
      <c r="T56" s="465"/>
      <c r="U56" s="466">
        <f t="shared" si="59"/>
        <v>-7076.8886289999355</v>
      </c>
      <c r="V56" s="467">
        <f t="shared" si="60"/>
        <v>-9.8865426923666327E-3</v>
      </c>
      <c r="W56" s="52"/>
      <c r="X56" s="463"/>
      <c r="Y56" s="463"/>
      <c r="Z56" s="464">
        <f>Z54-Z55</f>
        <v>717927.85150270397</v>
      </c>
      <c r="AA56" s="465"/>
      <c r="AB56" s="466">
        <f t="shared" si="61"/>
        <v>9194.4868199998746</v>
      </c>
      <c r="AC56" s="467">
        <f t="shared" si="62"/>
        <v>1.2973125406782837E-2</v>
      </c>
      <c r="AD56" s="52"/>
      <c r="AE56" s="463"/>
      <c r="AF56" s="463"/>
      <c r="AG56" s="464">
        <f>AG54-AG55</f>
        <v>725214.72769270407</v>
      </c>
      <c r="AH56" s="465"/>
      <c r="AI56" s="466">
        <f t="shared" si="63"/>
        <v>7286.8761900000973</v>
      </c>
      <c r="AJ56" s="467">
        <f t="shared" si="64"/>
        <v>1.0149872546033481E-2</v>
      </c>
      <c r="AK56" s="52"/>
      <c r="AL56" s="463"/>
      <c r="AM56" s="463"/>
      <c r="AN56" s="464">
        <f>AN54-AN55</f>
        <v>731660.05559270398</v>
      </c>
      <c r="AO56" s="465"/>
      <c r="AP56" s="466">
        <f t="shared" si="65"/>
        <v>6445.3278999999166</v>
      </c>
      <c r="AQ56" s="467">
        <f t="shared" si="66"/>
        <v>8.887475190287368E-3</v>
      </c>
      <c r="AR56" s="468"/>
    </row>
    <row r="57" spans="1:44"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63"/>
      <c r="D58" s="515"/>
      <c r="E58" s="515"/>
      <c r="F58" s="516"/>
      <c r="G58" s="517"/>
      <c r="H58" s="518">
        <f>SUM(H49:H50,H42,H43:H45)</f>
        <v>179227.54858619996</v>
      </c>
      <c r="I58" s="519"/>
      <c r="J58" s="520"/>
      <c r="K58" s="520"/>
      <c r="L58" s="518">
        <f>SUM(L49:L50,L42,L43:L45)</f>
        <v>182990.20195760002</v>
      </c>
      <c r="M58" s="521"/>
      <c r="N58" s="522">
        <f t="shared" ref="N58:N62" si="67">L58-H58</f>
        <v>3762.6533714000543</v>
      </c>
      <c r="O58" s="523">
        <f t="shared" ref="O58:O62" si="68">IF((H58)=0,"",(N58/H58))</f>
        <v>2.0993722232329683E-2</v>
      </c>
      <c r="P58" s="513"/>
      <c r="Q58" s="520"/>
      <c r="R58" s="520"/>
      <c r="S58" s="518">
        <f>SUM(S49:S50,S42,S43:S45)</f>
        <v>176727.46865760002</v>
      </c>
      <c r="T58" s="521"/>
      <c r="U58" s="522">
        <f t="shared" ref="U58:U62" si="69">S58-L58</f>
        <v>-6262.7332999999926</v>
      </c>
      <c r="V58" s="523">
        <f t="shared" ref="V58:V62" si="70">IF((L58)=0,"",(U58/L58))</f>
        <v>-3.4224418755770911E-2</v>
      </c>
      <c r="W58" s="513"/>
      <c r="X58" s="520"/>
      <c r="Y58" s="520"/>
      <c r="Z58" s="518">
        <f>SUM(Z49:Z50,Z42,Z43:Z45)</f>
        <v>184864.1826576</v>
      </c>
      <c r="AA58" s="521"/>
      <c r="AB58" s="522">
        <f t="shared" ref="AB58:AB62" si="71">Z58-S58</f>
        <v>8136.7139999999781</v>
      </c>
      <c r="AC58" s="523">
        <f t="shared" ref="AC58:AC62" si="72">IF((S58)=0,"",(AB58/S58))</f>
        <v>4.6041026116683786E-2</v>
      </c>
      <c r="AD58" s="513"/>
      <c r="AE58" s="520"/>
      <c r="AF58" s="520"/>
      <c r="AG58" s="518">
        <f>SUM(AG49:AG50,AG42,AG43:AG45)</f>
        <v>191312.74565760003</v>
      </c>
      <c r="AH58" s="521"/>
      <c r="AI58" s="522">
        <f t="shared" ref="AI58:AI62" si="73">AG58-Z58</f>
        <v>6448.5630000000237</v>
      </c>
      <c r="AJ58" s="523">
        <f t="shared" ref="AJ58:AJ62" si="74">IF((Z58)=0,"",(AI58/Z58))</f>
        <v>3.4882706359316028E-2</v>
      </c>
      <c r="AK58" s="513"/>
      <c r="AL58" s="520"/>
      <c r="AM58" s="520"/>
      <c r="AN58" s="518">
        <f>SUM(AN49:AN50,AN42,AN43:AN45)</f>
        <v>197016.57565760001</v>
      </c>
      <c r="AO58" s="521"/>
      <c r="AP58" s="522">
        <f t="shared" ref="AP58:AP62" si="75">AN58-AG58</f>
        <v>5703.8299999999872</v>
      </c>
      <c r="AQ58" s="523">
        <f t="shared" ref="AQ58:AQ62" si="76">IF((AG58)=0,"",(AP58/AG58))</f>
        <v>2.9814166225016481E-2</v>
      </c>
      <c r="AR58" s="524"/>
    </row>
    <row r="59" spans="1:44" ht="12.75" customHeight="1">
      <c r="A59" s="513"/>
      <c r="B59" s="525" t="s">
        <v>316</v>
      </c>
      <c r="C59" s="563"/>
      <c r="D59" s="515"/>
      <c r="E59" s="515"/>
      <c r="F59" s="516">
        <v>0.13</v>
      </c>
      <c r="G59" s="517"/>
      <c r="H59" s="526">
        <f>H58*F59</f>
        <v>23299.581316205997</v>
      </c>
      <c r="I59" s="527"/>
      <c r="J59" s="516">
        <v>0.13</v>
      </c>
      <c r="K59" s="528"/>
      <c r="L59" s="529">
        <f>L58*J59</f>
        <v>23788.726254488003</v>
      </c>
      <c r="M59" s="530"/>
      <c r="N59" s="531">
        <f t="shared" si="67"/>
        <v>489.14493828200648</v>
      </c>
      <c r="O59" s="532">
        <f t="shared" si="68"/>
        <v>2.0993722232329655E-2</v>
      </c>
      <c r="P59" s="513"/>
      <c r="Q59" s="516">
        <v>0.13</v>
      </c>
      <c r="R59" s="528"/>
      <c r="S59" s="529">
        <f>S58*Q59</f>
        <v>22974.570925488002</v>
      </c>
      <c r="T59" s="530"/>
      <c r="U59" s="531">
        <f t="shared" si="69"/>
        <v>-814.15532900000107</v>
      </c>
      <c r="V59" s="532">
        <f t="shared" si="70"/>
        <v>-3.4224418755770994E-2</v>
      </c>
      <c r="W59" s="513"/>
      <c r="X59" s="516">
        <v>0.13</v>
      </c>
      <c r="Y59" s="528"/>
      <c r="Z59" s="529">
        <f>Z58*X59</f>
        <v>24032.343745488</v>
      </c>
      <c r="AA59" s="530"/>
      <c r="AB59" s="531">
        <f t="shared" si="71"/>
        <v>1057.7728199999983</v>
      </c>
      <c r="AC59" s="532">
        <f t="shared" si="72"/>
        <v>4.6041026116683842E-2</v>
      </c>
      <c r="AD59" s="513"/>
      <c r="AE59" s="516">
        <v>0.13</v>
      </c>
      <c r="AF59" s="528"/>
      <c r="AG59" s="529">
        <f>AG58*AE59</f>
        <v>24870.656935488005</v>
      </c>
      <c r="AH59" s="530"/>
      <c r="AI59" s="531">
        <f t="shared" si="73"/>
        <v>838.3131900000044</v>
      </c>
      <c r="AJ59" s="532">
        <f t="shared" si="74"/>
        <v>3.4882706359316083E-2</v>
      </c>
      <c r="AK59" s="513"/>
      <c r="AL59" s="516">
        <v>0.13</v>
      </c>
      <c r="AM59" s="528"/>
      <c r="AN59" s="529">
        <f>AN58*AL59</f>
        <v>25612.154835488003</v>
      </c>
      <c r="AO59" s="530"/>
      <c r="AP59" s="531">
        <f t="shared" si="75"/>
        <v>741.49789999999848</v>
      </c>
      <c r="AQ59" s="532">
        <f t="shared" si="76"/>
        <v>2.9814166225016484E-2</v>
      </c>
      <c r="AR59" s="533"/>
    </row>
    <row r="60" spans="1:44" ht="12.75" customHeight="1">
      <c r="A60" s="513"/>
      <c r="B60" s="554" t="s">
        <v>409</v>
      </c>
      <c r="C60" s="563"/>
      <c r="D60" s="515"/>
      <c r="E60" s="515"/>
      <c r="F60" s="535"/>
      <c r="G60" s="530"/>
      <c r="H60" s="526">
        <f>H58+H59</f>
        <v>202527.12990240596</v>
      </c>
      <c r="I60" s="527"/>
      <c r="J60" s="527"/>
      <c r="K60" s="527"/>
      <c r="L60" s="529">
        <f>L58+L59</f>
        <v>206778.92821208801</v>
      </c>
      <c r="M60" s="530"/>
      <c r="N60" s="531">
        <f t="shared" si="67"/>
        <v>4251.7983096820535</v>
      </c>
      <c r="O60" s="532">
        <f t="shared" si="68"/>
        <v>2.0993722232329644E-2</v>
      </c>
      <c r="P60" s="513"/>
      <c r="Q60" s="527"/>
      <c r="R60" s="527"/>
      <c r="S60" s="529">
        <f>S58+S59</f>
        <v>199702.03958308802</v>
      </c>
      <c r="T60" s="530"/>
      <c r="U60" s="531">
        <f t="shared" si="69"/>
        <v>-7076.8886289999937</v>
      </c>
      <c r="V60" s="532">
        <f t="shared" si="70"/>
        <v>-3.4224418755770918E-2</v>
      </c>
      <c r="W60" s="513"/>
      <c r="X60" s="527"/>
      <c r="Y60" s="527"/>
      <c r="Z60" s="529">
        <f>Z58+Z59</f>
        <v>208896.52640308801</v>
      </c>
      <c r="AA60" s="530"/>
      <c r="AB60" s="531">
        <f t="shared" si="71"/>
        <v>9194.486819999991</v>
      </c>
      <c r="AC60" s="532">
        <f t="shared" si="72"/>
        <v>4.604102611668387E-2</v>
      </c>
      <c r="AD60" s="513"/>
      <c r="AE60" s="527"/>
      <c r="AF60" s="527"/>
      <c r="AG60" s="529">
        <f>AG58+AG59</f>
        <v>216183.40259308805</v>
      </c>
      <c r="AH60" s="530"/>
      <c r="AI60" s="531">
        <f t="shared" si="73"/>
        <v>7286.8761900000391</v>
      </c>
      <c r="AJ60" s="532">
        <f t="shared" si="74"/>
        <v>3.488270635931609E-2</v>
      </c>
      <c r="AK60" s="513"/>
      <c r="AL60" s="527"/>
      <c r="AM60" s="527"/>
      <c r="AN60" s="529">
        <f>AN58+AN59</f>
        <v>222628.73049308802</v>
      </c>
      <c r="AO60" s="530"/>
      <c r="AP60" s="531">
        <f t="shared" si="75"/>
        <v>6445.3278999999748</v>
      </c>
      <c r="AQ60" s="532">
        <f t="shared" si="76"/>
        <v>2.9814166225016429E-2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67"/>
        <v>0</v>
      </c>
      <c r="O61" s="539" t="str">
        <f t="shared" si="68"/>
        <v/>
      </c>
      <c r="P61" s="513"/>
      <c r="Q61" s="527"/>
      <c r="R61" s="527"/>
      <c r="S61" s="537">
        <f>Q61*S58</f>
        <v>0</v>
      </c>
      <c r="T61" s="530"/>
      <c r="U61" s="538">
        <f t="shared" si="69"/>
        <v>0</v>
      </c>
      <c r="V61" s="539" t="str">
        <f t="shared" si="70"/>
        <v/>
      </c>
      <c r="W61" s="513"/>
      <c r="X61" s="527"/>
      <c r="Y61" s="527"/>
      <c r="Z61" s="537">
        <f>X61*Z58</f>
        <v>0</v>
      </c>
      <c r="AA61" s="530"/>
      <c r="AB61" s="538">
        <f t="shared" si="71"/>
        <v>0</v>
      </c>
      <c r="AC61" s="539" t="str">
        <f t="shared" si="72"/>
        <v/>
      </c>
      <c r="AD61" s="513"/>
      <c r="AE61" s="527"/>
      <c r="AF61" s="527"/>
      <c r="AG61" s="537">
        <f>AE61*AG58</f>
        <v>0</v>
      </c>
      <c r="AH61" s="530"/>
      <c r="AI61" s="538">
        <f t="shared" si="73"/>
        <v>0</v>
      </c>
      <c r="AJ61" s="539" t="str">
        <f t="shared" si="74"/>
        <v/>
      </c>
      <c r="AK61" s="513"/>
      <c r="AL61" s="527"/>
      <c r="AM61" s="527"/>
      <c r="AN61" s="537">
        <f>AL61*AN58</f>
        <v>0</v>
      </c>
      <c r="AO61" s="530"/>
      <c r="AP61" s="538">
        <f t="shared" si="75"/>
        <v>0</v>
      </c>
      <c r="AQ61" s="539" t="str">
        <f t="shared" si="76"/>
        <v/>
      </c>
      <c r="AR61" s="540"/>
    </row>
    <row r="62" spans="1:44" ht="13.5" customHeight="1">
      <c r="A62" s="513"/>
      <c r="B62" s="635" t="s">
        <v>321</v>
      </c>
      <c r="C62" s="613"/>
      <c r="D62" s="613"/>
      <c r="E62" s="541"/>
      <c r="F62" s="542"/>
      <c r="G62" s="543"/>
      <c r="H62" s="544">
        <f>H60-H61</f>
        <v>202527.12990240596</v>
      </c>
      <c r="I62" s="545"/>
      <c r="J62" s="545"/>
      <c r="K62" s="545"/>
      <c r="L62" s="546">
        <f>L60-L61</f>
        <v>206778.92821208801</v>
      </c>
      <c r="M62" s="547"/>
      <c r="N62" s="548">
        <f t="shared" si="67"/>
        <v>4251.7983096820535</v>
      </c>
      <c r="O62" s="549">
        <f t="shared" si="68"/>
        <v>2.0993722232329644E-2</v>
      </c>
      <c r="P62" s="513"/>
      <c r="Q62" s="545"/>
      <c r="R62" s="545"/>
      <c r="S62" s="546">
        <f>S60-S61</f>
        <v>199702.03958308802</v>
      </c>
      <c r="T62" s="547"/>
      <c r="U62" s="548">
        <f t="shared" si="69"/>
        <v>-7076.8886289999937</v>
      </c>
      <c r="V62" s="549">
        <f t="shared" si="70"/>
        <v>-3.4224418755770918E-2</v>
      </c>
      <c r="W62" s="513"/>
      <c r="X62" s="545"/>
      <c r="Y62" s="545"/>
      <c r="Z62" s="546">
        <f>Z60-Z61</f>
        <v>208896.52640308801</v>
      </c>
      <c r="AA62" s="547"/>
      <c r="AB62" s="548">
        <f t="shared" si="71"/>
        <v>9194.486819999991</v>
      </c>
      <c r="AC62" s="549">
        <f t="shared" si="72"/>
        <v>4.604102611668387E-2</v>
      </c>
      <c r="AD62" s="513"/>
      <c r="AE62" s="545"/>
      <c r="AF62" s="545"/>
      <c r="AG62" s="546">
        <f>AG60-AG61</f>
        <v>216183.40259308805</v>
      </c>
      <c r="AH62" s="547"/>
      <c r="AI62" s="548">
        <f t="shared" si="73"/>
        <v>7286.8761900000391</v>
      </c>
      <c r="AJ62" s="549">
        <f t="shared" si="74"/>
        <v>3.488270635931609E-2</v>
      </c>
      <c r="AK62" s="513"/>
      <c r="AL62" s="545"/>
      <c r="AM62" s="545"/>
      <c r="AN62" s="546">
        <f>AN60-AN61</f>
        <v>222628.73049308802</v>
      </c>
      <c r="AO62" s="547"/>
      <c r="AP62" s="548">
        <f t="shared" si="75"/>
        <v>6445.3278999999748</v>
      </c>
      <c r="AQ62" s="549">
        <f t="shared" si="76"/>
        <v>2.9814166225016429E-2</v>
      </c>
      <c r="AR62" s="550"/>
    </row>
    <row r="63" spans="1:44"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55"/>
      <c r="D65" s="52"/>
      <c r="E65" s="52"/>
      <c r="F65" s="478">
        <f>'Proposed Rates'!$E$303</f>
        <v>5.1000000000000004E-3</v>
      </c>
      <c r="G65" s="52"/>
      <c r="H65" s="52"/>
      <c r="I65" s="52"/>
      <c r="J65" s="478">
        <f>'Proposed Rates'!$F$303</f>
        <v>4.7999999999999996E-3</v>
      </c>
      <c r="K65" s="52"/>
      <c r="L65" s="52"/>
      <c r="M65" s="52"/>
      <c r="N65" s="52"/>
      <c r="O65" s="52"/>
      <c r="P65" s="52"/>
      <c r="Q65" s="478">
        <f>'Proposed Rates'!$G$303</f>
        <v>4.7999999999999996E-3</v>
      </c>
      <c r="R65" s="52"/>
      <c r="S65" s="52"/>
      <c r="T65" s="52"/>
      <c r="U65" s="52"/>
      <c r="V65" s="52"/>
      <c r="W65" s="52"/>
      <c r="X65" s="478">
        <f>'Proposed Rates'!$H$303</f>
        <v>4.7999999999999996E-3</v>
      </c>
      <c r="Y65" s="52"/>
      <c r="Z65" s="52"/>
      <c r="AA65" s="52"/>
      <c r="AB65" s="52"/>
      <c r="AC65" s="52"/>
      <c r="AD65" s="52"/>
      <c r="AE65" s="478">
        <f>'Proposed Rates'!$I$303</f>
        <v>4.7999999999999996E-3</v>
      </c>
      <c r="AF65" s="52"/>
      <c r="AG65" s="52"/>
      <c r="AH65" s="52"/>
      <c r="AI65" s="52"/>
      <c r="AJ65" s="52"/>
      <c r="AK65" s="52"/>
      <c r="AL65" s="478">
        <f>'Proposed Rates'!$J$303</f>
        <v>4.7999999999999996E-3</v>
      </c>
      <c r="AM65" s="52"/>
      <c r="AN65" s="52"/>
      <c r="AO65" s="52"/>
      <c r="AP65" s="52"/>
      <c r="AQ65" s="52"/>
      <c r="AR65" s="52"/>
    </row>
    <row r="66" spans="1:44"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410</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3"/>
    </row>
    <row r="193" spans="1:44"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3"/>
    </row>
    <row r="194" spans="1:44"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3"/>
    </row>
    <row r="195" spans="1:44"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3"/>
    </row>
    <row r="196" spans="1:44"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3"/>
    </row>
    <row r="197" spans="1:44"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3"/>
    </row>
    <row r="198" spans="1:44"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3"/>
    </row>
    <row r="199" spans="1:44"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3"/>
    </row>
    <row r="200" spans="1:44"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3"/>
    </row>
    <row r="201" spans="1:44"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3"/>
    </row>
    <row r="202" spans="1:44"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3"/>
    </row>
    <row r="203" spans="1:44"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3"/>
    </row>
    <row r="204" spans="1:44"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3"/>
    </row>
    <row r="205" spans="1:44"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3"/>
    </row>
    <row r="206" spans="1:44"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3"/>
    </row>
    <row r="207" spans="1:44"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3"/>
    </row>
    <row r="208" spans="1:44"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3"/>
    </row>
    <row r="209" spans="1:44"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3"/>
    </row>
    <row r="210" spans="1:44"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3"/>
    </row>
    <row r="211" spans="1:44"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3"/>
    </row>
    <row r="212" spans="1:44"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3"/>
    </row>
    <row r="213" spans="1:44"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3"/>
    </row>
    <row r="214" spans="1:44"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3"/>
    </row>
    <row r="215" spans="1:44"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3"/>
    </row>
    <row r="216" spans="1:44"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3"/>
    </row>
    <row r="217" spans="1:44"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3"/>
    </row>
    <row r="218" spans="1:44"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3"/>
    </row>
    <row r="219" spans="1:44"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3"/>
    </row>
    <row r="220" spans="1:44"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3"/>
    </row>
    <row r="221" spans="1:44"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3"/>
    </row>
    <row r="222" spans="1:44"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3"/>
    </row>
    <row r="223" spans="1:44"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3"/>
    </row>
    <row r="224" spans="1:44"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3"/>
    </row>
    <row r="225" spans="1:44"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3"/>
    </row>
    <row r="226" spans="1:44"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3"/>
    </row>
    <row r="227" spans="1:44"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3"/>
    </row>
    <row r="228" spans="1:44"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3"/>
    </row>
    <row r="229" spans="1:44"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3"/>
    </row>
    <row r="230" spans="1:44"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3"/>
    </row>
    <row r="231" spans="1:44"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3"/>
    </row>
    <row r="232" spans="1:44"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3"/>
    </row>
    <row r="233" spans="1:44"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3"/>
    </row>
    <row r="234" spans="1:44"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3"/>
    </row>
    <row r="235" spans="1:44"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3"/>
    </row>
    <row r="236" spans="1:44"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3"/>
    </row>
    <row r="237" spans="1:44"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3"/>
    </row>
    <row r="238" spans="1:44"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3"/>
    </row>
    <row r="239" spans="1:44"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3"/>
    </row>
    <row r="240" spans="1:44"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3"/>
    </row>
    <row r="241" spans="1:44"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3"/>
    </row>
    <row r="242" spans="1:44"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3"/>
    </row>
    <row r="243" spans="1:44"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3"/>
    </row>
    <row r="244" spans="1:44"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3"/>
    </row>
    <row r="245" spans="1:44"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3"/>
    </row>
    <row r="246" spans="1:44"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3"/>
    </row>
    <row r="247" spans="1:44"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3"/>
    </row>
    <row r="248" spans="1:44"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3"/>
    </row>
    <row r="249" spans="1:44"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3"/>
    </row>
    <row r="250" spans="1:44"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3"/>
    </row>
    <row r="251" spans="1:44"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3"/>
    </row>
    <row r="252" spans="1:44"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3"/>
    </row>
    <row r="253" spans="1:44"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3"/>
    </row>
    <row r="254" spans="1:44"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3"/>
    </row>
    <row r="255" spans="1:44"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3"/>
    </row>
    <row r="256" spans="1:44"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3"/>
    </row>
    <row r="257" spans="1:44"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3"/>
    </row>
    <row r="258" spans="1:44"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3"/>
    </row>
    <row r="259" spans="1:44"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3"/>
    </row>
    <row r="260" spans="1:44"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3"/>
    </row>
    <row r="261" spans="1:44"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3"/>
    </row>
    <row r="262" spans="1:44"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3"/>
    </row>
    <row r="263" spans="1:44"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3"/>
    </row>
    <row r="264" spans="1:44"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3"/>
    </row>
    <row r="265" spans="1:44"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3"/>
    </row>
    <row r="266" spans="1:44"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3"/>
    </row>
    <row r="267" spans="1:44"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3"/>
    </row>
    <row r="268" spans="1:44"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3"/>
    </row>
    <row r="269" spans="1:44"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3"/>
    </row>
    <row r="270" spans="1:44"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3"/>
    </row>
    <row r="271" spans="1:44"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3"/>
    </row>
    <row r="272" spans="1:44"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3"/>
    </row>
    <row r="273" spans="1:44"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3"/>
    </row>
    <row r="274" spans="1:44"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3"/>
    </row>
    <row r="275" spans="1:44"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3"/>
    </row>
    <row r="276" spans="1:44"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3"/>
    </row>
    <row r="277" spans="1:44"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3"/>
    </row>
    <row r="278" spans="1:44"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3"/>
    </row>
    <row r="279" spans="1:44"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3"/>
    </row>
    <row r="280" spans="1:44"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3"/>
    </row>
    <row r="281" spans="1:44"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3"/>
    </row>
    <row r="282" spans="1:44"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3"/>
    </row>
    <row r="283" spans="1:44"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3"/>
    </row>
    <row r="284" spans="1:4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200-000000000000}">
      <formula1>"TOU,non-TOU"</formula1>
    </dataValidation>
    <dataValidation type="list" allowBlank="1" showErrorMessage="1" sqref="E15:E28 E30:E38 E40:E41 E43:E51 E57 E63" xr:uid="{00000000-0002-0000-2200-000001000000}">
      <formula1>#REF!</formula1>
    </dataValidation>
    <dataValidation type="list" allowBlank="1" showInputMessage="1" showErrorMessage="1" prompt="Select Charge Unit - monthly, per kWh, per kW" sqref="D15:D28 D30:D38 D40:D41 D43:D51 D57 D63" xr:uid="{00000000-0002-0000-2200-000002000000}">
      <formula1>"Monthly,per kWh,per kW"</formula1>
    </dataValidation>
  </dataValidations>
  <pageMargins left="0.74803149606299213" right="0.74803149606299213" top="0.98425196850393704" bottom="0.98425196850393704"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R1000"/>
  <sheetViews>
    <sheetView showGridLines="0" workbookViewId="0">
      <pane ySplit="14" topLeftCell="A39" activePane="bottomLeft" state="frozen"/>
      <selection pane="bottomLeft" activeCell="L60" sqref="L60"/>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1.42578125" customWidth="1"/>
    <col min="6" max="6" width="13.28515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28515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2.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28515625" customWidth="1"/>
    <col min="36" max="36" width="10" customWidth="1"/>
    <col min="37" max="37" width="0.7109375" customWidth="1"/>
    <col min="38" max="38" width="12.28515625" customWidth="1"/>
    <col min="39" max="39" width="11" customWidth="1"/>
    <col min="40" max="40" width="13" customWidth="1"/>
    <col min="41" max="41" width="1.28515625" customWidth="1"/>
    <col min="42" max="42" width="12.28515625" customWidth="1"/>
    <col min="43" max="43" width="10" customWidth="1"/>
    <col min="44" max="44" width="1.28515625" customWidth="1"/>
  </cols>
  <sheetData>
    <row r="1" spans="1:44" ht="7.5" customHeight="1">
      <c r="A1" s="52"/>
      <c r="B1" s="52"/>
      <c r="C1" s="555"/>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4" ht="18.75" customHeight="1">
      <c r="A2" s="52"/>
      <c r="B2" s="52"/>
      <c r="C2" s="556"/>
      <c r="D2" s="379"/>
      <c r="E2" s="379"/>
      <c r="F2" s="379" t="s">
        <v>291</v>
      </c>
      <c r="G2" s="379"/>
      <c r="H2" s="379"/>
      <c r="I2" s="379"/>
      <c r="J2" s="379"/>
      <c r="K2" s="379"/>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row>
    <row r="3" spans="1:44" ht="18.75" customHeight="1">
      <c r="A3" s="52"/>
      <c r="B3" s="52"/>
      <c r="C3" s="556"/>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4" ht="7.5" customHeight="1">
      <c r="A4" s="52"/>
      <c r="B4" s="52"/>
      <c r="C4" s="555"/>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4" ht="7.5" customHeight="1">
      <c r="A5" s="52"/>
      <c r="B5" s="52"/>
      <c r="C5" s="555"/>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4" ht="12.75" customHeight="1">
      <c r="A6" s="52"/>
      <c r="B6" s="319" t="s">
        <v>294</v>
      </c>
      <c r="C6" s="555"/>
      <c r="D6" s="381" t="s">
        <v>223</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row>
    <row r="7" spans="1:44" ht="7.5" customHeight="1">
      <c r="A7" s="52"/>
      <c r="B7" s="383"/>
      <c r="C7" s="555"/>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4" ht="12.75" customHeight="1">
      <c r="A8" s="52"/>
      <c r="B8" s="319" t="s">
        <v>295</v>
      </c>
      <c r="C8" s="555"/>
      <c r="D8" s="385" t="s">
        <v>375</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4" ht="12.75" customHeight="1">
      <c r="A9" s="52"/>
      <c r="B9" s="383"/>
      <c r="C9" s="555"/>
      <c r="D9" s="306" t="s">
        <v>297</v>
      </c>
      <c r="E9" s="306"/>
      <c r="F9" s="386">
        <v>4000000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4" ht="12.75" customHeight="1">
      <c r="A10" s="52"/>
      <c r="B10" s="52"/>
      <c r="C10" s="555"/>
      <c r="D10" s="52"/>
      <c r="E10" s="52"/>
      <c r="F10" s="386">
        <v>10000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4"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4"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4"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4"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4" ht="12.75" customHeight="1">
      <c r="A15" s="52"/>
      <c r="B15" s="320" t="s">
        <v>218</v>
      </c>
      <c r="C15" s="395" t="str">
        <f t="shared" ref="C15:C28" si="0">D$6&amp;"."&amp;B15</f>
        <v>Large User.Monthly Service Charge</v>
      </c>
      <c r="D15" s="396" t="s">
        <v>306</v>
      </c>
      <c r="E15" s="320"/>
      <c r="F15" s="397">
        <f>IFERROR(VLOOKUP($C15,'Proposed Rates'!$B:$J,F$11,FALSE),0)</f>
        <v>14946.93</v>
      </c>
      <c r="G15" s="415">
        <f t="shared" ref="G15:G28" si="1">IF($D15="Monthly",1,IF($D15="per KW",$F$10,IF($D15="per kWh",$F$9,0)))</f>
        <v>1</v>
      </c>
      <c r="H15" s="400">
        <f t="shared" ref="H15:H28" si="2">G15*F15</f>
        <v>14946.93</v>
      </c>
      <c r="I15" s="128"/>
      <c r="J15" s="397">
        <f>IFERROR(VLOOKUP($C15,'Proposed Rates'!$B:$J,J$11,FALSE),0)</f>
        <v>14946.93</v>
      </c>
      <c r="K15" s="415">
        <f t="shared" ref="K15:K28" si="3">IF($D15="Monthly",1,IF($D15="per KW",$F$10,IF($D15="per kWh",$F$9,0)))</f>
        <v>1</v>
      </c>
      <c r="L15" s="400">
        <f t="shared" ref="L15:L28" si="4">K15*J15</f>
        <v>14946.93</v>
      </c>
      <c r="M15" s="128"/>
      <c r="N15" s="401">
        <f t="shared" ref="N15:N46" si="5">L15-H15</f>
        <v>0</v>
      </c>
      <c r="O15" s="402">
        <f t="shared" ref="O15:O46" si="6">IF((H15)=0,"",(N15/H15))</f>
        <v>0</v>
      </c>
      <c r="P15" s="52"/>
      <c r="Q15" s="397">
        <f>IFERROR(VLOOKUP($C15,'Proposed Rates'!$B:$J,Q$11,FALSE),0)</f>
        <v>14946.93</v>
      </c>
      <c r="R15" s="415">
        <f t="shared" ref="R15:R28" si="7">IF($D15="Monthly",1,IF($D15="per KW",$F$10,IF($D15="per kWh",$F$9,0)))</f>
        <v>1</v>
      </c>
      <c r="S15" s="400">
        <f t="shared" ref="S15:S28" si="8">R15*Q15</f>
        <v>14946.93</v>
      </c>
      <c r="T15" s="128"/>
      <c r="U15" s="401">
        <f t="shared" ref="U15:U46" si="9">S15-L15</f>
        <v>0</v>
      </c>
      <c r="V15" s="402">
        <f t="shared" ref="V15:V46" si="10">IF((L15)=0,"",(U15/L15))</f>
        <v>0</v>
      </c>
      <c r="W15" s="52"/>
      <c r="X15" s="397">
        <f>IFERROR(VLOOKUP($C15,'Proposed Rates'!$B:$J,X$11,FALSE),0)</f>
        <v>14946.93</v>
      </c>
      <c r="Y15" s="415">
        <f t="shared" ref="Y15:Y28" si="11">IF($D15="Monthly",1,IF($D15="per KW",$F$10,IF($D15="per kWh",$F$9,0)))</f>
        <v>1</v>
      </c>
      <c r="Z15" s="400">
        <f t="shared" ref="Z15:Z28" si="12">Y15*X15</f>
        <v>14946.93</v>
      </c>
      <c r="AA15" s="128"/>
      <c r="AB15" s="401">
        <f t="shared" ref="AB15:AB46" si="13">Z15-S15</f>
        <v>0</v>
      </c>
      <c r="AC15" s="402">
        <f t="shared" ref="AC15:AC46" si="14">IF((S15)=0,"",(AB15/S15))</f>
        <v>0</v>
      </c>
      <c r="AD15" s="52"/>
      <c r="AE15" s="397">
        <f>IFERROR(VLOOKUP($C15,'Proposed Rates'!$B:$J,AE$11,FALSE),0)</f>
        <v>14946.93</v>
      </c>
      <c r="AF15" s="415">
        <f t="shared" ref="AF15:AF28" si="15">IF($D15="Monthly",1,IF($D15="per KW",$F$10,IF($D15="per kWh",$F$9,0)))</f>
        <v>1</v>
      </c>
      <c r="AG15" s="400">
        <f t="shared" ref="AG15:AG28" si="16">AF15*AE15</f>
        <v>14946.93</v>
      </c>
      <c r="AH15" s="128"/>
      <c r="AI15" s="401">
        <f t="shared" ref="AI15:AI46" si="17">AG15-Z15</f>
        <v>0</v>
      </c>
      <c r="AJ15" s="402">
        <f t="shared" ref="AJ15:AJ46" si="18">IF((Z15)=0,"",(AI15/Z15))</f>
        <v>0</v>
      </c>
      <c r="AK15" s="52"/>
      <c r="AL15" s="397">
        <f>IFERROR(VLOOKUP($C15,'Proposed Rates'!$B:$J,AL$11,FALSE),0)</f>
        <v>14946.93</v>
      </c>
      <c r="AM15" s="415">
        <f t="shared" ref="AM15:AM28" si="19">IF($D15="Monthly",1,IF($D15="per KW",$F$10,IF($D15="per kWh",$F$9,0)))</f>
        <v>1</v>
      </c>
      <c r="AN15" s="400">
        <f t="shared" ref="AN15:AN28" si="20">AM15*AL15</f>
        <v>14946.93</v>
      </c>
      <c r="AO15" s="128"/>
      <c r="AP15" s="401">
        <f t="shared" ref="AP15:AP46" si="21">AN15-AG15</f>
        <v>0</v>
      </c>
      <c r="AQ15" s="402">
        <f t="shared" ref="AQ15:AQ46" si="22">IF((AG15)=0,"",(AP15/AG15))</f>
        <v>0</v>
      </c>
      <c r="AR15" s="403"/>
    </row>
    <row r="16" spans="1:44" ht="12.75" customHeight="1">
      <c r="A16" s="52"/>
      <c r="B16" s="320" t="s">
        <v>307</v>
      </c>
      <c r="C16" s="395" t="str">
        <f t="shared" si="0"/>
        <v>Large User.Smart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75" customHeight="1">
      <c r="A17" s="52"/>
      <c r="B17" s="404" t="str">
        <f>'Proposed Rates'!C115</f>
        <v>Rate Rider Calculation for PILs</v>
      </c>
      <c r="C17" s="395" t="str">
        <f t="shared" si="0"/>
        <v>Large User.Rate Rider Calculation for PILs</v>
      </c>
      <c r="D17" s="396" t="s">
        <v>377</v>
      </c>
      <c r="E17" s="320"/>
      <c r="F17" s="397">
        <f>IFERROR(VLOOKUP($C17,'Proposed Rates'!$B:$J,F$11,FALSE),0)</f>
        <v>0</v>
      </c>
      <c r="G17" s="415">
        <f t="shared" si="1"/>
        <v>10000</v>
      </c>
      <c r="H17" s="400">
        <f t="shared" si="2"/>
        <v>0</v>
      </c>
      <c r="I17" s="128"/>
      <c r="J17" s="397">
        <f>IFERROR(VLOOKUP($C17,'Proposed Rates'!$B:$J,J$11,FALSE),0)</f>
        <v>0</v>
      </c>
      <c r="K17" s="415">
        <f t="shared" si="3"/>
        <v>10000</v>
      </c>
      <c r="L17" s="400">
        <f t="shared" si="4"/>
        <v>0</v>
      </c>
      <c r="M17" s="128"/>
      <c r="N17" s="401">
        <f t="shared" si="5"/>
        <v>0</v>
      </c>
      <c r="O17" s="402" t="str">
        <f t="shared" si="6"/>
        <v/>
      </c>
      <c r="P17" s="52"/>
      <c r="Q17" s="397">
        <f>IFERROR(VLOOKUP($C17,'Proposed Rates'!$B:$J,Q$11,FALSE),0)</f>
        <v>0</v>
      </c>
      <c r="R17" s="415">
        <f t="shared" si="7"/>
        <v>10000</v>
      </c>
      <c r="S17" s="400">
        <f t="shared" si="8"/>
        <v>0</v>
      </c>
      <c r="T17" s="128"/>
      <c r="U17" s="401">
        <f t="shared" si="9"/>
        <v>0</v>
      </c>
      <c r="V17" s="402" t="str">
        <f t="shared" si="10"/>
        <v/>
      </c>
      <c r="W17" s="52"/>
      <c r="X17" s="397">
        <f>IFERROR(VLOOKUP($C17,'Proposed Rates'!$B:$J,X$11,FALSE),0)</f>
        <v>0</v>
      </c>
      <c r="Y17" s="415">
        <f t="shared" si="11"/>
        <v>10000</v>
      </c>
      <c r="Z17" s="400">
        <f t="shared" si="12"/>
        <v>0</v>
      </c>
      <c r="AA17" s="128"/>
      <c r="AB17" s="401">
        <f t="shared" si="13"/>
        <v>0</v>
      </c>
      <c r="AC17" s="402" t="str">
        <f t="shared" si="14"/>
        <v/>
      </c>
      <c r="AD17" s="52"/>
      <c r="AE17" s="397">
        <f>IFERROR(VLOOKUP($C17,'Proposed Rates'!$B:$J,AE$11,FALSE),0)</f>
        <v>0</v>
      </c>
      <c r="AF17" s="415">
        <f t="shared" si="15"/>
        <v>10000</v>
      </c>
      <c r="AG17" s="400">
        <f t="shared" si="16"/>
        <v>0</v>
      </c>
      <c r="AH17" s="128"/>
      <c r="AI17" s="401">
        <f t="shared" si="17"/>
        <v>0</v>
      </c>
      <c r="AJ17" s="402" t="str">
        <f t="shared" si="18"/>
        <v/>
      </c>
      <c r="AK17" s="52"/>
      <c r="AL17" s="397">
        <f>IFERROR(VLOOKUP($C17,'Proposed Rates'!$B:$J,AL$11,FALSE),0)</f>
        <v>0</v>
      </c>
      <c r="AM17" s="415">
        <f t="shared" si="19"/>
        <v>10000</v>
      </c>
      <c r="AN17" s="400">
        <f t="shared" si="20"/>
        <v>0</v>
      </c>
      <c r="AO17" s="128"/>
      <c r="AP17" s="401">
        <f t="shared" si="21"/>
        <v>0</v>
      </c>
      <c r="AQ17" s="402" t="str">
        <f t="shared" si="22"/>
        <v/>
      </c>
      <c r="AR17" s="403"/>
    </row>
    <row r="18" spans="1:44" ht="12.75" customHeight="1">
      <c r="A18" s="52"/>
      <c r="B18" s="404" t="str">
        <f>'Proposed Rates'!C128</f>
        <v>Rate Rider Calculation for Generic</v>
      </c>
      <c r="C18" s="395" t="str">
        <f t="shared" si="0"/>
        <v>Large User.Rate Rider Calculation for Generic</v>
      </c>
      <c r="D18" s="396" t="s">
        <v>377</v>
      </c>
      <c r="E18" s="320"/>
      <c r="F18" s="397">
        <f>IFERROR(VLOOKUP($C18,'Proposed Rates'!$B:$J,F$11,FALSE),0)</f>
        <v>0</v>
      </c>
      <c r="G18" s="415">
        <f t="shared" si="1"/>
        <v>10000</v>
      </c>
      <c r="H18" s="400">
        <f t="shared" si="2"/>
        <v>0</v>
      </c>
      <c r="I18" s="128"/>
      <c r="J18" s="397">
        <f>IFERROR(VLOOKUP($C18,'Proposed Rates'!$B:$J,J$11,FALSE),0)</f>
        <v>0</v>
      </c>
      <c r="K18" s="415">
        <f t="shared" si="3"/>
        <v>10000</v>
      </c>
      <c r="L18" s="400">
        <f t="shared" si="4"/>
        <v>0</v>
      </c>
      <c r="M18" s="128"/>
      <c r="N18" s="401">
        <f t="shared" si="5"/>
        <v>0</v>
      </c>
      <c r="O18" s="402" t="str">
        <f t="shared" si="6"/>
        <v/>
      </c>
      <c r="P18" s="52"/>
      <c r="Q18" s="397">
        <f>IFERROR(VLOOKUP($C18,'Proposed Rates'!$B:$J,Q$11,FALSE),0)</f>
        <v>0</v>
      </c>
      <c r="R18" s="415">
        <f t="shared" si="7"/>
        <v>10000</v>
      </c>
      <c r="S18" s="400">
        <f t="shared" si="8"/>
        <v>0</v>
      </c>
      <c r="T18" s="128"/>
      <c r="U18" s="401">
        <f t="shared" si="9"/>
        <v>0</v>
      </c>
      <c r="V18" s="402" t="str">
        <f t="shared" si="10"/>
        <v/>
      </c>
      <c r="W18" s="52"/>
      <c r="X18" s="397">
        <f>IFERROR(VLOOKUP($C18,'Proposed Rates'!$B:$J,X$11,FALSE),0)</f>
        <v>0</v>
      </c>
      <c r="Y18" s="415">
        <f t="shared" si="11"/>
        <v>10000</v>
      </c>
      <c r="Z18" s="400">
        <f t="shared" si="12"/>
        <v>0</v>
      </c>
      <c r="AA18" s="128"/>
      <c r="AB18" s="401">
        <f t="shared" si="13"/>
        <v>0</v>
      </c>
      <c r="AC18" s="402" t="str">
        <f t="shared" si="14"/>
        <v/>
      </c>
      <c r="AD18" s="52"/>
      <c r="AE18" s="397">
        <f>IFERROR(VLOOKUP($C18,'Proposed Rates'!$B:$J,AE$11,FALSE),0)</f>
        <v>0</v>
      </c>
      <c r="AF18" s="415">
        <f t="shared" si="15"/>
        <v>10000</v>
      </c>
      <c r="AG18" s="400">
        <f t="shared" si="16"/>
        <v>0</v>
      </c>
      <c r="AH18" s="128"/>
      <c r="AI18" s="401">
        <f t="shared" si="17"/>
        <v>0</v>
      </c>
      <c r="AJ18" s="402" t="str">
        <f t="shared" si="18"/>
        <v/>
      </c>
      <c r="AK18" s="52"/>
      <c r="AL18" s="397">
        <f>IFERROR(VLOOKUP($C18,'Proposed Rates'!$B:$J,AL$11,FALSE),0)</f>
        <v>0</v>
      </c>
      <c r="AM18" s="415">
        <f t="shared" si="19"/>
        <v>10000</v>
      </c>
      <c r="AN18" s="400">
        <f t="shared" si="20"/>
        <v>0</v>
      </c>
      <c r="AO18" s="128"/>
      <c r="AP18" s="401">
        <f t="shared" si="21"/>
        <v>0</v>
      </c>
      <c r="AQ18" s="402" t="str">
        <f t="shared" si="22"/>
        <v/>
      </c>
      <c r="AR18" s="403"/>
    </row>
    <row r="19" spans="1:44" ht="12.75" customHeight="1">
      <c r="A19" s="52"/>
      <c r="B19" s="320" t="s">
        <v>59</v>
      </c>
      <c r="C19" s="395" t="str">
        <f t="shared" si="0"/>
        <v>Large User.Distribution Volumetric Rate</v>
      </c>
      <c r="D19" s="396" t="s">
        <v>377</v>
      </c>
      <c r="E19" s="320"/>
      <c r="F19" s="414">
        <f>IFERROR(VLOOKUP($C19,'Proposed Rates'!$B:$J,F$11,FALSE),0)</f>
        <v>6.0316000000000001</v>
      </c>
      <c r="G19" s="415">
        <f t="shared" si="1"/>
        <v>10000</v>
      </c>
      <c r="H19" s="400">
        <f t="shared" si="2"/>
        <v>60316</v>
      </c>
      <c r="I19" s="128"/>
      <c r="J19" s="414">
        <f>IFERROR(VLOOKUP($C19,'Proposed Rates'!$B:$J,J$11,FALSE),0)</f>
        <v>7.8982000000000001</v>
      </c>
      <c r="K19" s="415">
        <f t="shared" si="3"/>
        <v>10000</v>
      </c>
      <c r="L19" s="400">
        <f t="shared" si="4"/>
        <v>78982</v>
      </c>
      <c r="M19" s="128"/>
      <c r="N19" s="401">
        <f t="shared" si="5"/>
        <v>18666</v>
      </c>
      <c r="O19" s="402">
        <f t="shared" si="6"/>
        <v>0.30947012401352875</v>
      </c>
      <c r="P19" s="52"/>
      <c r="Q19" s="414">
        <f>IFERROR(VLOOKUP($C19,'Proposed Rates'!$B:$J,Q$11,FALSE),0)</f>
        <v>8.8231999999999999</v>
      </c>
      <c r="R19" s="415">
        <f t="shared" si="7"/>
        <v>10000</v>
      </c>
      <c r="S19" s="400">
        <f t="shared" si="8"/>
        <v>88232</v>
      </c>
      <c r="T19" s="128"/>
      <c r="U19" s="401">
        <f t="shared" si="9"/>
        <v>9250</v>
      </c>
      <c r="V19" s="402">
        <f t="shared" si="10"/>
        <v>0.11711529209186904</v>
      </c>
      <c r="W19" s="52"/>
      <c r="X19" s="414">
        <f>IFERROR(VLOOKUP($C19,'Proposed Rates'!$B:$J,X$11,FALSE),0)</f>
        <v>9.8528000000000002</v>
      </c>
      <c r="Y19" s="415">
        <f t="shared" si="11"/>
        <v>10000</v>
      </c>
      <c r="Z19" s="400">
        <f t="shared" si="12"/>
        <v>98528</v>
      </c>
      <c r="AA19" s="128"/>
      <c r="AB19" s="401">
        <f t="shared" si="13"/>
        <v>10296</v>
      </c>
      <c r="AC19" s="402">
        <f t="shared" si="14"/>
        <v>0.11669235651464321</v>
      </c>
      <c r="AD19" s="52"/>
      <c r="AE19" s="414">
        <f>IFERROR(VLOOKUP($C19,'Proposed Rates'!$B:$J,AE$11,FALSE),0)</f>
        <v>10.6686</v>
      </c>
      <c r="AF19" s="415">
        <f t="shared" si="15"/>
        <v>10000</v>
      </c>
      <c r="AG19" s="400">
        <f t="shared" si="16"/>
        <v>106686</v>
      </c>
      <c r="AH19" s="128"/>
      <c r="AI19" s="401">
        <f t="shared" si="17"/>
        <v>8158</v>
      </c>
      <c r="AJ19" s="402">
        <f t="shared" si="18"/>
        <v>8.2798798311139982E-2</v>
      </c>
      <c r="AK19" s="52"/>
      <c r="AL19" s="414">
        <f>IFERROR(VLOOKUP($C19,'Proposed Rates'!$B:$J,AL$11,FALSE),0)</f>
        <v>11.3901</v>
      </c>
      <c r="AM19" s="415">
        <f t="shared" si="19"/>
        <v>10000</v>
      </c>
      <c r="AN19" s="400">
        <f t="shared" si="20"/>
        <v>113901</v>
      </c>
      <c r="AO19" s="128"/>
      <c r="AP19" s="401">
        <f t="shared" si="21"/>
        <v>7215</v>
      </c>
      <c r="AQ19" s="402">
        <f t="shared" si="22"/>
        <v>6.7628367358416291E-2</v>
      </c>
      <c r="AR19" s="403"/>
    </row>
    <row r="20" spans="1:44" ht="12.75" customHeight="1">
      <c r="A20" s="52"/>
      <c r="B20" s="320" t="s">
        <v>309</v>
      </c>
      <c r="C20" s="395" t="str">
        <f t="shared" si="0"/>
        <v>Large User.Smart Meter Disposition Rider</v>
      </c>
      <c r="D20" s="396" t="s">
        <v>308</v>
      </c>
      <c r="E20" s="320"/>
      <c r="F20" s="397">
        <f>IFERROR(VLOOKUP($C20,'Proposed Rates'!$B:$J,F$11,FALSE),0)</f>
        <v>0</v>
      </c>
      <c r="G20" s="415">
        <f t="shared" si="1"/>
        <v>4000000</v>
      </c>
      <c r="H20" s="400">
        <f t="shared" si="2"/>
        <v>0</v>
      </c>
      <c r="I20" s="128"/>
      <c r="J20" s="397">
        <f>IFERROR(VLOOKUP($C20,'Proposed Rates'!$B:$J,J$11,FALSE),0)</f>
        <v>0</v>
      </c>
      <c r="K20" s="415">
        <f t="shared" si="3"/>
        <v>4000000</v>
      </c>
      <c r="L20" s="400">
        <f t="shared" si="4"/>
        <v>0</v>
      </c>
      <c r="M20" s="128"/>
      <c r="N20" s="401">
        <f t="shared" si="5"/>
        <v>0</v>
      </c>
      <c r="O20" s="402" t="str">
        <f t="shared" si="6"/>
        <v/>
      </c>
      <c r="P20" s="52"/>
      <c r="Q20" s="397">
        <f>IFERROR(VLOOKUP($C20,'Proposed Rates'!$B:$J,Q$11,FALSE),0)</f>
        <v>0</v>
      </c>
      <c r="R20" s="415">
        <f t="shared" si="7"/>
        <v>4000000</v>
      </c>
      <c r="S20" s="400">
        <f t="shared" si="8"/>
        <v>0</v>
      </c>
      <c r="T20" s="128"/>
      <c r="U20" s="401">
        <f t="shared" si="9"/>
        <v>0</v>
      </c>
      <c r="V20" s="402" t="str">
        <f t="shared" si="10"/>
        <v/>
      </c>
      <c r="W20" s="52"/>
      <c r="X20" s="397">
        <f>IFERROR(VLOOKUP($C20,'Proposed Rates'!$B:$J,X$11,FALSE),0)</f>
        <v>0</v>
      </c>
      <c r="Y20" s="415">
        <f t="shared" si="11"/>
        <v>4000000</v>
      </c>
      <c r="Z20" s="400">
        <f t="shared" si="12"/>
        <v>0</v>
      </c>
      <c r="AA20" s="128"/>
      <c r="AB20" s="401">
        <f t="shared" si="13"/>
        <v>0</v>
      </c>
      <c r="AC20" s="402" t="str">
        <f t="shared" si="14"/>
        <v/>
      </c>
      <c r="AD20" s="52"/>
      <c r="AE20" s="397">
        <f>IFERROR(VLOOKUP($C20,'Proposed Rates'!$B:$J,AE$11,FALSE),0)</f>
        <v>0</v>
      </c>
      <c r="AF20" s="415">
        <f t="shared" si="15"/>
        <v>4000000</v>
      </c>
      <c r="AG20" s="400">
        <f t="shared" si="16"/>
        <v>0</v>
      </c>
      <c r="AH20" s="128"/>
      <c r="AI20" s="401">
        <f t="shared" si="17"/>
        <v>0</v>
      </c>
      <c r="AJ20" s="402" t="str">
        <f t="shared" si="18"/>
        <v/>
      </c>
      <c r="AK20" s="52"/>
      <c r="AL20" s="397">
        <f>IFERROR(VLOOKUP($C20,'Proposed Rates'!$B:$J,AL$11,FALSE),0)</f>
        <v>0</v>
      </c>
      <c r="AM20" s="415">
        <f t="shared" si="19"/>
        <v>4000000</v>
      </c>
      <c r="AN20" s="400">
        <f t="shared" si="20"/>
        <v>0</v>
      </c>
      <c r="AO20" s="128"/>
      <c r="AP20" s="401">
        <f t="shared" si="21"/>
        <v>0</v>
      </c>
      <c r="AQ20" s="402" t="str">
        <f t="shared" si="22"/>
        <v/>
      </c>
      <c r="AR20" s="403"/>
    </row>
    <row r="21" spans="1:44" ht="12.75" customHeight="1">
      <c r="A21" s="52"/>
      <c r="B21" s="320" t="s">
        <v>241</v>
      </c>
      <c r="C21" s="395" t="str">
        <f t="shared" si="0"/>
        <v>Large User.LRAM Rate Rider</v>
      </c>
      <c r="D21" s="396" t="s">
        <v>377</v>
      </c>
      <c r="E21" s="320"/>
      <c r="F21" s="414">
        <f>'Proposed Rates'!E81+'Proposed Rates'!E94</f>
        <v>0.2011</v>
      </c>
      <c r="G21" s="415">
        <f t="shared" si="1"/>
        <v>10000</v>
      </c>
      <c r="H21" s="400">
        <f t="shared" si="2"/>
        <v>2011</v>
      </c>
      <c r="I21" s="128"/>
      <c r="J21" s="414">
        <f>'Proposed Rates'!F81+'Proposed Rates'!F94</f>
        <v>-0.52569999999999995</v>
      </c>
      <c r="K21" s="415">
        <f t="shared" si="3"/>
        <v>10000</v>
      </c>
      <c r="L21" s="400">
        <f t="shared" si="4"/>
        <v>-5256.9999999999991</v>
      </c>
      <c r="M21" s="128"/>
      <c r="N21" s="401">
        <f t="shared" si="5"/>
        <v>-7267.9999999999991</v>
      </c>
      <c r="O21" s="402">
        <f t="shared" si="6"/>
        <v>-3.6141223272003975</v>
      </c>
      <c r="P21" s="52"/>
      <c r="Q21" s="414">
        <f>'Proposed Rates'!G81+'Proposed Rates'!G94</f>
        <v>0</v>
      </c>
      <c r="R21" s="415">
        <f t="shared" si="7"/>
        <v>10000</v>
      </c>
      <c r="S21" s="400">
        <f t="shared" si="8"/>
        <v>0</v>
      </c>
      <c r="T21" s="128"/>
      <c r="U21" s="401">
        <f t="shared" si="9"/>
        <v>5256.9999999999991</v>
      </c>
      <c r="V21" s="402">
        <f t="shared" si="10"/>
        <v>-1</v>
      </c>
      <c r="W21" s="52"/>
      <c r="X21" s="414">
        <f>IFERROR(VLOOKUP($C21,'Proposed Rates'!$B:$J,X$11,FALSE),0)</f>
        <v>0</v>
      </c>
      <c r="Y21" s="415">
        <f t="shared" si="11"/>
        <v>10000</v>
      </c>
      <c r="Z21" s="400">
        <f t="shared" si="12"/>
        <v>0</v>
      </c>
      <c r="AA21" s="128"/>
      <c r="AB21" s="401">
        <f t="shared" si="13"/>
        <v>0</v>
      </c>
      <c r="AC21" s="402" t="str">
        <f t="shared" si="14"/>
        <v/>
      </c>
      <c r="AD21" s="52"/>
      <c r="AE21" s="414">
        <f>IFERROR(VLOOKUP($C21,'Proposed Rates'!$B:$J,AE$11,FALSE),0)</f>
        <v>0</v>
      </c>
      <c r="AF21" s="415">
        <f t="shared" si="15"/>
        <v>10000</v>
      </c>
      <c r="AG21" s="400">
        <f t="shared" si="16"/>
        <v>0</v>
      </c>
      <c r="AH21" s="128"/>
      <c r="AI21" s="401">
        <f t="shared" si="17"/>
        <v>0</v>
      </c>
      <c r="AJ21" s="402" t="str">
        <f t="shared" si="18"/>
        <v/>
      </c>
      <c r="AK21" s="52"/>
      <c r="AL21" s="414">
        <f>IFERROR(VLOOKUP($C21,'Proposed Rates'!$B:$J,AL$11,FALSE),0)</f>
        <v>0</v>
      </c>
      <c r="AM21" s="415">
        <f t="shared" si="19"/>
        <v>10000</v>
      </c>
      <c r="AN21" s="400">
        <f t="shared" si="20"/>
        <v>0</v>
      </c>
      <c r="AO21" s="128"/>
      <c r="AP21" s="401">
        <f t="shared" si="21"/>
        <v>0</v>
      </c>
      <c r="AQ21" s="402" t="str">
        <f t="shared" si="22"/>
        <v/>
      </c>
      <c r="AR21" s="403"/>
    </row>
    <row r="22" spans="1:44" ht="12.75" customHeight="1">
      <c r="A22" s="52"/>
      <c r="B22" s="484" t="s">
        <v>237</v>
      </c>
      <c r="C22" s="395" t="str">
        <f t="shared" si="0"/>
        <v>Large User.Deferral/Variance Account Disposition Rate Rider Group 2</v>
      </c>
      <c r="D22" s="396" t="s">
        <v>377</v>
      </c>
      <c r="E22" s="320"/>
      <c r="F22" s="397">
        <f>IFERROR(VLOOKUP($C22,'Proposed Rates'!$B:$J,F$11,FALSE),0)</f>
        <v>0</v>
      </c>
      <c r="G22" s="415">
        <f t="shared" si="1"/>
        <v>10000</v>
      </c>
      <c r="H22" s="400">
        <f t="shared" si="2"/>
        <v>0</v>
      </c>
      <c r="I22" s="128"/>
      <c r="J22" s="397">
        <f>IFERROR(VLOOKUP($C22,'Proposed Rates'!$B:$J,J$11,FALSE),0)</f>
        <v>-0.1401</v>
      </c>
      <c r="K22" s="415">
        <f t="shared" si="3"/>
        <v>10000</v>
      </c>
      <c r="L22" s="400">
        <f t="shared" si="4"/>
        <v>-1401</v>
      </c>
      <c r="M22" s="128"/>
      <c r="N22" s="401">
        <f t="shared" si="5"/>
        <v>-1401</v>
      </c>
      <c r="O22" s="402" t="str">
        <f t="shared" si="6"/>
        <v/>
      </c>
      <c r="P22" s="52"/>
      <c r="Q22" s="397">
        <f>IFERROR(VLOOKUP($C22,'Proposed Rates'!$B:$J,Q$11,FALSE),0)</f>
        <v>0</v>
      </c>
      <c r="R22" s="415">
        <f t="shared" si="7"/>
        <v>10000</v>
      </c>
      <c r="S22" s="400">
        <f t="shared" si="8"/>
        <v>0</v>
      </c>
      <c r="T22" s="128"/>
      <c r="U22" s="401">
        <f t="shared" si="9"/>
        <v>1401</v>
      </c>
      <c r="V22" s="402">
        <f t="shared" si="10"/>
        <v>-1</v>
      </c>
      <c r="W22" s="52"/>
      <c r="X22" s="397">
        <f>IFERROR(VLOOKUP($C22,'Proposed Rates'!$B:$J,X$11,FALSE),0)</f>
        <v>0</v>
      </c>
      <c r="Y22" s="415">
        <f t="shared" si="11"/>
        <v>10000</v>
      </c>
      <c r="Z22" s="400">
        <f t="shared" si="12"/>
        <v>0</v>
      </c>
      <c r="AA22" s="128"/>
      <c r="AB22" s="401">
        <f t="shared" si="13"/>
        <v>0</v>
      </c>
      <c r="AC22" s="402" t="str">
        <f t="shared" si="14"/>
        <v/>
      </c>
      <c r="AD22" s="52"/>
      <c r="AE22" s="397">
        <f>IFERROR(VLOOKUP($C22,'Proposed Rates'!$B:$J,AE$11,FALSE),0)</f>
        <v>0</v>
      </c>
      <c r="AF22" s="415">
        <f t="shared" si="15"/>
        <v>10000</v>
      </c>
      <c r="AG22" s="400">
        <f t="shared" si="16"/>
        <v>0</v>
      </c>
      <c r="AH22" s="128"/>
      <c r="AI22" s="401">
        <f t="shared" si="17"/>
        <v>0</v>
      </c>
      <c r="AJ22" s="402" t="str">
        <f t="shared" si="18"/>
        <v/>
      </c>
      <c r="AK22" s="52"/>
      <c r="AL22" s="397">
        <f>IFERROR(VLOOKUP($C22,'Proposed Rates'!$B:$J,AL$11,FALSE),0)</f>
        <v>0</v>
      </c>
      <c r="AM22" s="415">
        <f t="shared" si="19"/>
        <v>10000</v>
      </c>
      <c r="AN22" s="400">
        <f t="shared" si="20"/>
        <v>0</v>
      </c>
      <c r="AO22" s="128"/>
      <c r="AP22" s="401">
        <f t="shared" si="21"/>
        <v>0</v>
      </c>
      <c r="AQ22" s="402" t="str">
        <f t="shared" si="22"/>
        <v/>
      </c>
      <c r="AR22" s="403"/>
    </row>
    <row r="23" spans="1:44" ht="12.75" customHeight="1">
      <c r="A23" s="52"/>
      <c r="B23" s="404"/>
      <c r="C23" s="395" t="str">
        <f t="shared" si="0"/>
        <v>Large User.</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75" customHeight="1">
      <c r="A24" s="52"/>
      <c r="B24" s="404"/>
      <c r="C24" s="395" t="str">
        <f t="shared" si="0"/>
        <v>Large User.</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75" customHeight="1">
      <c r="A25" s="52"/>
      <c r="B25" s="404"/>
      <c r="C25" s="395" t="str">
        <f t="shared" si="0"/>
        <v>Large User.</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75" customHeight="1">
      <c r="A26" s="52"/>
      <c r="B26" s="484"/>
      <c r="C26" s="395" t="str">
        <f t="shared" si="0"/>
        <v>Large User.</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75" customHeight="1">
      <c r="A27" s="52"/>
      <c r="B27" s="404"/>
      <c r="C27" s="395" t="str">
        <f t="shared" si="0"/>
        <v>Large User.</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75" customHeight="1">
      <c r="A28" s="52"/>
      <c r="B28" s="404"/>
      <c r="C28" s="395" t="str">
        <f t="shared" si="0"/>
        <v>Large User.</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75" customHeight="1">
      <c r="A29" s="306"/>
      <c r="B29" s="405" t="s">
        <v>310</v>
      </c>
      <c r="C29" s="557"/>
      <c r="D29" s="406"/>
      <c r="E29" s="406"/>
      <c r="F29" s="407"/>
      <c r="G29" s="500"/>
      <c r="H29" s="409">
        <f>SUM(H15:H28)</f>
        <v>77273.929999999993</v>
      </c>
      <c r="I29" s="410"/>
      <c r="J29" s="407"/>
      <c r="K29" s="500"/>
      <c r="L29" s="409">
        <f>SUM(L15:L28)</f>
        <v>87270.93</v>
      </c>
      <c r="M29" s="410"/>
      <c r="N29" s="411">
        <f t="shared" si="5"/>
        <v>9997</v>
      </c>
      <c r="O29" s="412">
        <f t="shared" si="6"/>
        <v>0.12937092755603347</v>
      </c>
      <c r="P29" s="306"/>
      <c r="Q29" s="407"/>
      <c r="R29" s="500"/>
      <c r="S29" s="409">
        <f>SUM(S15:S28)</f>
        <v>103178.93</v>
      </c>
      <c r="T29" s="410"/>
      <c r="U29" s="411">
        <f t="shared" si="9"/>
        <v>15908</v>
      </c>
      <c r="V29" s="412">
        <f t="shared" si="10"/>
        <v>0.18228292055556186</v>
      </c>
      <c r="W29" s="306"/>
      <c r="X29" s="407"/>
      <c r="Y29" s="500"/>
      <c r="Z29" s="409">
        <f>SUM(Z15:Z28)</f>
        <v>113474.93</v>
      </c>
      <c r="AA29" s="410"/>
      <c r="AB29" s="411">
        <f t="shared" si="13"/>
        <v>10296</v>
      </c>
      <c r="AC29" s="412">
        <f t="shared" si="14"/>
        <v>9.9787815206069691E-2</v>
      </c>
      <c r="AD29" s="306"/>
      <c r="AE29" s="407"/>
      <c r="AF29" s="500"/>
      <c r="AG29" s="409">
        <f>SUM(AG15:AG28)</f>
        <v>121632.93</v>
      </c>
      <c r="AH29" s="410"/>
      <c r="AI29" s="411">
        <f t="shared" si="17"/>
        <v>8158</v>
      </c>
      <c r="AJ29" s="412">
        <f t="shared" si="18"/>
        <v>7.1892531680786242E-2</v>
      </c>
      <c r="AK29" s="306"/>
      <c r="AL29" s="407"/>
      <c r="AM29" s="500"/>
      <c r="AN29" s="409">
        <f>SUM(AN15:AN28)</f>
        <v>128847.93</v>
      </c>
      <c r="AO29" s="410"/>
      <c r="AP29" s="411">
        <f t="shared" si="21"/>
        <v>7215</v>
      </c>
      <c r="AQ29" s="412">
        <f t="shared" si="22"/>
        <v>5.9317817962619174E-2</v>
      </c>
      <c r="AR29" s="413"/>
    </row>
    <row r="30" spans="1:44" ht="12.75" customHeight="1">
      <c r="A30" s="52"/>
      <c r="B30" s="404" t="s">
        <v>234</v>
      </c>
      <c r="C30" s="395" t="str">
        <f t="shared" ref="C30:C38" si="23">D$6&amp;"."&amp;B30</f>
        <v>Large User.DVA Disposition Rate Rider Group 1 -2025</v>
      </c>
      <c r="D30" s="396" t="s">
        <v>377</v>
      </c>
      <c r="E30" s="320"/>
      <c r="F30" s="414">
        <f>IFERROR(VLOOKUP($C30,'Proposed Rates'!$B:$J,F$11,FALSE),0)</f>
        <v>6.3399999999999998E-2</v>
      </c>
      <c r="G30" s="415">
        <f t="shared" ref="G30:G36" si="24">IF($D30="Monthly",1,IF($D30="per KW",$F$10,IF($D30="per kWh",$F$9,0)))</f>
        <v>10000</v>
      </c>
      <c r="H30" s="400">
        <f t="shared" ref="H30:H38" si="25">G30*F30</f>
        <v>634</v>
      </c>
      <c r="I30" s="128"/>
      <c r="J30" s="414">
        <f>IFERROR(VLOOKUP($C30,'Proposed Rates'!$B:$J,J$11,FALSE),0)</f>
        <v>-0.2767</v>
      </c>
      <c r="K30" s="415">
        <f t="shared" ref="K30:K36" si="26">IF($D30="Monthly",1,IF($D30="per KW",$F$10,IF($D30="per kWh",$F$9,0)))</f>
        <v>10000</v>
      </c>
      <c r="L30" s="400">
        <f t="shared" ref="L30:L38" si="27">K30*J30</f>
        <v>-2767</v>
      </c>
      <c r="M30" s="128"/>
      <c r="N30" s="401">
        <f t="shared" si="5"/>
        <v>-3401</v>
      </c>
      <c r="O30" s="402">
        <f t="shared" si="6"/>
        <v>-5.3643533123028391</v>
      </c>
      <c r="P30" s="52"/>
      <c r="Q30" s="414">
        <f>IFERROR(VLOOKUP($C30,'Proposed Rates'!$B:$J,Q$11,FALSE),0)</f>
        <v>0</v>
      </c>
      <c r="R30" s="415">
        <f t="shared" ref="R30:R36" si="28">IF($D30="Monthly",1,IF($D30="per KW",$F$10,IF($D30="per kWh",$F$9,0)))</f>
        <v>10000</v>
      </c>
      <c r="S30" s="400">
        <f t="shared" ref="S30:S38" si="29">R30*Q30</f>
        <v>0</v>
      </c>
      <c r="T30" s="128"/>
      <c r="U30" s="401">
        <f t="shared" si="9"/>
        <v>2767</v>
      </c>
      <c r="V30" s="402">
        <f t="shared" si="10"/>
        <v>-1</v>
      </c>
      <c r="W30" s="52"/>
      <c r="X30" s="414">
        <f>IFERROR(VLOOKUP($C30,'Proposed Rates'!$B:$J,X$11,FALSE),0)</f>
        <v>0</v>
      </c>
      <c r="Y30" s="415">
        <f t="shared" ref="Y30:Y36" si="30">IF($D30="Monthly",1,IF($D30="per KW",$F$10,IF($D30="per kWh",$F$9,0)))</f>
        <v>10000</v>
      </c>
      <c r="Z30" s="400">
        <f t="shared" ref="Z30:Z38" si="31">Y30*X30</f>
        <v>0</v>
      </c>
      <c r="AA30" s="128"/>
      <c r="AB30" s="401">
        <f t="shared" si="13"/>
        <v>0</v>
      </c>
      <c r="AC30" s="402" t="str">
        <f t="shared" si="14"/>
        <v/>
      </c>
      <c r="AD30" s="52"/>
      <c r="AE30" s="414">
        <f>IFERROR(VLOOKUP($C30,'Proposed Rates'!$B:$J,AE$11,FALSE),0)</f>
        <v>0</v>
      </c>
      <c r="AF30" s="415">
        <f t="shared" ref="AF30:AF36" si="32">IF($D30="Monthly",1,IF($D30="per KW",$F$10,IF($D30="per kWh",$F$9,0)))</f>
        <v>10000</v>
      </c>
      <c r="AG30" s="400">
        <f t="shared" ref="AG30:AG38" si="33">AF30*AE30</f>
        <v>0</v>
      </c>
      <c r="AH30" s="128"/>
      <c r="AI30" s="401">
        <f t="shared" si="17"/>
        <v>0</v>
      </c>
      <c r="AJ30" s="402" t="str">
        <f t="shared" si="18"/>
        <v/>
      </c>
      <c r="AK30" s="52"/>
      <c r="AL30" s="414">
        <f>IFERROR(VLOOKUP($C30,'Proposed Rates'!$B:$J,AL$11,FALSE),0)</f>
        <v>0</v>
      </c>
      <c r="AM30" s="415">
        <f t="shared" ref="AM30:AM36" si="34">IF($D30="Monthly",1,IF($D30="per KW",$F$10,IF($D30="per kWh",$F$9,0)))</f>
        <v>10000</v>
      </c>
      <c r="AN30" s="400">
        <f t="shared" ref="AN30:AN38" si="35">AM30*AL30</f>
        <v>0</v>
      </c>
      <c r="AO30" s="128"/>
      <c r="AP30" s="401">
        <f t="shared" si="21"/>
        <v>0</v>
      </c>
      <c r="AQ30" s="402" t="str">
        <f t="shared" si="22"/>
        <v/>
      </c>
      <c r="AR30" s="403"/>
    </row>
    <row r="31" spans="1:44" ht="12.75" customHeight="1">
      <c r="A31" s="52"/>
      <c r="B31" s="484" t="s">
        <v>236</v>
      </c>
      <c r="C31" s="395" t="str">
        <f t="shared" si="23"/>
        <v>Large User.DVA Disposition Rate Rider Group 1 - 2024</v>
      </c>
      <c r="D31" s="396" t="s">
        <v>377</v>
      </c>
      <c r="E31" s="320"/>
      <c r="F31" s="397">
        <f>IFERROR(VLOOKUP($C31,'Proposed Rates'!$B:$J,F$11,FALSE),0)</f>
        <v>0</v>
      </c>
      <c r="G31" s="415">
        <f t="shared" si="24"/>
        <v>10000</v>
      </c>
      <c r="H31" s="400">
        <f t="shared" si="25"/>
        <v>0</v>
      </c>
      <c r="I31" s="128"/>
      <c r="J31" s="397">
        <f>IFERROR(VLOOKUP($C31,'Proposed Rates'!$B:$J,J$11,FALSE),0)</f>
        <v>0</v>
      </c>
      <c r="K31" s="415">
        <f t="shared" si="26"/>
        <v>10000</v>
      </c>
      <c r="L31" s="400">
        <f t="shared" si="27"/>
        <v>0</v>
      </c>
      <c r="M31" s="128"/>
      <c r="N31" s="401">
        <f t="shared" si="5"/>
        <v>0</v>
      </c>
      <c r="O31" s="402" t="str">
        <f t="shared" si="6"/>
        <v/>
      </c>
      <c r="P31" s="52"/>
      <c r="Q31" s="397">
        <f>IFERROR(VLOOKUP($C31,'Proposed Rates'!$B:$J,Q$11,FALSE),0)</f>
        <v>0</v>
      </c>
      <c r="R31" s="415">
        <f t="shared" si="28"/>
        <v>10000</v>
      </c>
      <c r="S31" s="400">
        <f t="shared" si="29"/>
        <v>0</v>
      </c>
      <c r="T31" s="128"/>
      <c r="U31" s="401">
        <f t="shared" si="9"/>
        <v>0</v>
      </c>
      <c r="V31" s="402" t="str">
        <f t="shared" si="10"/>
        <v/>
      </c>
      <c r="W31" s="52"/>
      <c r="X31" s="397">
        <f>IFERROR(VLOOKUP($C31,'Proposed Rates'!$B:$J,X$11,FALSE),0)</f>
        <v>0</v>
      </c>
      <c r="Y31" s="415">
        <f t="shared" si="30"/>
        <v>10000</v>
      </c>
      <c r="Z31" s="400">
        <f t="shared" si="31"/>
        <v>0</v>
      </c>
      <c r="AA31" s="128"/>
      <c r="AB31" s="401">
        <f t="shared" si="13"/>
        <v>0</v>
      </c>
      <c r="AC31" s="402" t="str">
        <f t="shared" si="14"/>
        <v/>
      </c>
      <c r="AD31" s="52"/>
      <c r="AE31" s="397">
        <f>IFERROR(VLOOKUP($C31,'Proposed Rates'!$B:$J,AE$11,FALSE),0)</f>
        <v>0</v>
      </c>
      <c r="AF31" s="415">
        <f t="shared" si="32"/>
        <v>10000</v>
      </c>
      <c r="AG31" s="400">
        <f t="shared" si="33"/>
        <v>0</v>
      </c>
      <c r="AH31" s="128"/>
      <c r="AI31" s="401">
        <f t="shared" si="17"/>
        <v>0</v>
      </c>
      <c r="AJ31" s="402" t="str">
        <f t="shared" si="18"/>
        <v/>
      </c>
      <c r="AK31" s="52"/>
      <c r="AL31" s="397">
        <f>IFERROR(VLOOKUP($C31,'Proposed Rates'!$B:$J,AL$11,FALSE),0)</f>
        <v>0</v>
      </c>
      <c r="AM31" s="415">
        <f t="shared" si="34"/>
        <v>10000</v>
      </c>
      <c r="AN31" s="400">
        <f t="shared" si="35"/>
        <v>0</v>
      </c>
      <c r="AO31" s="128"/>
      <c r="AP31" s="401">
        <f t="shared" si="21"/>
        <v>0</v>
      </c>
      <c r="AQ31" s="402" t="str">
        <f t="shared" si="22"/>
        <v/>
      </c>
      <c r="AR31" s="403"/>
    </row>
    <row r="32" spans="1:44" ht="12.75" customHeight="1">
      <c r="A32" s="52"/>
      <c r="B32" s="484" t="s">
        <v>244</v>
      </c>
      <c r="C32" s="395" t="str">
        <f t="shared" si="23"/>
        <v>Large User.CBR Class B Rate Riders</v>
      </c>
      <c r="D32" s="396" t="s">
        <v>308</v>
      </c>
      <c r="E32" s="320"/>
      <c r="F32" s="414">
        <f>IFERROR(VLOOKUP($C32,'Proposed Rates'!$B:$J,F$11,FALSE),0)</f>
        <v>2.0000000000000001E-4</v>
      </c>
      <c r="G32" s="415">
        <f t="shared" si="24"/>
        <v>4000000</v>
      </c>
      <c r="H32" s="400">
        <f t="shared" si="25"/>
        <v>800</v>
      </c>
      <c r="I32" s="485"/>
      <c r="J32" s="414">
        <f>IFERROR(VLOOKUP($C32,'Proposed Rates'!$B:$J,J$11,FALSE),0)</f>
        <v>4.0000000000000002E-4</v>
      </c>
      <c r="K32" s="415">
        <f t="shared" si="26"/>
        <v>4000000</v>
      </c>
      <c r="L32" s="400">
        <f t="shared" si="27"/>
        <v>1600</v>
      </c>
      <c r="M32" s="417"/>
      <c r="N32" s="401">
        <f t="shared" si="5"/>
        <v>800</v>
      </c>
      <c r="O32" s="402">
        <f t="shared" si="6"/>
        <v>1</v>
      </c>
      <c r="P32" s="52"/>
      <c r="Q32" s="414">
        <f>IFERROR(VLOOKUP($C32,'Proposed Rates'!$B:$J,Q$11,FALSE),0)</f>
        <v>0</v>
      </c>
      <c r="R32" s="415">
        <f t="shared" si="28"/>
        <v>4000000</v>
      </c>
      <c r="S32" s="400">
        <f t="shared" si="29"/>
        <v>0</v>
      </c>
      <c r="T32" s="417"/>
      <c r="U32" s="401">
        <f t="shared" si="9"/>
        <v>-1600</v>
      </c>
      <c r="V32" s="402">
        <f t="shared" si="10"/>
        <v>-1</v>
      </c>
      <c r="W32" s="52"/>
      <c r="X32" s="414">
        <f>IFERROR(VLOOKUP($C32,'Proposed Rates'!$B:$J,X$11,FALSE),0)</f>
        <v>0</v>
      </c>
      <c r="Y32" s="415">
        <f t="shared" si="30"/>
        <v>4000000</v>
      </c>
      <c r="Z32" s="400">
        <f t="shared" si="31"/>
        <v>0</v>
      </c>
      <c r="AA32" s="128"/>
      <c r="AB32" s="401">
        <f t="shared" si="13"/>
        <v>0</v>
      </c>
      <c r="AC32" s="402" t="str">
        <f t="shared" si="14"/>
        <v/>
      </c>
      <c r="AD32" s="52"/>
      <c r="AE32" s="414">
        <f>IFERROR(VLOOKUP($C32,'Proposed Rates'!$B:$J,AE$11,FALSE),0)</f>
        <v>0</v>
      </c>
      <c r="AF32" s="415">
        <f t="shared" si="32"/>
        <v>4000000</v>
      </c>
      <c r="AG32" s="400">
        <f t="shared" si="33"/>
        <v>0</v>
      </c>
      <c r="AH32" s="128"/>
      <c r="AI32" s="401">
        <f t="shared" si="17"/>
        <v>0</v>
      </c>
      <c r="AJ32" s="402" t="str">
        <f t="shared" si="18"/>
        <v/>
      </c>
      <c r="AK32" s="52"/>
      <c r="AL32" s="414">
        <f>IFERROR(VLOOKUP($C32,'Proposed Rates'!$B:$J,AL$11,FALSE),0)</f>
        <v>0</v>
      </c>
      <c r="AM32" s="415">
        <f t="shared" si="34"/>
        <v>4000000</v>
      </c>
      <c r="AN32" s="400">
        <f t="shared" si="35"/>
        <v>0</v>
      </c>
      <c r="AO32" s="417"/>
      <c r="AP32" s="401">
        <f t="shared" si="21"/>
        <v>0</v>
      </c>
      <c r="AQ32" s="402" t="str">
        <f t="shared" si="22"/>
        <v/>
      </c>
      <c r="AR32" s="403"/>
    </row>
    <row r="33" spans="1:44" ht="12.75" customHeight="1">
      <c r="A33" s="52"/>
      <c r="B33" s="484" t="s">
        <v>249</v>
      </c>
      <c r="C33" s="395" t="str">
        <f t="shared" si="23"/>
        <v>Large User.GA Rate Riders</v>
      </c>
      <c r="D33" s="396" t="s">
        <v>308</v>
      </c>
      <c r="E33" s="320"/>
      <c r="F33" s="414">
        <f>IFERROR(VLOOKUP($C33,'Proposed Rates'!$B:$J,F$11,FALSE),0)</f>
        <v>3.8999999999999998E-3</v>
      </c>
      <c r="G33" s="415">
        <f t="shared" si="24"/>
        <v>4000000</v>
      </c>
      <c r="H33" s="400">
        <f t="shared" si="25"/>
        <v>15600</v>
      </c>
      <c r="I33" s="485"/>
      <c r="J33" s="414">
        <f>IFERROR(VLOOKUP($C33,'Proposed Rates'!$B:$J,J$11,FALSE),0)</f>
        <v>4.4999999999999997E-3</v>
      </c>
      <c r="K33" s="415">
        <f t="shared" si="26"/>
        <v>4000000</v>
      </c>
      <c r="L33" s="400">
        <f t="shared" si="27"/>
        <v>18000</v>
      </c>
      <c r="M33" s="417"/>
      <c r="N33" s="401">
        <f t="shared" si="5"/>
        <v>2400</v>
      </c>
      <c r="O33" s="402">
        <f t="shared" si="6"/>
        <v>0.15384615384615385</v>
      </c>
      <c r="P33" s="52"/>
      <c r="Q33" s="414">
        <f>IFERROR(VLOOKUP($C33,'Proposed Rates'!$B:$J,Q$11,FALSE),0)</f>
        <v>0</v>
      </c>
      <c r="R33" s="415">
        <f t="shared" si="28"/>
        <v>4000000</v>
      </c>
      <c r="S33" s="400">
        <f t="shared" si="29"/>
        <v>0</v>
      </c>
      <c r="T33" s="417"/>
      <c r="U33" s="401">
        <f t="shared" si="9"/>
        <v>-18000</v>
      </c>
      <c r="V33" s="402">
        <f t="shared" si="10"/>
        <v>-1</v>
      </c>
      <c r="W33" s="52"/>
      <c r="X33" s="414">
        <f>IFERROR(VLOOKUP($C33,'Proposed Rates'!$B:$J,X$11,FALSE),0)</f>
        <v>0</v>
      </c>
      <c r="Y33" s="415">
        <f t="shared" si="30"/>
        <v>4000000</v>
      </c>
      <c r="Z33" s="400">
        <f t="shared" si="31"/>
        <v>0</v>
      </c>
      <c r="AA33" s="417"/>
      <c r="AB33" s="401">
        <f t="shared" si="13"/>
        <v>0</v>
      </c>
      <c r="AC33" s="402" t="str">
        <f t="shared" si="14"/>
        <v/>
      </c>
      <c r="AD33" s="52"/>
      <c r="AE33" s="414">
        <f>IFERROR(VLOOKUP($C33,'Proposed Rates'!$B:$J,AE$11,FALSE),0)</f>
        <v>0</v>
      </c>
      <c r="AF33" s="415">
        <f t="shared" si="32"/>
        <v>4000000</v>
      </c>
      <c r="AG33" s="400">
        <f t="shared" si="33"/>
        <v>0</v>
      </c>
      <c r="AH33" s="417"/>
      <c r="AI33" s="401">
        <f t="shared" si="17"/>
        <v>0</v>
      </c>
      <c r="AJ33" s="402" t="str">
        <f t="shared" si="18"/>
        <v/>
      </c>
      <c r="AK33" s="52"/>
      <c r="AL33" s="414">
        <f>IFERROR(VLOOKUP($C33,'Proposed Rates'!$B:$J,AL$11,FALSE),0)</f>
        <v>0</v>
      </c>
      <c r="AM33" s="415">
        <f t="shared" si="34"/>
        <v>4000000</v>
      </c>
      <c r="AN33" s="400">
        <f t="shared" si="35"/>
        <v>0</v>
      </c>
      <c r="AO33" s="417"/>
      <c r="AP33" s="401">
        <f t="shared" si="21"/>
        <v>0</v>
      </c>
      <c r="AQ33" s="402" t="str">
        <f t="shared" si="22"/>
        <v/>
      </c>
      <c r="AR33" s="403"/>
    </row>
    <row r="34" spans="1:44" ht="12.75" customHeight="1">
      <c r="A34" s="52"/>
      <c r="B34" s="484" t="s">
        <v>252</v>
      </c>
      <c r="C34" s="395" t="str">
        <f t="shared" si="23"/>
        <v>Large User.Total Deferral/Variance Account Rate RidersYr2</v>
      </c>
      <c r="D34" s="396" t="s">
        <v>377</v>
      </c>
      <c r="E34" s="320"/>
      <c r="F34" s="397">
        <f>IFERROR(VLOOKUP($C34,'Proposed Rates'!$B:$J,F$11,FALSE),0)</f>
        <v>0</v>
      </c>
      <c r="G34" s="415">
        <f t="shared" si="24"/>
        <v>10000</v>
      </c>
      <c r="H34" s="400">
        <f t="shared" si="25"/>
        <v>0</v>
      </c>
      <c r="I34" s="485"/>
      <c r="J34" s="397">
        <f>IFERROR(VLOOKUP($C34,'Proposed Rates'!$B:$J,J$11,FALSE),0)</f>
        <v>0</v>
      </c>
      <c r="K34" s="415">
        <f t="shared" si="26"/>
        <v>10000</v>
      </c>
      <c r="L34" s="400">
        <f t="shared" si="27"/>
        <v>0</v>
      </c>
      <c r="M34" s="417"/>
      <c r="N34" s="401">
        <f t="shared" si="5"/>
        <v>0</v>
      </c>
      <c r="O34" s="402" t="str">
        <f t="shared" si="6"/>
        <v/>
      </c>
      <c r="P34" s="52"/>
      <c r="Q34" s="397">
        <f>IFERROR(VLOOKUP($C34,'Proposed Rates'!$B:$J,Q$11,FALSE),0)</f>
        <v>0</v>
      </c>
      <c r="R34" s="415">
        <f t="shared" si="28"/>
        <v>10000</v>
      </c>
      <c r="S34" s="400">
        <f t="shared" si="29"/>
        <v>0</v>
      </c>
      <c r="T34" s="417"/>
      <c r="U34" s="401">
        <f t="shared" si="9"/>
        <v>0</v>
      </c>
      <c r="V34" s="402" t="str">
        <f t="shared" si="10"/>
        <v/>
      </c>
      <c r="W34" s="52"/>
      <c r="X34" s="397">
        <f>IFERROR(VLOOKUP($C34,'Proposed Rates'!$B:$J,X$11,FALSE),0)</f>
        <v>0</v>
      </c>
      <c r="Y34" s="415">
        <f t="shared" si="30"/>
        <v>10000</v>
      </c>
      <c r="Z34" s="400">
        <f t="shared" si="31"/>
        <v>0</v>
      </c>
      <c r="AA34" s="417"/>
      <c r="AB34" s="401">
        <f t="shared" si="13"/>
        <v>0</v>
      </c>
      <c r="AC34" s="402" t="str">
        <f t="shared" si="14"/>
        <v/>
      </c>
      <c r="AD34" s="52"/>
      <c r="AE34" s="397">
        <f>IFERROR(VLOOKUP($C34,'Proposed Rates'!$B:$J,AE$11,FALSE),0)</f>
        <v>0</v>
      </c>
      <c r="AF34" s="415">
        <f t="shared" si="32"/>
        <v>10000</v>
      </c>
      <c r="AG34" s="400">
        <f t="shared" si="33"/>
        <v>0</v>
      </c>
      <c r="AH34" s="417"/>
      <c r="AI34" s="401">
        <f t="shared" si="17"/>
        <v>0</v>
      </c>
      <c r="AJ34" s="402" t="str">
        <f t="shared" si="18"/>
        <v/>
      </c>
      <c r="AK34" s="52"/>
      <c r="AL34" s="397">
        <f>IFERROR(VLOOKUP($C34,'Proposed Rates'!$B:$J,AL$11,FALSE),0)</f>
        <v>0</v>
      </c>
      <c r="AM34" s="415">
        <f t="shared" si="34"/>
        <v>10000</v>
      </c>
      <c r="AN34" s="400">
        <f t="shared" si="35"/>
        <v>0</v>
      </c>
      <c r="AO34" s="417"/>
      <c r="AP34" s="401">
        <f t="shared" si="21"/>
        <v>0</v>
      </c>
      <c r="AQ34" s="402" t="str">
        <f t="shared" si="22"/>
        <v/>
      </c>
      <c r="AR34" s="403"/>
    </row>
    <row r="35" spans="1:44" ht="12.75" customHeight="1">
      <c r="A35" s="52"/>
      <c r="B35" s="484" t="s">
        <v>254</v>
      </c>
      <c r="C35" s="395" t="str">
        <f t="shared" si="23"/>
        <v>Large User.Total Deferral/Variance Account Rate Riders</v>
      </c>
      <c r="D35" s="396" t="s">
        <v>377</v>
      </c>
      <c r="E35" s="320"/>
      <c r="F35" s="397">
        <f>IFERROR(VLOOKUP($C35,'Proposed Rates'!$B:$J,F$11,FALSE),0)</f>
        <v>0</v>
      </c>
      <c r="G35" s="415">
        <f t="shared" si="24"/>
        <v>10000</v>
      </c>
      <c r="H35" s="400">
        <f t="shared" si="25"/>
        <v>0</v>
      </c>
      <c r="I35" s="128"/>
      <c r="J35" s="397">
        <f>IFERROR(VLOOKUP($C35,'Proposed Rates'!$B:$J,J$11,FALSE),0)</f>
        <v>0</v>
      </c>
      <c r="K35" s="415">
        <f t="shared" si="26"/>
        <v>10000</v>
      </c>
      <c r="L35" s="400">
        <f t="shared" si="27"/>
        <v>0</v>
      </c>
      <c r="M35" s="128"/>
      <c r="N35" s="401">
        <f t="shared" si="5"/>
        <v>0</v>
      </c>
      <c r="O35" s="402" t="str">
        <f t="shared" si="6"/>
        <v/>
      </c>
      <c r="P35" s="52"/>
      <c r="Q35" s="397">
        <f>IFERROR(VLOOKUP($C35,'Proposed Rates'!$B:$J,Q$11,FALSE),0)</f>
        <v>0</v>
      </c>
      <c r="R35" s="415">
        <f t="shared" si="28"/>
        <v>10000</v>
      </c>
      <c r="S35" s="400">
        <f t="shared" si="29"/>
        <v>0</v>
      </c>
      <c r="T35" s="128"/>
      <c r="U35" s="401">
        <f t="shared" si="9"/>
        <v>0</v>
      </c>
      <c r="V35" s="402" t="str">
        <f t="shared" si="10"/>
        <v/>
      </c>
      <c r="W35" s="52"/>
      <c r="X35" s="397">
        <f>IFERROR(VLOOKUP($C35,'Proposed Rates'!$B:$J,X$11,FALSE),0)</f>
        <v>0</v>
      </c>
      <c r="Y35" s="415">
        <f t="shared" si="30"/>
        <v>10000</v>
      </c>
      <c r="Z35" s="400">
        <f t="shared" si="31"/>
        <v>0</v>
      </c>
      <c r="AA35" s="128"/>
      <c r="AB35" s="401">
        <f t="shared" si="13"/>
        <v>0</v>
      </c>
      <c r="AC35" s="402" t="str">
        <f t="shared" si="14"/>
        <v/>
      </c>
      <c r="AD35" s="52"/>
      <c r="AE35" s="397">
        <f>IFERROR(VLOOKUP($C35,'Proposed Rates'!$B:$J,AE$11,FALSE),0)</f>
        <v>0</v>
      </c>
      <c r="AF35" s="415">
        <f t="shared" si="32"/>
        <v>10000</v>
      </c>
      <c r="AG35" s="400">
        <f t="shared" si="33"/>
        <v>0</v>
      </c>
      <c r="AH35" s="128"/>
      <c r="AI35" s="401">
        <f t="shared" si="17"/>
        <v>0</v>
      </c>
      <c r="AJ35" s="402" t="str">
        <f t="shared" si="18"/>
        <v/>
      </c>
      <c r="AK35" s="52"/>
      <c r="AL35" s="397">
        <f>IFERROR(VLOOKUP($C35,'Proposed Rates'!$B:$J,AL$11,FALSE),0)</f>
        <v>0</v>
      </c>
      <c r="AM35" s="415">
        <f t="shared" si="34"/>
        <v>10000</v>
      </c>
      <c r="AN35" s="400">
        <f t="shared" si="35"/>
        <v>0</v>
      </c>
      <c r="AO35" s="128"/>
      <c r="AP35" s="401">
        <f t="shared" si="21"/>
        <v>0</v>
      </c>
      <c r="AQ35" s="402" t="str">
        <f t="shared" si="22"/>
        <v/>
      </c>
      <c r="AR35" s="403"/>
    </row>
    <row r="36" spans="1:44" ht="12.75" customHeight="1">
      <c r="A36" s="52"/>
      <c r="B36" s="320" t="s">
        <v>269</v>
      </c>
      <c r="C36" s="395" t="str">
        <f t="shared" si="23"/>
        <v>Large User.Low Voltage Service Charge</v>
      </c>
      <c r="D36" s="396" t="s">
        <v>377</v>
      </c>
      <c r="E36" s="320"/>
      <c r="F36" s="418">
        <f>IFERROR(VLOOKUP($C36,'Proposed Rates'!$B:$J,F$11,FALSE),0)</f>
        <v>2.4819999999999998E-2</v>
      </c>
      <c r="G36" s="415">
        <f t="shared" si="24"/>
        <v>10000</v>
      </c>
      <c r="H36" s="400">
        <f t="shared" si="25"/>
        <v>248.2</v>
      </c>
      <c r="I36" s="128"/>
      <c r="J36" s="418">
        <f>IFERROR(VLOOKUP($C36,'Proposed Rates'!$B:$J,J$11,FALSE),0)</f>
        <v>2.7179999999999999E-2</v>
      </c>
      <c r="K36" s="415">
        <f t="shared" si="26"/>
        <v>10000</v>
      </c>
      <c r="L36" s="400">
        <f t="shared" si="27"/>
        <v>271.8</v>
      </c>
      <c r="M36" s="128"/>
      <c r="N36" s="401">
        <f t="shared" si="5"/>
        <v>23.600000000000023</v>
      </c>
      <c r="O36" s="402">
        <f t="shared" si="6"/>
        <v>9.5084609186140312E-2</v>
      </c>
      <c r="P36" s="52"/>
      <c r="Q36" s="418">
        <f>IFERROR(VLOOKUP($C36,'Proposed Rates'!$B:$J,Q$11,FALSE),0)</f>
        <v>2.7890000000000002E-2</v>
      </c>
      <c r="R36" s="415">
        <f t="shared" si="28"/>
        <v>10000</v>
      </c>
      <c r="S36" s="400">
        <f t="shared" si="29"/>
        <v>278.90000000000003</v>
      </c>
      <c r="T36" s="128"/>
      <c r="U36" s="401">
        <f t="shared" si="9"/>
        <v>7.1000000000000227</v>
      </c>
      <c r="V36" s="402">
        <f t="shared" si="10"/>
        <v>2.6122148638705014E-2</v>
      </c>
      <c r="W36" s="52"/>
      <c r="X36" s="418">
        <f>IFERROR(VLOOKUP($C36,'Proposed Rates'!$B:$J,X$11,FALSE),0)</f>
        <v>2.8250000000000001E-2</v>
      </c>
      <c r="Y36" s="415">
        <f t="shared" si="30"/>
        <v>10000</v>
      </c>
      <c r="Z36" s="400">
        <f t="shared" si="31"/>
        <v>282.5</v>
      </c>
      <c r="AA36" s="128"/>
      <c r="AB36" s="401">
        <f t="shared" si="13"/>
        <v>3.5999999999999659</v>
      </c>
      <c r="AC36" s="402">
        <f t="shared" si="14"/>
        <v>1.2907852276801596E-2</v>
      </c>
      <c r="AD36" s="52"/>
      <c r="AE36" s="418">
        <f>IFERROR(VLOOKUP($C36,'Proposed Rates'!$B:$J,AE$11,FALSE),0)</f>
        <v>2.8719999999999999E-2</v>
      </c>
      <c r="AF36" s="415">
        <f t="shared" si="32"/>
        <v>10000</v>
      </c>
      <c r="AG36" s="400">
        <f t="shared" si="33"/>
        <v>287.2</v>
      </c>
      <c r="AH36" s="128"/>
      <c r="AI36" s="401">
        <f t="shared" si="17"/>
        <v>4.6999999999999886</v>
      </c>
      <c r="AJ36" s="402">
        <f t="shared" si="18"/>
        <v>1.6637168141592881E-2</v>
      </c>
      <c r="AK36" s="52"/>
      <c r="AL36" s="418">
        <f>IFERROR(VLOOKUP($C36,'Proposed Rates'!$B:$J,AL$11,FALSE),0)</f>
        <v>2.9219999999999999E-2</v>
      </c>
      <c r="AM36" s="415">
        <f t="shared" si="34"/>
        <v>10000</v>
      </c>
      <c r="AN36" s="400">
        <f t="shared" si="35"/>
        <v>292.2</v>
      </c>
      <c r="AO36" s="128"/>
      <c r="AP36" s="401">
        <f t="shared" si="21"/>
        <v>5</v>
      </c>
      <c r="AQ36" s="402">
        <f t="shared" si="22"/>
        <v>1.7409470752089137E-2</v>
      </c>
      <c r="AR36" s="403"/>
    </row>
    <row r="37" spans="1:44" ht="12.75" customHeight="1">
      <c r="A37" s="52"/>
      <c r="B37" s="320" t="s">
        <v>312</v>
      </c>
      <c r="C37" s="395" t="str">
        <f t="shared" si="23"/>
        <v>Large User.Line Losses on Cost of Power</v>
      </c>
      <c r="D37" s="396" t="s">
        <v>308</v>
      </c>
      <c r="E37" s="320"/>
      <c r="F37" s="558"/>
      <c r="G37" s="507">
        <f>$F$9*(1+F$65)-$F$9</f>
        <v>20400.000000000466</v>
      </c>
      <c r="H37" s="400">
        <f t="shared" si="25"/>
        <v>0</v>
      </c>
      <c r="I37" s="128"/>
      <c r="J37" s="558"/>
      <c r="K37" s="507">
        <f>$F$9*(1+J$65)-$F$9</f>
        <v>19199.999999999534</v>
      </c>
      <c r="L37" s="400">
        <f t="shared" si="27"/>
        <v>0</v>
      </c>
      <c r="M37" s="128"/>
      <c r="N37" s="401">
        <f t="shared" si="5"/>
        <v>0</v>
      </c>
      <c r="O37" s="402" t="str">
        <f t="shared" si="6"/>
        <v/>
      </c>
      <c r="P37" s="52"/>
      <c r="Q37" s="558"/>
      <c r="R37" s="507">
        <f>$F$9*(1+Q$65)-$F$9</f>
        <v>19199.999999999534</v>
      </c>
      <c r="S37" s="400">
        <f t="shared" si="29"/>
        <v>0</v>
      </c>
      <c r="T37" s="128"/>
      <c r="U37" s="401">
        <f t="shared" si="9"/>
        <v>0</v>
      </c>
      <c r="V37" s="402" t="str">
        <f t="shared" si="10"/>
        <v/>
      </c>
      <c r="W37" s="52"/>
      <c r="X37" s="558"/>
      <c r="Y37" s="507">
        <f>$F$9*(1+X$65)-$F$9</f>
        <v>19199.999999999534</v>
      </c>
      <c r="Z37" s="400">
        <f t="shared" si="31"/>
        <v>0</v>
      </c>
      <c r="AA37" s="128"/>
      <c r="AB37" s="401">
        <f t="shared" si="13"/>
        <v>0</v>
      </c>
      <c r="AC37" s="402" t="str">
        <f t="shared" si="14"/>
        <v/>
      </c>
      <c r="AD37" s="52"/>
      <c r="AE37" s="558"/>
      <c r="AF37" s="507">
        <f>$F$9*(1+AE$65)-$F$9</f>
        <v>19199.999999999534</v>
      </c>
      <c r="AG37" s="400">
        <f t="shared" si="33"/>
        <v>0</v>
      </c>
      <c r="AH37" s="128"/>
      <c r="AI37" s="401">
        <f t="shared" si="17"/>
        <v>0</v>
      </c>
      <c r="AJ37" s="402" t="str">
        <f t="shared" si="18"/>
        <v/>
      </c>
      <c r="AK37" s="52"/>
      <c r="AL37" s="558"/>
      <c r="AM37" s="507">
        <f>$F$9*(1+AL$65)-$F$9</f>
        <v>19199.999999999534</v>
      </c>
      <c r="AN37" s="400">
        <f t="shared" si="35"/>
        <v>0</v>
      </c>
      <c r="AO37" s="128"/>
      <c r="AP37" s="401">
        <f t="shared" si="21"/>
        <v>0</v>
      </c>
      <c r="AQ37" s="402" t="str">
        <f t="shared" si="22"/>
        <v/>
      </c>
      <c r="AR37" s="403"/>
    </row>
    <row r="38" spans="1:44" ht="12.75" customHeight="1">
      <c r="A38" s="52"/>
      <c r="B38" s="320" t="s">
        <v>271</v>
      </c>
      <c r="C38" s="395" t="str">
        <f t="shared" si="23"/>
        <v>Large User.Smart Meter Entity Charge</v>
      </c>
      <c r="D38" s="396" t="s">
        <v>306</v>
      </c>
      <c r="E38" s="320"/>
      <c r="F38" s="397">
        <f>IFERROR(VLOOKUP($C38,'Proposed Rates'!$B:$J,F$11,FALSE),0)</f>
        <v>0</v>
      </c>
      <c r="G38" s="415">
        <f>IF($D38="Monthly",1,IF($D38="per KW",$F$10,IF($D38="per kWh",$F$9,0)))</f>
        <v>1</v>
      </c>
      <c r="H38" s="400">
        <f t="shared" si="25"/>
        <v>0</v>
      </c>
      <c r="I38" s="128"/>
      <c r="J38" s="397">
        <f>IFERROR(VLOOKUP($C38,'Proposed Rates'!$B:$J,J$11,FALSE),0)</f>
        <v>0</v>
      </c>
      <c r="K38" s="415">
        <f>IF($D38="Monthly",1,IF($D38="per KW",$F$10,IF($D38="per kWh",$F$9,0)))</f>
        <v>1</v>
      </c>
      <c r="L38" s="400">
        <f t="shared" si="27"/>
        <v>0</v>
      </c>
      <c r="M38" s="128"/>
      <c r="N38" s="401">
        <f t="shared" si="5"/>
        <v>0</v>
      </c>
      <c r="O38" s="402" t="str">
        <f t="shared" si="6"/>
        <v/>
      </c>
      <c r="P38" s="52"/>
      <c r="Q38" s="397">
        <f>IFERROR(VLOOKUP($C38,'Proposed Rates'!$B:$J,Q$11,FALSE),0)</f>
        <v>0</v>
      </c>
      <c r="R38" s="415">
        <f>IF($D38="Monthly",1,IF($D38="per KW",$F$10,IF($D38="per kWh",$F$9,0)))</f>
        <v>1</v>
      </c>
      <c r="S38" s="400">
        <f t="shared" si="29"/>
        <v>0</v>
      </c>
      <c r="T38" s="128"/>
      <c r="U38" s="401">
        <f t="shared" si="9"/>
        <v>0</v>
      </c>
      <c r="V38" s="402" t="str">
        <f t="shared" si="10"/>
        <v/>
      </c>
      <c r="W38" s="52"/>
      <c r="X38" s="397">
        <f>IFERROR(VLOOKUP($C38,'Proposed Rates'!$B:$J,X$11,FALSE),0)</f>
        <v>0</v>
      </c>
      <c r="Y38" s="415">
        <f>IF($D38="Monthly",1,IF($D38="per KW",$F$10,IF($D38="per kWh",$F$9,0)))</f>
        <v>1</v>
      </c>
      <c r="Z38" s="400">
        <f t="shared" si="31"/>
        <v>0</v>
      </c>
      <c r="AA38" s="128"/>
      <c r="AB38" s="401">
        <f t="shared" si="13"/>
        <v>0</v>
      </c>
      <c r="AC38" s="402" t="str">
        <f t="shared" si="14"/>
        <v/>
      </c>
      <c r="AD38" s="52"/>
      <c r="AE38" s="397">
        <f>IFERROR(VLOOKUP($C38,'Proposed Rates'!$B:$J,AE$11,FALSE),0)</f>
        <v>0</v>
      </c>
      <c r="AF38" s="415">
        <f>IF($D38="Monthly",1,IF($D38="per KW",$F$10,IF($D38="per kWh",$F$9,0)))</f>
        <v>1</v>
      </c>
      <c r="AG38" s="400">
        <f t="shared" si="33"/>
        <v>0</v>
      </c>
      <c r="AH38" s="128"/>
      <c r="AI38" s="401">
        <f t="shared" si="17"/>
        <v>0</v>
      </c>
      <c r="AJ38" s="402" t="str">
        <f t="shared" si="18"/>
        <v/>
      </c>
      <c r="AK38" s="52"/>
      <c r="AL38" s="397">
        <f>IFERROR(VLOOKUP($C38,'Proposed Rates'!$B:$J,AL$11,FALSE),0)</f>
        <v>0</v>
      </c>
      <c r="AM38" s="415">
        <f>IF($D38="Monthly",1,IF($D38="per KW",$F$10,IF($D38="per kWh",$F$9,0)))</f>
        <v>1</v>
      </c>
      <c r="AN38" s="400">
        <f t="shared" si="35"/>
        <v>0</v>
      </c>
      <c r="AO38" s="128"/>
      <c r="AP38" s="401">
        <f t="shared" si="21"/>
        <v>0</v>
      </c>
      <c r="AQ38" s="402" t="str">
        <f t="shared" si="22"/>
        <v/>
      </c>
      <c r="AR38" s="403"/>
    </row>
    <row r="39" spans="1:44" ht="12.75" customHeight="1">
      <c r="A39" s="52"/>
      <c r="B39" s="486" t="s">
        <v>313</v>
      </c>
      <c r="C39" s="559"/>
      <c r="D39" s="422"/>
      <c r="E39" s="422"/>
      <c r="F39" s="423"/>
      <c r="G39" s="501"/>
      <c r="H39" s="409">
        <f>SUM(H30:H38)+H29</f>
        <v>94556.12999999999</v>
      </c>
      <c r="I39" s="425"/>
      <c r="J39" s="423"/>
      <c r="K39" s="501"/>
      <c r="L39" s="409">
        <f>SUM(L30:L38)+L29</f>
        <v>104375.73</v>
      </c>
      <c r="M39" s="425"/>
      <c r="N39" s="411">
        <f t="shared" si="5"/>
        <v>9819.6000000000058</v>
      </c>
      <c r="O39" s="412">
        <f t="shared" si="6"/>
        <v>0.10384942784777684</v>
      </c>
      <c r="P39" s="52"/>
      <c r="Q39" s="423"/>
      <c r="R39" s="501"/>
      <c r="S39" s="409">
        <f>SUM(S30:S38)+S29</f>
        <v>103457.82999999999</v>
      </c>
      <c r="T39" s="425"/>
      <c r="U39" s="411">
        <f t="shared" si="9"/>
        <v>-917.90000000000873</v>
      </c>
      <c r="V39" s="412">
        <f t="shared" si="10"/>
        <v>-8.7941899903359599E-3</v>
      </c>
      <c r="W39" s="52"/>
      <c r="X39" s="423"/>
      <c r="Y39" s="501"/>
      <c r="Z39" s="409">
        <f>SUM(Z30:Z38)+Z29</f>
        <v>113757.43</v>
      </c>
      <c r="AA39" s="425"/>
      <c r="AB39" s="411">
        <f t="shared" si="13"/>
        <v>10299.600000000006</v>
      </c>
      <c r="AC39" s="412">
        <f t="shared" si="14"/>
        <v>9.9553605560835826E-2</v>
      </c>
      <c r="AD39" s="52"/>
      <c r="AE39" s="423"/>
      <c r="AF39" s="501"/>
      <c r="AG39" s="409">
        <f>SUM(AG30:AG38)+AG29</f>
        <v>121920.12999999999</v>
      </c>
      <c r="AH39" s="425"/>
      <c r="AI39" s="411">
        <f t="shared" si="17"/>
        <v>8162.6999999999971</v>
      </c>
      <c r="AJ39" s="412">
        <f t="shared" si="18"/>
        <v>7.175531303757475E-2</v>
      </c>
      <c r="AK39" s="52"/>
      <c r="AL39" s="423"/>
      <c r="AM39" s="501"/>
      <c r="AN39" s="409">
        <f>SUM(AN30:AN38)+AN29</f>
        <v>129140.12999999999</v>
      </c>
      <c r="AO39" s="425"/>
      <c r="AP39" s="411">
        <f t="shared" si="21"/>
        <v>7220</v>
      </c>
      <c r="AQ39" s="412">
        <f t="shared" si="22"/>
        <v>5.9219096961264726E-2</v>
      </c>
      <c r="AR39" s="413"/>
    </row>
    <row r="40" spans="1:44" ht="12.75" customHeight="1">
      <c r="A40" s="52"/>
      <c r="B40" s="128" t="s">
        <v>255</v>
      </c>
      <c r="C40" s="395" t="str">
        <f t="shared" ref="C40:C41" si="36">D$6&amp;"."&amp;B40</f>
        <v>Large User.RTSR - Network</v>
      </c>
      <c r="D40" s="426" t="s">
        <v>377</v>
      </c>
      <c r="E40" s="128"/>
      <c r="F40" s="414">
        <f>IFERROR(VLOOKUP($C40,'Proposed Rates'!$B:$J,F$11,FALSE),0)</f>
        <v>5.5801999999999996</v>
      </c>
      <c r="G40" s="415">
        <f t="shared" ref="G40:G41" si="37">IF($D40="Monthly",1,IF($D40="per KW",$F$10,IF($D40="per kWh",$F$9,0)))</f>
        <v>10000</v>
      </c>
      <c r="H40" s="400">
        <f t="shared" ref="H40:H41" si="38">G40*F40</f>
        <v>55801.999999999993</v>
      </c>
      <c r="I40" s="128"/>
      <c r="J40" s="414">
        <f>IFERROR(VLOOKUP($C40,'Proposed Rates'!$B:$J,J$11,FALSE),0)</f>
        <v>5.3339999999999996</v>
      </c>
      <c r="K40" s="415">
        <f t="shared" ref="K40:K41" si="39">IF($D40="Monthly",1,IF($D40="per KW",$F$10,IF($D40="per kWh",$F$9,0)))</f>
        <v>10000</v>
      </c>
      <c r="L40" s="400">
        <f t="shared" ref="L40:L41" si="40">K40*J40</f>
        <v>53339.999999999993</v>
      </c>
      <c r="M40" s="128"/>
      <c r="N40" s="401">
        <f t="shared" si="5"/>
        <v>-2462</v>
      </c>
      <c r="O40" s="402">
        <f t="shared" si="6"/>
        <v>-4.4120282427153157E-2</v>
      </c>
      <c r="P40" s="52"/>
      <c r="Q40" s="414">
        <f>IFERROR(VLOOKUP($C40,'Proposed Rates'!$B:$J,Q$11,FALSE),0)</f>
        <v>5.3339999999999996</v>
      </c>
      <c r="R40" s="415">
        <f t="shared" ref="R40:R41" si="41">IF($D40="Monthly",1,IF($D40="per KW",$F$10,IF($D40="per kWh",$F$9,0)))</f>
        <v>10000</v>
      </c>
      <c r="S40" s="400">
        <f t="shared" ref="S40:S41" si="42">R40*Q40</f>
        <v>53339.999999999993</v>
      </c>
      <c r="T40" s="128"/>
      <c r="U40" s="401">
        <f t="shared" si="9"/>
        <v>0</v>
      </c>
      <c r="V40" s="402">
        <f t="shared" si="10"/>
        <v>0</v>
      </c>
      <c r="W40" s="52"/>
      <c r="X40" s="414">
        <f>IFERROR(VLOOKUP($C40,'Proposed Rates'!$B:$J,X$11,FALSE),0)</f>
        <v>5.3339999999999996</v>
      </c>
      <c r="Y40" s="415">
        <f t="shared" ref="Y40:Y41" si="43">IF($D40="Monthly",1,IF($D40="per KW",$F$10,IF($D40="per kWh",$F$9,0)))</f>
        <v>10000</v>
      </c>
      <c r="Z40" s="400">
        <f t="shared" ref="Z40:Z41" si="44">Y40*X40</f>
        <v>53339.999999999993</v>
      </c>
      <c r="AA40" s="128"/>
      <c r="AB40" s="401">
        <f t="shared" si="13"/>
        <v>0</v>
      </c>
      <c r="AC40" s="402">
        <f t="shared" si="14"/>
        <v>0</v>
      </c>
      <c r="AD40" s="52"/>
      <c r="AE40" s="414">
        <f>IFERROR(VLOOKUP($C40,'Proposed Rates'!$B:$J,AE$11,FALSE),0)</f>
        <v>5.3339999999999996</v>
      </c>
      <c r="AF40" s="415">
        <f t="shared" ref="AF40:AF41" si="45">IF($D40="Monthly",1,IF($D40="per KW",$F$10,IF($D40="per kWh",$F$9,0)))</f>
        <v>10000</v>
      </c>
      <c r="AG40" s="400">
        <f t="shared" ref="AG40:AG41" si="46">AF40*AE40</f>
        <v>53339.999999999993</v>
      </c>
      <c r="AH40" s="128"/>
      <c r="AI40" s="401">
        <f t="shared" si="17"/>
        <v>0</v>
      </c>
      <c r="AJ40" s="402">
        <f t="shared" si="18"/>
        <v>0</v>
      </c>
      <c r="AK40" s="52"/>
      <c r="AL40" s="414">
        <f>IFERROR(VLOOKUP($C40,'Proposed Rates'!$B:$J,AL$11,FALSE),0)</f>
        <v>5.3339999999999996</v>
      </c>
      <c r="AM40" s="415">
        <f t="shared" ref="AM40:AM41" si="47">IF($D40="Monthly",1,IF($D40="per KW",$F$10,IF($D40="per kWh",$F$9,0)))</f>
        <v>10000</v>
      </c>
      <c r="AN40" s="400">
        <f t="shared" ref="AN40:AN41" si="48">AM40*AL40</f>
        <v>53339.999999999993</v>
      </c>
      <c r="AO40" s="128"/>
      <c r="AP40" s="401">
        <f t="shared" si="21"/>
        <v>0</v>
      </c>
      <c r="AQ40" s="402">
        <f t="shared" si="22"/>
        <v>0</v>
      </c>
      <c r="AR40" s="403"/>
    </row>
    <row r="41" spans="1:44" ht="12.75" customHeight="1">
      <c r="A41" s="52"/>
      <c r="B41" s="487" t="s">
        <v>256</v>
      </c>
      <c r="C41" s="395" t="str">
        <f t="shared" si="36"/>
        <v>Large User.RTSR - Line and Transformation Connection</v>
      </c>
      <c r="D41" s="426" t="s">
        <v>377</v>
      </c>
      <c r="E41" s="128"/>
      <c r="F41" s="414">
        <f>IFERROR(VLOOKUP($C41,'Proposed Rates'!$B:$J,F$11,FALSE),0)</f>
        <v>3.3923999999999999</v>
      </c>
      <c r="G41" s="415">
        <f t="shared" si="37"/>
        <v>10000</v>
      </c>
      <c r="H41" s="400">
        <f t="shared" si="38"/>
        <v>33924</v>
      </c>
      <c r="I41" s="128"/>
      <c r="J41" s="414">
        <f>IFERROR(VLOOKUP($C41,'Proposed Rates'!$B:$J,J$11,FALSE),0)</f>
        <v>3.0192999999999999</v>
      </c>
      <c r="K41" s="415">
        <f t="shared" si="39"/>
        <v>10000</v>
      </c>
      <c r="L41" s="400">
        <f t="shared" si="40"/>
        <v>30193</v>
      </c>
      <c r="M41" s="128"/>
      <c r="N41" s="401">
        <f t="shared" si="5"/>
        <v>-3731</v>
      </c>
      <c r="O41" s="402">
        <f t="shared" si="6"/>
        <v>-0.10998113430020044</v>
      </c>
      <c r="P41" s="52"/>
      <c r="Q41" s="414">
        <f>IFERROR(VLOOKUP($C41,'Proposed Rates'!$B:$J,Q$11,FALSE),0)</f>
        <v>3.0192999999999999</v>
      </c>
      <c r="R41" s="415">
        <f t="shared" si="41"/>
        <v>10000</v>
      </c>
      <c r="S41" s="400">
        <f t="shared" si="42"/>
        <v>30193</v>
      </c>
      <c r="T41" s="128"/>
      <c r="U41" s="401">
        <f t="shared" si="9"/>
        <v>0</v>
      </c>
      <c r="V41" s="402">
        <f t="shared" si="10"/>
        <v>0</v>
      </c>
      <c r="W41" s="52"/>
      <c r="X41" s="414">
        <f>IFERROR(VLOOKUP($C41,'Proposed Rates'!$B:$J,X$11,FALSE),0)</f>
        <v>3.0192999999999999</v>
      </c>
      <c r="Y41" s="415">
        <f t="shared" si="43"/>
        <v>10000</v>
      </c>
      <c r="Z41" s="400">
        <f t="shared" si="44"/>
        <v>30193</v>
      </c>
      <c r="AA41" s="128"/>
      <c r="AB41" s="401">
        <f t="shared" si="13"/>
        <v>0</v>
      </c>
      <c r="AC41" s="402">
        <f t="shared" si="14"/>
        <v>0</v>
      </c>
      <c r="AD41" s="52"/>
      <c r="AE41" s="414">
        <f>IFERROR(VLOOKUP($C41,'Proposed Rates'!$B:$J,AE$11,FALSE),0)</f>
        <v>3.0192999999999999</v>
      </c>
      <c r="AF41" s="415">
        <f t="shared" si="45"/>
        <v>10000</v>
      </c>
      <c r="AG41" s="400">
        <f t="shared" si="46"/>
        <v>30193</v>
      </c>
      <c r="AH41" s="128"/>
      <c r="AI41" s="401">
        <f t="shared" si="17"/>
        <v>0</v>
      </c>
      <c r="AJ41" s="402">
        <f t="shared" si="18"/>
        <v>0</v>
      </c>
      <c r="AK41" s="52"/>
      <c r="AL41" s="414">
        <f>IFERROR(VLOOKUP($C41,'Proposed Rates'!$B:$J,AL$11,FALSE),0)</f>
        <v>3.0192999999999999</v>
      </c>
      <c r="AM41" s="415">
        <f t="shared" si="47"/>
        <v>10000</v>
      </c>
      <c r="AN41" s="400">
        <f t="shared" si="48"/>
        <v>30193</v>
      </c>
      <c r="AO41" s="128"/>
      <c r="AP41" s="401">
        <f t="shared" si="21"/>
        <v>0</v>
      </c>
      <c r="AQ41" s="402">
        <f t="shared" si="22"/>
        <v>0</v>
      </c>
      <c r="AR41" s="403"/>
    </row>
    <row r="42" spans="1:44" ht="12.75" customHeight="1">
      <c r="A42" s="52"/>
      <c r="B42" s="486" t="s">
        <v>314</v>
      </c>
      <c r="C42" s="560"/>
      <c r="D42" s="427"/>
      <c r="E42" s="427"/>
      <c r="F42" s="428"/>
      <c r="G42" s="501"/>
      <c r="H42" s="409">
        <f>SUM(H39:H41)</f>
        <v>184282.12999999998</v>
      </c>
      <c r="I42" s="410"/>
      <c r="J42" s="428"/>
      <c r="K42" s="501"/>
      <c r="L42" s="409">
        <f>SUM(L39:L41)</f>
        <v>187908.72999999998</v>
      </c>
      <c r="M42" s="410"/>
      <c r="N42" s="411">
        <f t="shared" si="5"/>
        <v>3626.6000000000058</v>
      </c>
      <c r="O42" s="412">
        <f t="shared" si="6"/>
        <v>1.9679607566941006E-2</v>
      </c>
      <c r="P42" s="52"/>
      <c r="Q42" s="428"/>
      <c r="R42" s="501"/>
      <c r="S42" s="409">
        <f>SUM(S39:S41)</f>
        <v>186990.83</v>
      </c>
      <c r="T42" s="410"/>
      <c r="U42" s="411">
        <f t="shared" si="9"/>
        <v>-917.89999999999418</v>
      </c>
      <c r="V42" s="412">
        <f t="shared" si="10"/>
        <v>-4.8848182838551156E-3</v>
      </c>
      <c r="W42" s="52"/>
      <c r="X42" s="428"/>
      <c r="Y42" s="501"/>
      <c r="Z42" s="409">
        <f>SUM(Z39:Z41)</f>
        <v>197290.43</v>
      </c>
      <c r="AA42" s="410"/>
      <c r="AB42" s="411">
        <f t="shared" si="13"/>
        <v>10299.600000000006</v>
      </c>
      <c r="AC42" s="412">
        <f t="shared" si="14"/>
        <v>5.5080775886175846E-2</v>
      </c>
      <c r="AD42" s="52"/>
      <c r="AE42" s="428"/>
      <c r="AF42" s="501"/>
      <c r="AG42" s="409">
        <f>SUM(AG39:AG41)</f>
        <v>205453.12999999998</v>
      </c>
      <c r="AH42" s="410"/>
      <c r="AI42" s="411">
        <f t="shared" si="17"/>
        <v>8162.6999999999825</v>
      </c>
      <c r="AJ42" s="412">
        <f t="shared" si="18"/>
        <v>4.1374029140693658E-2</v>
      </c>
      <c r="AK42" s="52"/>
      <c r="AL42" s="428"/>
      <c r="AM42" s="501"/>
      <c r="AN42" s="409">
        <f>SUM(AN39:AN41)</f>
        <v>212673.12999999998</v>
      </c>
      <c r="AO42" s="410"/>
      <c r="AP42" s="411">
        <f t="shared" si="21"/>
        <v>7220</v>
      </c>
      <c r="AQ42" s="412">
        <f t="shared" si="22"/>
        <v>3.5141835025828037E-2</v>
      </c>
      <c r="AR42" s="413"/>
    </row>
    <row r="43" spans="1:44" ht="12.75" customHeight="1">
      <c r="A43" s="52"/>
      <c r="B43" s="488" t="s">
        <v>257</v>
      </c>
      <c r="C43" s="395" t="str">
        <f t="shared" ref="C43:C45" si="49">D$6&amp;"."&amp;B43</f>
        <v>Large User.Wholesale Market Service Charge (WMSC)</v>
      </c>
      <c r="D43" s="396" t="s">
        <v>308</v>
      </c>
      <c r="E43" s="320"/>
      <c r="F43" s="414">
        <f>IFERROR(VLOOKUP($C43,'Proposed Rates'!$B:$J,F$11,FALSE),0)</f>
        <v>4.4999999999999997E-3</v>
      </c>
      <c r="G43" s="419">
        <f>$F$9+G$37</f>
        <v>4020400.0000000005</v>
      </c>
      <c r="H43" s="400">
        <f t="shared" ref="H43:H46" si="50">G43*F43</f>
        <v>18091.8</v>
      </c>
      <c r="I43" s="128"/>
      <c r="J43" s="414">
        <f>IFERROR(VLOOKUP($C43,'Proposed Rates'!$B:$J,J$11,FALSE),0)</f>
        <v>4.4999999999999997E-3</v>
      </c>
      <c r="K43" s="419">
        <f>$F$9+K$37</f>
        <v>4019199.9999999995</v>
      </c>
      <c r="L43" s="400">
        <f t="shared" ref="L43:L46" si="51">K43*J43</f>
        <v>18086.399999999998</v>
      </c>
      <c r="M43" s="128"/>
      <c r="N43" s="401">
        <f t="shared" si="5"/>
        <v>-5.4000000000014552</v>
      </c>
      <c r="O43" s="402">
        <f t="shared" si="6"/>
        <v>-2.9847776340670667E-4</v>
      </c>
      <c r="P43" s="52"/>
      <c r="Q43" s="414">
        <f>IFERROR(VLOOKUP($C43,'Proposed Rates'!$B:$J,Q$11,FALSE),0)</f>
        <v>4.4999999999999997E-3</v>
      </c>
      <c r="R43" s="419">
        <f>$F$9+R$37</f>
        <v>4019199.9999999995</v>
      </c>
      <c r="S43" s="400">
        <f t="shared" ref="S43:S46" si="52">R43*Q43</f>
        <v>18086.399999999998</v>
      </c>
      <c r="T43" s="128"/>
      <c r="U43" s="401">
        <f t="shared" si="9"/>
        <v>0</v>
      </c>
      <c r="V43" s="402">
        <f t="shared" si="10"/>
        <v>0</v>
      </c>
      <c r="W43" s="52"/>
      <c r="X43" s="414">
        <f>IFERROR(VLOOKUP($C43,'Proposed Rates'!$B:$J,X$11,FALSE),0)</f>
        <v>4.4999999999999997E-3</v>
      </c>
      <c r="Y43" s="419">
        <f>$F$9+Y$37</f>
        <v>4019199.9999999995</v>
      </c>
      <c r="Z43" s="400">
        <f t="shared" ref="Z43:Z46" si="53">Y43*X43</f>
        <v>18086.399999999998</v>
      </c>
      <c r="AA43" s="128"/>
      <c r="AB43" s="401">
        <f t="shared" si="13"/>
        <v>0</v>
      </c>
      <c r="AC43" s="402">
        <f t="shared" si="14"/>
        <v>0</v>
      </c>
      <c r="AD43" s="52"/>
      <c r="AE43" s="414">
        <f>IFERROR(VLOOKUP($C43,'Proposed Rates'!$B:$J,AE$11,FALSE),0)</f>
        <v>4.4999999999999997E-3</v>
      </c>
      <c r="AF43" s="419">
        <f>$F$9+AF$37</f>
        <v>4019199.9999999995</v>
      </c>
      <c r="AG43" s="400">
        <f t="shared" ref="AG43:AG46" si="54">AF43*AE43</f>
        <v>18086.399999999998</v>
      </c>
      <c r="AH43" s="128"/>
      <c r="AI43" s="401">
        <f t="shared" si="17"/>
        <v>0</v>
      </c>
      <c r="AJ43" s="402">
        <f t="shared" si="18"/>
        <v>0</v>
      </c>
      <c r="AK43" s="52"/>
      <c r="AL43" s="414">
        <f>IFERROR(VLOOKUP($C43,'Proposed Rates'!$B:$J,AL$11,FALSE),0)</f>
        <v>4.4999999999999997E-3</v>
      </c>
      <c r="AM43" s="419">
        <f>$F$9+AM$37</f>
        <v>4019199.9999999995</v>
      </c>
      <c r="AN43" s="400">
        <f t="shared" ref="AN43:AN46" si="55">AM43*AL43</f>
        <v>18086.399999999998</v>
      </c>
      <c r="AO43" s="128"/>
      <c r="AP43" s="401">
        <f t="shared" si="21"/>
        <v>0</v>
      </c>
      <c r="AQ43" s="402">
        <f t="shared" si="22"/>
        <v>0</v>
      </c>
      <c r="AR43" s="403"/>
    </row>
    <row r="44" spans="1:44" ht="12.75" customHeight="1">
      <c r="A44" s="52"/>
      <c r="B44" s="488" t="s">
        <v>258</v>
      </c>
      <c r="C44" s="395" t="str">
        <f t="shared" si="49"/>
        <v>Large User.Rural and Remote Rate Protection (RRRP)</v>
      </c>
      <c r="D44" s="396" t="s">
        <v>308</v>
      </c>
      <c r="E44" s="320"/>
      <c r="F44" s="414">
        <f>IFERROR(VLOOKUP($C44,'Proposed Rates'!$B:$J,F$11,FALSE),0)</f>
        <v>1.5E-3</v>
      </c>
      <c r="G44" s="419">
        <f>G43</f>
        <v>4020400.0000000005</v>
      </c>
      <c r="H44" s="400">
        <f t="shared" si="50"/>
        <v>6030.6000000000013</v>
      </c>
      <c r="I44" s="128"/>
      <c r="J44" s="414">
        <f>IFERROR(VLOOKUP($C44,'Proposed Rates'!$B:$J,J$11,FALSE),0)</f>
        <v>1.5E-3</v>
      </c>
      <c r="K44" s="419">
        <f>K43</f>
        <v>4019199.9999999995</v>
      </c>
      <c r="L44" s="400">
        <f t="shared" si="51"/>
        <v>6028.7999999999993</v>
      </c>
      <c r="M44" s="128"/>
      <c r="N44" s="401">
        <f t="shared" si="5"/>
        <v>-1.8000000000020009</v>
      </c>
      <c r="O44" s="402">
        <f t="shared" si="6"/>
        <v>-2.9847776340695794E-4</v>
      </c>
      <c r="P44" s="52"/>
      <c r="Q44" s="414">
        <f>IFERROR(VLOOKUP($C44,'Proposed Rates'!$B:$J,Q$11,FALSE),0)</f>
        <v>1.5E-3</v>
      </c>
      <c r="R44" s="419">
        <f>R43</f>
        <v>4019199.9999999995</v>
      </c>
      <c r="S44" s="400">
        <f t="shared" si="52"/>
        <v>6028.7999999999993</v>
      </c>
      <c r="T44" s="128"/>
      <c r="U44" s="401">
        <f t="shared" si="9"/>
        <v>0</v>
      </c>
      <c r="V44" s="402">
        <f t="shared" si="10"/>
        <v>0</v>
      </c>
      <c r="W44" s="52"/>
      <c r="X44" s="414">
        <f>IFERROR(VLOOKUP($C44,'Proposed Rates'!$B:$J,X$11,FALSE),0)</f>
        <v>1.5E-3</v>
      </c>
      <c r="Y44" s="419">
        <f>Y43</f>
        <v>4019199.9999999995</v>
      </c>
      <c r="Z44" s="400">
        <f t="shared" si="53"/>
        <v>6028.7999999999993</v>
      </c>
      <c r="AA44" s="128"/>
      <c r="AB44" s="401">
        <f t="shared" si="13"/>
        <v>0</v>
      </c>
      <c r="AC44" s="402">
        <f t="shared" si="14"/>
        <v>0</v>
      </c>
      <c r="AD44" s="52"/>
      <c r="AE44" s="414">
        <f>IFERROR(VLOOKUP($C44,'Proposed Rates'!$B:$J,AE$11,FALSE),0)</f>
        <v>1.5E-3</v>
      </c>
      <c r="AF44" s="419">
        <f>AF43</f>
        <v>4019199.9999999995</v>
      </c>
      <c r="AG44" s="400">
        <f t="shared" si="54"/>
        <v>6028.7999999999993</v>
      </c>
      <c r="AH44" s="128"/>
      <c r="AI44" s="401">
        <f t="shared" si="17"/>
        <v>0</v>
      </c>
      <c r="AJ44" s="402">
        <f t="shared" si="18"/>
        <v>0</v>
      </c>
      <c r="AK44" s="52"/>
      <c r="AL44" s="414">
        <f>IFERROR(VLOOKUP($C44,'Proposed Rates'!$B:$J,AL$11,FALSE),0)</f>
        <v>1.5E-3</v>
      </c>
      <c r="AM44" s="419">
        <f>AM43</f>
        <v>4019199.9999999995</v>
      </c>
      <c r="AN44" s="400">
        <f t="shared" si="55"/>
        <v>6028.7999999999993</v>
      </c>
      <c r="AO44" s="128"/>
      <c r="AP44" s="401">
        <f t="shared" si="21"/>
        <v>0</v>
      </c>
      <c r="AQ44" s="402">
        <f t="shared" si="22"/>
        <v>0</v>
      </c>
      <c r="AR44" s="403"/>
    </row>
    <row r="45" spans="1:44" ht="12.75" customHeight="1">
      <c r="A45" s="52"/>
      <c r="B45" s="320" t="s">
        <v>260</v>
      </c>
      <c r="C45" s="395" t="str">
        <f t="shared" si="49"/>
        <v>Large User.Standard Supply Service Charge</v>
      </c>
      <c r="D45" s="396" t="s">
        <v>306</v>
      </c>
      <c r="E45" s="320"/>
      <c r="F45" s="397">
        <f>IFERROR(VLOOKUP($C45,'Proposed Rates'!$B:$J,F$11,FALSE),0)</f>
        <v>0.25</v>
      </c>
      <c r="G45" s="415">
        <f>IF($D45="Monthly",1,IF($D45="per KW",$F$10,IF($D45="per kWh",$F$9,0)))</f>
        <v>1</v>
      </c>
      <c r="H45" s="400">
        <f t="shared" si="50"/>
        <v>0.25</v>
      </c>
      <c r="I45" s="128"/>
      <c r="J45" s="397">
        <f>IFERROR(VLOOKUP($C45,'Proposed Rates'!$B:$J,J$11,FALSE),0)</f>
        <v>1.51</v>
      </c>
      <c r="K45" s="415">
        <f>IF($D45="Monthly",1,IF($D45="per KW",$F$10,IF($D45="per kWh",$F$9,0)))</f>
        <v>1</v>
      </c>
      <c r="L45" s="400">
        <f t="shared" si="51"/>
        <v>1.51</v>
      </c>
      <c r="M45" s="128"/>
      <c r="N45" s="401">
        <f t="shared" si="5"/>
        <v>1.26</v>
      </c>
      <c r="O45" s="402">
        <f t="shared" si="6"/>
        <v>5.04</v>
      </c>
      <c r="P45" s="52"/>
      <c r="Q45" s="397">
        <f>IFERROR(VLOOKUP($C45,'Proposed Rates'!$B:$J,Q$11,FALSE),0)</f>
        <v>1.54</v>
      </c>
      <c r="R45" s="415">
        <f>IF($D45="Monthly",1,IF($D45="per KW",$F$10,IF($D45="per kWh",$F$9,0)))</f>
        <v>1</v>
      </c>
      <c r="S45" s="400">
        <f t="shared" si="52"/>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3"/>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4"/>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55"/>
        <v>1.63</v>
      </c>
      <c r="AO45" s="128"/>
      <c r="AP45" s="401">
        <f t="shared" si="21"/>
        <v>2.9999999999999805E-2</v>
      </c>
      <c r="AQ45" s="402">
        <f t="shared" si="22"/>
        <v>1.8749999999999878E-2</v>
      </c>
      <c r="AR45" s="403"/>
    </row>
    <row r="46" spans="1:44" ht="12.75" customHeight="1">
      <c r="A46" s="52"/>
      <c r="B46" s="320" t="s">
        <v>267</v>
      </c>
      <c r="C46" s="395" t="str">
        <f>B46</f>
        <v>Average IESO Wholesale Market Price</v>
      </c>
      <c r="D46" s="396" t="s">
        <v>308</v>
      </c>
      <c r="E46" s="320"/>
      <c r="F46" s="414">
        <f>IFERROR(VLOOKUP($C46,'Proposed Rates'!$B:$J,F$11,FALSE),0)</f>
        <v>0.1045</v>
      </c>
      <c r="G46" s="419">
        <f>G43</f>
        <v>4020400.0000000005</v>
      </c>
      <c r="H46" s="400">
        <f t="shared" si="50"/>
        <v>420131.80000000005</v>
      </c>
      <c r="I46" s="128"/>
      <c r="J46" s="414">
        <f>IFERROR(VLOOKUP($C46,'Proposed Rates'!$B:$J,J$11,FALSE),0)</f>
        <v>0.1045</v>
      </c>
      <c r="K46" s="419">
        <f>K43</f>
        <v>4019199.9999999995</v>
      </c>
      <c r="L46" s="400">
        <f t="shared" si="51"/>
        <v>420006.39999999991</v>
      </c>
      <c r="M46" s="128"/>
      <c r="N46" s="401">
        <f t="shared" si="5"/>
        <v>-125.4000000001397</v>
      </c>
      <c r="O46" s="402">
        <f t="shared" si="6"/>
        <v>-2.984777634069587E-4</v>
      </c>
      <c r="P46" s="52"/>
      <c r="Q46" s="414">
        <f>IFERROR(VLOOKUP($C46,'Proposed Rates'!$B:$J,Q$11,FALSE),0)</f>
        <v>0.1045</v>
      </c>
      <c r="R46" s="419">
        <f>R43</f>
        <v>4019199.9999999995</v>
      </c>
      <c r="S46" s="400">
        <f t="shared" si="52"/>
        <v>420006.39999999991</v>
      </c>
      <c r="T46" s="128"/>
      <c r="U46" s="401">
        <f t="shared" si="9"/>
        <v>0</v>
      </c>
      <c r="V46" s="402">
        <f t="shared" si="10"/>
        <v>0</v>
      </c>
      <c r="W46" s="52"/>
      <c r="X46" s="414">
        <f>IFERROR(VLOOKUP($C46,'Proposed Rates'!$B:$J,X$11,FALSE),0)</f>
        <v>0.1045</v>
      </c>
      <c r="Y46" s="419">
        <f>Y43</f>
        <v>4019199.9999999995</v>
      </c>
      <c r="Z46" s="400">
        <f t="shared" si="53"/>
        <v>420006.39999999991</v>
      </c>
      <c r="AA46" s="128"/>
      <c r="AB46" s="401">
        <f t="shared" si="13"/>
        <v>0</v>
      </c>
      <c r="AC46" s="402">
        <f t="shared" si="14"/>
        <v>0</v>
      </c>
      <c r="AD46" s="52"/>
      <c r="AE46" s="414">
        <f>IFERROR(VLOOKUP($C46,'Proposed Rates'!$B:$J,AE$11,FALSE),0)</f>
        <v>0.1045</v>
      </c>
      <c r="AF46" s="419">
        <f>AF43</f>
        <v>4019199.9999999995</v>
      </c>
      <c r="AG46" s="400">
        <f t="shared" si="54"/>
        <v>420006.39999999991</v>
      </c>
      <c r="AH46" s="128"/>
      <c r="AI46" s="401">
        <f t="shared" si="17"/>
        <v>0</v>
      </c>
      <c r="AJ46" s="402">
        <f t="shared" si="18"/>
        <v>0</v>
      </c>
      <c r="AK46" s="52"/>
      <c r="AL46" s="414">
        <f>IFERROR(VLOOKUP($C46,'Proposed Rates'!$B:$J,AL$11,FALSE),0)</f>
        <v>0.1045</v>
      </c>
      <c r="AM46" s="419">
        <f>AM43</f>
        <v>4019199.9999999995</v>
      </c>
      <c r="AN46" s="400">
        <f t="shared" si="55"/>
        <v>420006.39999999991</v>
      </c>
      <c r="AO46" s="128"/>
      <c r="AP46" s="401">
        <f t="shared" si="21"/>
        <v>0</v>
      </c>
      <c r="AQ46" s="402">
        <f t="shared" si="22"/>
        <v>0</v>
      </c>
      <c r="AR46" s="403"/>
    </row>
    <row r="47" spans="1:44" ht="7.5" customHeight="1">
      <c r="A47" s="52"/>
      <c r="B47" s="320"/>
      <c r="C47" s="395" t="str">
        <f t="shared" ref="C47:C50" si="56">D$6&amp;"."&amp;B47</f>
        <v>Large User.</v>
      </c>
      <c r="D47" s="396"/>
      <c r="E47" s="320"/>
      <c r="F47" s="414"/>
      <c r="G47" s="511"/>
      <c r="H47" s="400"/>
      <c r="I47" s="128"/>
      <c r="J47" s="414"/>
      <c r="K47" s="511"/>
      <c r="L47" s="400"/>
      <c r="M47" s="128"/>
      <c r="N47" s="401"/>
      <c r="O47" s="402"/>
      <c r="P47" s="52"/>
      <c r="Q47" s="414"/>
      <c r="R47" s="511"/>
      <c r="S47" s="400"/>
      <c r="T47" s="128"/>
      <c r="U47" s="401"/>
      <c r="V47" s="402"/>
      <c r="W47" s="52"/>
      <c r="X47" s="414"/>
      <c r="Y47" s="511"/>
      <c r="Z47" s="400"/>
      <c r="AA47" s="128"/>
      <c r="AB47" s="401"/>
      <c r="AC47" s="402"/>
      <c r="AD47" s="52"/>
      <c r="AE47" s="414"/>
      <c r="AF47" s="511"/>
      <c r="AG47" s="400"/>
      <c r="AH47" s="128"/>
      <c r="AI47" s="401"/>
      <c r="AJ47" s="402"/>
      <c r="AK47" s="52"/>
      <c r="AL47" s="414"/>
      <c r="AM47" s="511"/>
      <c r="AN47" s="400"/>
      <c r="AO47" s="128"/>
      <c r="AP47" s="401"/>
      <c r="AQ47" s="402"/>
      <c r="AR47" s="403"/>
    </row>
    <row r="48" spans="1:44" ht="7.5" customHeight="1">
      <c r="A48" s="52"/>
      <c r="B48" s="52"/>
      <c r="C48" s="395" t="str">
        <f t="shared" si="56"/>
        <v>Large User.</v>
      </c>
      <c r="D48" s="396"/>
      <c r="E48" s="320"/>
      <c r="F48" s="414"/>
      <c r="G48" s="511"/>
      <c r="H48" s="400"/>
      <c r="I48" s="128"/>
      <c r="J48" s="414"/>
      <c r="K48" s="511"/>
      <c r="L48" s="400"/>
      <c r="M48" s="128"/>
      <c r="N48" s="401"/>
      <c r="O48" s="402"/>
      <c r="P48" s="52"/>
      <c r="Q48" s="414"/>
      <c r="R48" s="511"/>
      <c r="S48" s="400"/>
      <c r="T48" s="128"/>
      <c r="U48" s="401"/>
      <c r="V48" s="402"/>
      <c r="W48" s="52"/>
      <c r="X48" s="414"/>
      <c r="Y48" s="511"/>
      <c r="Z48" s="400"/>
      <c r="AA48" s="128"/>
      <c r="AB48" s="401"/>
      <c r="AC48" s="402"/>
      <c r="AD48" s="52"/>
      <c r="AE48" s="414"/>
      <c r="AF48" s="511"/>
      <c r="AG48" s="400"/>
      <c r="AH48" s="128"/>
      <c r="AI48" s="401"/>
      <c r="AJ48" s="402"/>
      <c r="AK48" s="52"/>
      <c r="AL48" s="414"/>
      <c r="AM48" s="511"/>
      <c r="AN48" s="400"/>
      <c r="AO48" s="128"/>
      <c r="AP48" s="401"/>
      <c r="AQ48" s="402"/>
      <c r="AR48" s="403"/>
    </row>
    <row r="49" spans="1:44" ht="7.5" customHeight="1">
      <c r="A49" s="52"/>
      <c r="B49" s="320"/>
      <c r="C49" s="395" t="str">
        <f t="shared" si="56"/>
        <v>Large User.</v>
      </c>
      <c r="D49" s="396"/>
      <c r="E49" s="320"/>
      <c r="F49" s="414"/>
      <c r="G49" s="511"/>
      <c r="H49" s="400"/>
      <c r="I49" s="128"/>
      <c r="J49" s="414"/>
      <c r="K49" s="511"/>
      <c r="L49" s="400"/>
      <c r="M49" s="128"/>
      <c r="N49" s="401"/>
      <c r="O49" s="402"/>
      <c r="P49" s="52"/>
      <c r="Q49" s="414"/>
      <c r="R49" s="511"/>
      <c r="S49" s="400"/>
      <c r="T49" s="128"/>
      <c r="U49" s="401"/>
      <c r="V49" s="402"/>
      <c r="W49" s="52"/>
      <c r="X49" s="414"/>
      <c r="Y49" s="511"/>
      <c r="Z49" s="400"/>
      <c r="AA49" s="128"/>
      <c r="AB49" s="401"/>
      <c r="AC49" s="402"/>
      <c r="AD49" s="52"/>
      <c r="AE49" s="414"/>
      <c r="AF49" s="511"/>
      <c r="AG49" s="400"/>
      <c r="AH49" s="128"/>
      <c r="AI49" s="401"/>
      <c r="AJ49" s="402"/>
      <c r="AK49" s="52"/>
      <c r="AL49" s="414"/>
      <c r="AM49" s="511"/>
      <c r="AN49" s="400"/>
      <c r="AO49" s="128"/>
      <c r="AP49" s="401"/>
      <c r="AQ49" s="402"/>
      <c r="AR49" s="403"/>
    </row>
    <row r="50" spans="1:44" ht="7.5" customHeight="1">
      <c r="A50" s="52"/>
      <c r="B50" s="320"/>
      <c r="C50" s="395" t="str">
        <f t="shared" si="56"/>
        <v>Large User.</v>
      </c>
      <c r="D50" s="396"/>
      <c r="E50" s="320"/>
      <c r="F50" s="414"/>
      <c r="G50" s="511"/>
      <c r="H50" s="400"/>
      <c r="I50" s="128"/>
      <c r="J50" s="414"/>
      <c r="K50" s="511"/>
      <c r="L50" s="400"/>
      <c r="M50" s="128"/>
      <c r="N50" s="401"/>
      <c r="O50" s="402"/>
      <c r="P50" s="52"/>
      <c r="Q50" s="414"/>
      <c r="R50" s="511"/>
      <c r="S50" s="400"/>
      <c r="T50" s="128"/>
      <c r="U50" s="401"/>
      <c r="V50" s="402"/>
      <c r="W50" s="52"/>
      <c r="X50" s="414"/>
      <c r="Y50" s="511"/>
      <c r="Z50" s="400"/>
      <c r="AA50" s="128"/>
      <c r="AB50" s="401"/>
      <c r="AC50" s="402"/>
      <c r="AD50" s="52"/>
      <c r="AE50" s="414"/>
      <c r="AF50" s="511"/>
      <c r="AG50" s="400"/>
      <c r="AH50" s="128"/>
      <c r="AI50" s="401"/>
      <c r="AJ50" s="402"/>
      <c r="AK50" s="52"/>
      <c r="AL50" s="414"/>
      <c r="AM50" s="511"/>
      <c r="AN50" s="400"/>
      <c r="AO50" s="128"/>
      <c r="AP50" s="401"/>
      <c r="AQ50" s="402"/>
      <c r="AR50" s="403"/>
    </row>
    <row r="51" spans="1:44" ht="8.2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75" customHeight="1">
      <c r="A52" s="52"/>
      <c r="B52" s="444" t="s">
        <v>315</v>
      </c>
      <c r="C52" s="562"/>
      <c r="D52" s="320"/>
      <c r="E52" s="320"/>
      <c r="F52" s="445"/>
      <c r="G52" s="489"/>
      <c r="H52" s="447">
        <f>SUM(H43:H48,H42)</f>
        <v>628536.58000000007</v>
      </c>
      <c r="I52" s="482"/>
      <c r="J52" s="446"/>
      <c r="K52" s="446"/>
      <c r="L52" s="447">
        <f>SUM(L43:L48,L42)</f>
        <v>632031.83999999985</v>
      </c>
      <c r="M52" s="449"/>
      <c r="N52" s="448">
        <f t="shared" ref="N52:N56" si="57">L52-H52</f>
        <v>3495.2599999997765</v>
      </c>
      <c r="O52" s="450">
        <f t="shared" ref="O52:O56" si="58">IF((H52)=0,"",(N52/H52))</f>
        <v>5.5609492131703389E-3</v>
      </c>
      <c r="P52" s="52"/>
      <c r="Q52" s="446"/>
      <c r="R52" s="446"/>
      <c r="S52" s="447">
        <f>SUM(S43:S48,S42)</f>
        <v>631113.96999999986</v>
      </c>
      <c r="T52" s="449"/>
      <c r="U52" s="448">
        <f t="shared" ref="U52:U56" si="59">S52-L52</f>
        <v>-917.86999999999534</v>
      </c>
      <c r="V52" s="450">
        <f t="shared" ref="V52:V56" si="60">IF((L52)=0,"",(U52/L52))</f>
        <v>-1.4522527852394202E-3</v>
      </c>
      <c r="W52" s="52"/>
      <c r="X52" s="446"/>
      <c r="Y52" s="446"/>
      <c r="Z52" s="447">
        <f>SUM(Z43:Z48,Z42)</f>
        <v>641413.59999999986</v>
      </c>
      <c r="AA52" s="449"/>
      <c r="AB52" s="448">
        <f t="shared" ref="AB52:AB56" si="61">Z52-S52</f>
        <v>10299.630000000005</v>
      </c>
      <c r="AC52" s="450">
        <f t="shared" ref="AC52:AC56" si="62">IF((S52)=0,"",(AB52/S52))</f>
        <v>1.6319762340231522E-2</v>
      </c>
      <c r="AD52" s="52"/>
      <c r="AE52" s="446"/>
      <c r="AF52" s="446"/>
      <c r="AG52" s="447">
        <f>SUM(AG43:AG48,AG42)</f>
        <v>649576.32999999984</v>
      </c>
      <c r="AH52" s="449"/>
      <c r="AI52" s="448">
        <f t="shared" ref="AI52:AI56" si="63">AG52-Z52</f>
        <v>8162.7299999999814</v>
      </c>
      <c r="AJ52" s="450">
        <f t="shared" ref="AJ52:AJ56" si="64">IF((Z52)=0,"",(AI52/Z52))</f>
        <v>1.2726156726330691E-2</v>
      </c>
      <c r="AK52" s="52"/>
      <c r="AL52" s="446"/>
      <c r="AM52" s="446"/>
      <c r="AN52" s="447">
        <f>SUM(AN43:AN48,AN42)</f>
        <v>656796.35999999987</v>
      </c>
      <c r="AO52" s="449"/>
      <c r="AP52" s="448">
        <f t="shared" ref="AP52:AP56" si="65">AN52-AG52</f>
        <v>7220.0300000000279</v>
      </c>
      <c r="AQ52" s="450">
        <f t="shared" ref="AQ52:AQ56" si="66">IF((AG52)=0,"",(AP52/AG52))</f>
        <v>1.1114983207593217E-2</v>
      </c>
      <c r="AR52" s="451"/>
    </row>
    <row r="53" spans="1:44" ht="12.75" customHeight="1">
      <c r="A53" s="52"/>
      <c r="B53" s="452" t="s">
        <v>316</v>
      </c>
      <c r="C53" s="562"/>
      <c r="D53" s="320"/>
      <c r="E53" s="320"/>
      <c r="F53" s="445">
        <v>0.13</v>
      </c>
      <c r="G53" s="128"/>
      <c r="H53" s="490">
        <f>H52*F53</f>
        <v>81709.755400000009</v>
      </c>
      <c r="I53" s="417"/>
      <c r="J53" s="453">
        <v>0.13</v>
      </c>
      <c r="K53" s="417"/>
      <c r="L53" s="400">
        <f>L52*J53</f>
        <v>82164.139199999991</v>
      </c>
      <c r="M53" s="128"/>
      <c r="N53" s="401">
        <f t="shared" si="57"/>
        <v>454.38379999998142</v>
      </c>
      <c r="O53" s="402">
        <f t="shared" si="58"/>
        <v>5.5609492131704673E-3</v>
      </c>
      <c r="P53" s="52"/>
      <c r="Q53" s="453">
        <v>0.13</v>
      </c>
      <c r="R53" s="417"/>
      <c r="S53" s="400">
        <f>S52*Q53</f>
        <v>82044.816099999982</v>
      </c>
      <c r="T53" s="128"/>
      <c r="U53" s="401">
        <f t="shared" si="59"/>
        <v>-119.32310000000871</v>
      </c>
      <c r="V53" s="402">
        <f t="shared" si="60"/>
        <v>-1.4522527852395333E-3</v>
      </c>
      <c r="W53" s="52"/>
      <c r="X53" s="453">
        <v>0.13</v>
      </c>
      <c r="Y53" s="417"/>
      <c r="Z53" s="400">
        <f>Z52*X53</f>
        <v>83383.767999999982</v>
      </c>
      <c r="AA53" s="128"/>
      <c r="AB53" s="401">
        <f t="shared" si="61"/>
        <v>1338.9519</v>
      </c>
      <c r="AC53" s="402">
        <f t="shared" si="62"/>
        <v>1.6319762340231515E-2</v>
      </c>
      <c r="AD53" s="52"/>
      <c r="AE53" s="453">
        <v>0.13</v>
      </c>
      <c r="AF53" s="417"/>
      <c r="AG53" s="400">
        <f>AG52*AE53</f>
        <v>84444.922899999976</v>
      </c>
      <c r="AH53" s="128"/>
      <c r="AI53" s="401">
        <f t="shared" si="63"/>
        <v>1061.1548999999941</v>
      </c>
      <c r="AJ53" s="402">
        <f t="shared" si="64"/>
        <v>1.2726156726330649E-2</v>
      </c>
      <c r="AK53" s="52"/>
      <c r="AL53" s="453">
        <v>0.13</v>
      </c>
      <c r="AM53" s="417"/>
      <c r="AN53" s="400">
        <f>AN52*AL53</f>
        <v>85383.526799999992</v>
      </c>
      <c r="AO53" s="128"/>
      <c r="AP53" s="401">
        <f t="shared" si="65"/>
        <v>938.60390000001644</v>
      </c>
      <c r="AQ53" s="402">
        <f t="shared" si="66"/>
        <v>1.1114983207593368E-2</v>
      </c>
      <c r="AR53" s="403"/>
    </row>
    <row r="54" spans="1:44" ht="12.75" customHeight="1">
      <c r="A54" s="52"/>
      <c r="B54" s="491" t="s">
        <v>411</v>
      </c>
      <c r="C54" s="562"/>
      <c r="D54" s="320"/>
      <c r="E54" s="320"/>
      <c r="F54" s="455"/>
      <c r="G54" s="128"/>
      <c r="H54" s="490">
        <f>H52+H53</f>
        <v>710246.3354000001</v>
      </c>
      <c r="I54" s="417"/>
      <c r="J54" s="417"/>
      <c r="K54" s="417"/>
      <c r="L54" s="400">
        <f>L52+L53</f>
        <v>714195.97919999983</v>
      </c>
      <c r="M54" s="128"/>
      <c r="N54" s="401">
        <f t="shared" si="57"/>
        <v>3949.6437999997288</v>
      </c>
      <c r="O54" s="402">
        <f t="shared" si="58"/>
        <v>5.5609492131703129E-3</v>
      </c>
      <c r="P54" s="52"/>
      <c r="Q54" s="417"/>
      <c r="R54" s="417"/>
      <c r="S54" s="400">
        <f>S52+S53</f>
        <v>713158.78609999979</v>
      </c>
      <c r="T54" s="128"/>
      <c r="U54" s="401">
        <f t="shared" si="59"/>
        <v>-1037.1931000000332</v>
      </c>
      <c r="V54" s="402">
        <f t="shared" si="60"/>
        <v>-1.4522527852394739E-3</v>
      </c>
      <c r="W54" s="52"/>
      <c r="X54" s="417"/>
      <c r="Y54" s="417"/>
      <c r="Z54" s="400">
        <f>Z52+Z53</f>
        <v>724797.36799999978</v>
      </c>
      <c r="AA54" s="128"/>
      <c r="AB54" s="401">
        <f t="shared" si="61"/>
        <v>11638.58189999999</v>
      </c>
      <c r="AC54" s="402">
        <f t="shared" si="62"/>
        <v>1.6319762340231501E-2</v>
      </c>
      <c r="AD54" s="52"/>
      <c r="AE54" s="417"/>
      <c r="AF54" s="417"/>
      <c r="AG54" s="400">
        <f>AG52+AG53</f>
        <v>734021.25289999985</v>
      </c>
      <c r="AH54" s="128"/>
      <c r="AI54" s="401">
        <f t="shared" si="63"/>
        <v>9223.8849000000628</v>
      </c>
      <c r="AJ54" s="402">
        <f t="shared" si="64"/>
        <v>1.2726156726330807E-2</v>
      </c>
      <c r="AK54" s="52"/>
      <c r="AL54" s="417"/>
      <c r="AM54" s="417"/>
      <c r="AN54" s="400">
        <f>AN52+AN53</f>
        <v>742179.88679999986</v>
      </c>
      <c r="AO54" s="128"/>
      <c r="AP54" s="401">
        <f t="shared" si="65"/>
        <v>8158.6339000000153</v>
      </c>
      <c r="AQ54" s="402">
        <f t="shared" si="66"/>
        <v>1.1114983207593195E-2</v>
      </c>
      <c r="AR54" s="403"/>
    </row>
    <row r="55" spans="1:44" ht="15.75" customHeight="1">
      <c r="A55" s="52"/>
      <c r="B55" s="628" t="s">
        <v>273</v>
      </c>
      <c r="C55" s="615"/>
      <c r="D55" s="615"/>
      <c r="E55" s="320"/>
      <c r="F55" s="455"/>
      <c r="G55" s="128"/>
      <c r="H55" s="492">
        <f>F55*H52</f>
        <v>0</v>
      </c>
      <c r="I55" s="417"/>
      <c r="J55" s="417"/>
      <c r="K55" s="417"/>
      <c r="L55" s="512">
        <f>J55*L52</f>
        <v>0</v>
      </c>
      <c r="M55" s="128"/>
      <c r="N55" s="457">
        <f t="shared" si="57"/>
        <v>0</v>
      </c>
      <c r="O55" s="459" t="str">
        <f t="shared" si="58"/>
        <v/>
      </c>
      <c r="P55" s="52"/>
      <c r="Q55" s="417"/>
      <c r="R55" s="417"/>
      <c r="S55" s="512">
        <f>Q55*S52</f>
        <v>0</v>
      </c>
      <c r="T55" s="128"/>
      <c r="U55" s="457">
        <f t="shared" si="59"/>
        <v>0</v>
      </c>
      <c r="V55" s="459" t="str">
        <f t="shared" si="60"/>
        <v/>
      </c>
      <c r="W55" s="52"/>
      <c r="X55" s="417"/>
      <c r="Y55" s="417"/>
      <c r="Z55" s="512">
        <f>X55*Z52</f>
        <v>0</v>
      </c>
      <c r="AA55" s="128"/>
      <c r="AB55" s="457">
        <f t="shared" si="61"/>
        <v>0</v>
      </c>
      <c r="AC55" s="459" t="str">
        <f t="shared" si="62"/>
        <v/>
      </c>
      <c r="AD55" s="52"/>
      <c r="AE55" s="417"/>
      <c r="AF55" s="417"/>
      <c r="AG55" s="512">
        <f>AE55*AG52</f>
        <v>0</v>
      </c>
      <c r="AH55" s="128"/>
      <c r="AI55" s="457">
        <f t="shared" si="63"/>
        <v>0</v>
      </c>
      <c r="AJ55" s="459" t="str">
        <f t="shared" si="64"/>
        <v/>
      </c>
      <c r="AK55" s="52"/>
      <c r="AL55" s="417"/>
      <c r="AM55" s="417"/>
      <c r="AN55" s="512">
        <f>AL55*AN52</f>
        <v>0</v>
      </c>
      <c r="AO55" s="128"/>
      <c r="AP55" s="457">
        <f t="shared" si="65"/>
        <v>0</v>
      </c>
      <c r="AQ55" s="459" t="str">
        <f t="shared" si="66"/>
        <v/>
      </c>
      <c r="AR55" s="460"/>
    </row>
    <row r="56" spans="1:44" ht="13.5" customHeight="1">
      <c r="A56" s="52"/>
      <c r="B56" s="627" t="s">
        <v>318</v>
      </c>
      <c r="C56" s="613"/>
      <c r="D56" s="613"/>
      <c r="E56" s="461"/>
      <c r="F56" s="462"/>
      <c r="G56" s="493"/>
      <c r="H56" s="494">
        <f>H54-H55</f>
        <v>710246.3354000001</v>
      </c>
      <c r="I56" s="463"/>
      <c r="J56" s="463"/>
      <c r="K56" s="463"/>
      <c r="L56" s="464">
        <f>L54-L55</f>
        <v>714195.97919999983</v>
      </c>
      <c r="M56" s="465"/>
      <c r="N56" s="466">
        <f t="shared" si="57"/>
        <v>3949.6437999997288</v>
      </c>
      <c r="O56" s="467">
        <f t="shared" si="58"/>
        <v>5.5609492131703129E-3</v>
      </c>
      <c r="P56" s="52"/>
      <c r="Q56" s="463"/>
      <c r="R56" s="463"/>
      <c r="S56" s="464">
        <f>S54-S55</f>
        <v>713158.78609999979</v>
      </c>
      <c r="T56" s="465"/>
      <c r="U56" s="466">
        <f t="shared" si="59"/>
        <v>-1037.1931000000332</v>
      </c>
      <c r="V56" s="467">
        <f t="shared" si="60"/>
        <v>-1.4522527852394739E-3</v>
      </c>
      <c r="W56" s="52"/>
      <c r="X56" s="463"/>
      <c r="Y56" s="463"/>
      <c r="Z56" s="464">
        <f>Z54-Z55</f>
        <v>724797.36799999978</v>
      </c>
      <c r="AA56" s="465"/>
      <c r="AB56" s="466">
        <f t="shared" si="61"/>
        <v>11638.58189999999</v>
      </c>
      <c r="AC56" s="467">
        <f t="shared" si="62"/>
        <v>1.6319762340231501E-2</v>
      </c>
      <c r="AD56" s="52"/>
      <c r="AE56" s="463"/>
      <c r="AF56" s="463"/>
      <c r="AG56" s="464">
        <f>AG54-AG55</f>
        <v>734021.25289999985</v>
      </c>
      <c r="AH56" s="465"/>
      <c r="AI56" s="466">
        <f t="shared" si="63"/>
        <v>9223.8849000000628</v>
      </c>
      <c r="AJ56" s="467">
        <f t="shared" si="64"/>
        <v>1.2726156726330807E-2</v>
      </c>
      <c r="AK56" s="52"/>
      <c r="AL56" s="463"/>
      <c r="AM56" s="463"/>
      <c r="AN56" s="464">
        <f>AN54-AN55</f>
        <v>742179.88679999986</v>
      </c>
      <c r="AO56" s="465"/>
      <c r="AP56" s="466">
        <f t="shared" si="65"/>
        <v>8158.6339000000153</v>
      </c>
      <c r="AQ56" s="467">
        <f t="shared" si="66"/>
        <v>1.1114983207593195E-2</v>
      </c>
      <c r="AR56" s="468"/>
    </row>
    <row r="57" spans="1:44"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75" customHeight="1">
      <c r="A58" s="513"/>
      <c r="B58" s="514" t="s">
        <v>319</v>
      </c>
      <c r="C58" s="563"/>
      <c r="D58" s="515"/>
      <c r="E58" s="515"/>
      <c r="F58" s="516"/>
      <c r="G58" s="517"/>
      <c r="H58" s="518">
        <f>SUM(H49:H50,H42,H43:H45)</f>
        <v>208404.77999999997</v>
      </c>
      <c r="I58" s="519"/>
      <c r="J58" s="520"/>
      <c r="K58" s="520"/>
      <c r="L58" s="518">
        <f>SUM(L49:L50,L42,L43:L45)</f>
        <v>212025.43999999997</v>
      </c>
      <c r="M58" s="521"/>
      <c r="N58" s="522">
        <f t="shared" ref="N58:N62" si="67">L58-H58</f>
        <v>3620.6600000000035</v>
      </c>
      <c r="O58" s="523">
        <f t="shared" ref="O58:O62" si="68">IF((H58)=0,"",(N58/H58))</f>
        <v>1.7373209961882852E-2</v>
      </c>
      <c r="P58" s="513"/>
      <c r="Q58" s="520"/>
      <c r="R58" s="520"/>
      <c r="S58" s="518">
        <f>SUM(S49:S50,S42,S43:S45)</f>
        <v>211107.56999999998</v>
      </c>
      <c r="T58" s="521"/>
      <c r="U58" s="522">
        <f t="shared" ref="U58:U62" si="69">S58-L58</f>
        <v>-917.86999999999534</v>
      </c>
      <c r="V58" s="523">
        <f t="shared" ref="V58:V62" si="70">IF((L58)=0,"",(U58/L58))</f>
        <v>-4.3290559849798946E-3</v>
      </c>
      <c r="W58" s="513"/>
      <c r="X58" s="520"/>
      <c r="Y58" s="520"/>
      <c r="Z58" s="518">
        <f>SUM(Z49:Z50,Z42,Z43:Z45)</f>
        <v>221407.19999999998</v>
      </c>
      <c r="AA58" s="521"/>
      <c r="AB58" s="522">
        <f t="shared" ref="AB58:AB62" si="71">Z58-S58</f>
        <v>10299.630000000005</v>
      </c>
      <c r="AC58" s="523">
        <f t="shared" ref="AC58:AC62" si="72">IF((S58)=0,"",(AB58/S58))</f>
        <v>4.8788539416184863E-2</v>
      </c>
      <c r="AD58" s="513"/>
      <c r="AE58" s="520"/>
      <c r="AF58" s="520"/>
      <c r="AG58" s="518">
        <f>SUM(AG49:AG50,AG42,AG43:AG45)</f>
        <v>229569.92999999996</v>
      </c>
      <c r="AH58" s="521"/>
      <c r="AI58" s="522">
        <f t="shared" ref="AI58:AI62" si="73">AG58-Z58</f>
        <v>8162.7299999999814</v>
      </c>
      <c r="AJ58" s="523">
        <f t="shared" ref="AJ58:AJ62" si="74">IF((Z58)=0,"",(AI58/Z58))</f>
        <v>3.6867500243894423E-2</v>
      </c>
      <c r="AK58" s="513"/>
      <c r="AL58" s="520"/>
      <c r="AM58" s="520"/>
      <c r="AN58" s="518">
        <f>SUM(AN49:AN50,AN42,AN43:AN45)</f>
        <v>236789.95999999996</v>
      </c>
      <c r="AO58" s="521"/>
      <c r="AP58" s="522">
        <f t="shared" ref="AP58:AP62" si="75">AN58-AG58</f>
        <v>7220.0299999999988</v>
      </c>
      <c r="AQ58" s="523">
        <f t="shared" ref="AQ58:AQ62" si="76">IF((AG58)=0,"",(AP58/AG58))</f>
        <v>3.1450242634128954E-2</v>
      </c>
      <c r="AR58" s="524"/>
    </row>
    <row r="59" spans="1:44" ht="12.75" customHeight="1">
      <c r="A59" s="513"/>
      <c r="B59" s="525" t="s">
        <v>316</v>
      </c>
      <c r="C59" s="563"/>
      <c r="D59" s="515"/>
      <c r="E59" s="515"/>
      <c r="F59" s="516">
        <v>0.13</v>
      </c>
      <c r="G59" s="517"/>
      <c r="H59" s="526">
        <f>H58*F59</f>
        <v>27092.621399999996</v>
      </c>
      <c r="I59" s="527"/>
      <c r="J59" s="516">
        <v>0.13</v>
      </c>
      <c r="K59" s="528"/>
      <c r="L59" s="529">
        <f>L58*J59</f>
        <v>27563.307199999996</v>
      </c>
      <c r="M59" s="530"/>
      <c r="N59" s="531">
        <f t="shared" si="67"/>
        <v>470.68579999999929</v>
      </c>
      <c r="O59" s="532">
        <f t="shared" si="68"/>
        <v>1.7373209961882807E-2</v>
      </c>
      <c r="P59" s="513"/>
      <c r="Q59" s="516">
        <v>0.13</v>
      </c>
      <c r="R59" s="528"/>
      <c r="S59" s="529">
        <f>S58*Q59</f>
        <v>27443.984099999998</v>
      </c>
      <c r="T59" s="530"/>
      <c r="U59" s="531">
        <f t="shared" si="69"/>
        <v>-119.32309999999779</v>
      </c>
      <c r="V59" s="532">
        <f t="shared" si="70"/>
        <v>-4.3290559849798365E-3</v>
      </c>
      <c r="W59" s="513"/>
      <c r="X59" s="516">
        <v>0.13</v>
      </c>
      <c r="Y59" s="528"/>
      <c r="Z59" s="529">
        <f>Z58*X59</f>
        <v>28782.935999999998</v>
      </c>
      <c r="AA59" s="530"/>
      <c r="AB59" s="531">
        <f t="shared" si="71"/>
        <v>1338.9519</v>
      </c>
      <c r="AC59" s="532">
        <f t="shared" si="72"/>
        <v>4.8788539416184842E-2</v>
      </c>
      <c r="AD59" s="513"/>
      <c r="AE59" s="516">
        <v>0.13</v>
      </c>
      <c r="AF59" s="528"/>
      <c r="AG59" s="529">
        <f>AG58*AE59</f>
        <v>29844.090899999996</v>
      </c>
      <c r="AH59" s="530"/>
      <c r="AI59" s="531">
        <f t="shared" si="73"/>
        <v>1061.1548999999977</v>
      </c>
      <c r="AJ59" s="532">
        <f t="shared" si="74"/>
        <v>3.686750024389443E-2</v>
      </c>
      <c r="AK59" s="513"/>
      <c r="AL59" s="516">
        <v>0.13</v>
      </c>
      <c r="AM59" s="528"/>
      <c r="AN59" s="529">
        <f>AN58*AL59</f>
        <v>30782.694799999997</v>
      </c>
      <c r="AO59" s="530"/>
      <c r="AP59" s="531">
        <f t="shared" si="75"/>
        <v>938.60390000000189</v>
      </c>
      <c r="AQ59" s="532">
        <f t="shared" si="76"/>
        <v>3.1450242634129023E-2</v>
      </c>
      <c r="AR59" s="533"/>
    </row>
    <row r="60" spans="1:44" ht="12.75" customHeight="1">
      <c r="A60" s="513"/>
      <c r="B60" s="554" t="s">
        <v>412</v>
      </c>
      <c r="C60" s="563"/>
      <c r="D60" s="515"/>
      <c r="E60" s="515"/>
      <c r="F60" s="535"/>
      <c r="G60" s="530"/>
      <c r="H60" s="526">
        <f>H58+H59</f>
        <v>235497.40139999997</v>
      </c>
      <c r="I60" s="527"/>
      <c r="J60" s="527"/>
      <c r="K60" s="527"/>
      <c r="L60" s="529">
        <f>L58+L59</f>
        <v>239588.74719999998</v>
      </c>
      <c r="M60" s="530"/>
      <c r="N60" s="531">
        <f t="shared" si="67"/>
        <v>4091.3458000000101</v>
      </c>
      <c r="O60" s="532">
        <f t="shared" si="68"/>
        <v>1.7373209961882876E-2</v>
      </c>
      <c r="P60" s="513"/>
      <c r="Q60" s="527"/>
      <c r="R60" s="527"/>
      <c r="S60" s="529">
        <f>S58+S59</f>
        <v>238551.55409999998</v>
      </c>
      <c r="T60" s="530"/>
      <c r="U60" s="531">
        <f t="shared" si="69"/>
        <v>-1037.1931000000041</v>
      </c>
      <c r="V60" s="532">
        <f t="shared" si="70"/>
        <v>-4.3290559849799327E-3</v>
      </c>
      <c r="W60" s="513"/>
      <c r="X60" s="527"/>
      <c r="Y60" s="527"/>
      <c r="Z60" s="529">
        <f>Z58+Z59</f>
        <v>250190.13599999997</v>
      </c>
      <c r="AA60" s="530"/>
      <c r="AB60" s="531">
        <f t="shared" si="71"/>
        <v>11638.58189999999</v>
      </c>
      <c r="AC60" s="532">
        <f t="shared" si="72"/>
        <v>4.8788539416184801E-2</v>
      </c>
      <c r="AD60" s="513"/>
      <c r="AE60" s="527"/>
      <c r="AF60" s="527"/>
      <c r="AG60" s="529">
        <f>AG58+AG59</f>
        <v>259414.02089999994</v>
      </c>
      <c r="AH60" s="530"/>
      <c r="AI60" s="531">
        <f t="shared" si="73"/>
        <v>9223.8848999999755</v>
      </c>
      <c r="AJ60" s="532">
        <f t="shared" si="74"/>
        <v>3.6867500243894416E-2</v>
      </c>
      <c r="AK60" s="513"/>
      <c r="AL60" s="527"/>
      <c r="AM60" s="527"/>
      <c r="AN60" s="529">
        <f>AN58+AN59</f>
        <v>267572.65479999996</v>
      </c>
      <c r="AO60" s="530"/>
      <c r="AP60" s="531">
        <f t="shared" si="75"/>
        <v>8158.6339000000153</v>
      </c>
      <c r="AQ60" s="532">
        <f t="shared" si="76"/>
        <v>3.1450242634129023E-2</v>
      </c>
      <c r="AR60" s="533"/>
    </row>
    <row r="61" spans="1:44" ht="15.75" customHeight="1">
      <c r="A61" s="513"/>
      <c r="B61" s="636" t="s">
        <v>273</v>
      </c>
      <c r="C61" s="615"/>
      <c r="D61" s="615"/>
      <c r="E61" s="515"/>
      <c r="F61" s="535"/>
      <c r="G61" s="530"/>
      <c r="H61" s="536">
        <f>F61*H58</f>
        <v>0</v>
      </c>
      <c r="I61" s="527"/>
      <c r="J61" s="527"/>
      <c r="K61" s="527"/>
      <c r="L61" s="537">
        <f>J61*L58</f>
        <v>0</v>
      </c>
      <c r="M61" s="530"/>
      <c r="N61" s="538">
        <f t="shared" si="67"/>
        <v>0</v>
      </c>
      <c r="O61" s="539" t="str">
        <f t="shared" si="68"/>
        <v/>
      </c>
      <c r="P61" s="513"/>
      <c r="Q61" s="527"/>
      <c r="R61" s="527"/>
      <c r="S61" s="537">
        <f>Q61*S58</f>
        <v>0</v>
      </c>
      <c r="T61" s="530"/>
      <c r="U61" s="538">
        <f t="shared" si="69"/>
        <v>0</v>
      </c>
      <c r="V61" s="539" t="str">
        <f t="shared" si="70"/>
        <v/>
      </c>
      <c r="W61" s="513"/>
      <c r="X61" s="527"/>
      <c r="Y61" s="527"/>
      <c r="Z61" s="537">
        <f>X61*Z58</f>
        <v>0</v>
      </c>
      <c r="AA61" s="530"/>
      <c r="AB61" s="538">
        <f t="shared" si="71"/>
        <v>0</v>
      </c>
      <c r="AC61" s="539" t="str">
        <f t="shared" si="72"/>
        <v/>
      </c>
      <c r="AD61" s="513"/>
      <c r="AE61" s="527"/>
      <c r="AF61" s="527"/>
      <c r="AG61" s="537">
        <f>AE61*AG58</f>
        <v>0</v>
      </c>
      <c r="AH61" s="530"/>
      <c r="AI61" s="538">
        <f t="shared" si="73"/>
        <v>0</v>
      </c>
      <c r="AJ61" s="539" t="str">
        <f t="shared" si="74"/>
        <v/>
      </c>
      <c r="AK61" s="513"/>
      <c r="AL61" s="527"/>
      <c r="AM61" s="527"/>
      <c r="AN61" s="537">
        <f>AL61*AN58</f>
        <v>0</v>
      </c>
      <c r="AO61" s="530"/>
      <c r="AP61" s="538">
        <f t="shared" si="75"/>
        <v>0</v>
      </c>
      <c r="AQ61" s="539" t="str">
        <f t="shared" si="76"/>
        <v/>
      </c>
      <c r="AR61" s="540"/>
    </row>
    <row r="62" spans="1:44" ht="13.5" customHeight="1">
      <c r="A62" s="513"/>
      <c r="B62" s="635" t="s">
        <v>321</v>
      </c>
      <c r="C62" s="613"/>
      <c r="D62" s="613"/>
      <c r="E62" s="541"/>
      <c r="F62" s="542"/>
      <c r="G62" s="543"/>
      <c r="H62" s="544">
        <f>H60-H61</f>
        <v>235497.40139999997</v>
      </c>
      <c r="I62" s="545"/>
      <c r="J62" s="545"/>
      <c r="K62" s="545"/>
      <c r="L62" s="546">
        <f>L60-L61</f>
        <v>239588.74719999998</v>
      </c>
      <c r="M62" s="547"/>
      <c r="N62" s="548">
        <f t="shared" si="67"/>
        <v>4091.3458000000101</v>
      </c>
      <c r="O62" s="549">
        <f t="shared" si="68"/>
        <v>1.7373209961882876E-2</v>
      </c>
      <c r="P62" s="513"/>
      <c r="Q62" s="545"/>
      <c r="R62" s="545"/>
      <c r="S62" s="546">
        <f>S60-S61</f>
        <v>238551.55409999998</v>
      </c>
      <c r="T62" s="547"/>
      <c r="U62" s="548">
        <f t="shared" si="69"/>
        <v>-1037.1931000000041</v>
      </c>
      <c r="V62" s="549">
        <f t="shared" si="70"/>
        <v>-4.3290559849799327E-3</v>
      </c>
      <c r="W62" s="513"/>
      <c r="X62" s="545"/>
      <c r="Y62" s="545"/>
      <c r="Z62" s="546">
        <f>Z60-Z61</f>
        <v>250190.13599999997</v>
      </c>
      <c r="AA62" s="547"/>
      <c r="AB62" s="548">
        <f t="shared" si="71"/>
        <v>11638.58189999999</v>
      </c>
      <c r="AC62" s="549">
        <f t="shared" si="72"/>
        <v>4.8788539416184801E-2</v>
      </c>
      <c r="AD62" s="513"/>
      <c r="AE62" s="545"/>
      <c r="AF62" s="545"/>
      <c r="AG62" s="546">
        <f>AG60-AG61</f>
        <v>259414.02089999994</v>
      </c>
      <c r="AH62" s="547"/>
      <c r="AI62" s="548">
        <f t="shared" si="73"/>
        <v>9223.8848999999755</v>
      </c>
      <c r="AJ62" s="549">
        <f t="shared" si="74"/>
        <v>3.6867500243894416E-2</v>
      </c>
      <c r="AK62" s="513"/>
      <c r="AL62" s="545"/>
      <c r="AM62" s="545"/>
      <c r="AN62" s="546">
        <f>AN60-AN61</f>
        <v>267572.65479999996</v>
      </c>
      <c r="AO62" s="547"/>
      <c r="AP62" s="548">
        <f t="shared" si="75"/>
        <v>8158.6339000000153</v>
      </c>
      <c r="AQ62" s="549">
        <f t="shared" si="76"/>
        <v>3.1450242634129023E-2</v>
      </c>
      <c r="AR62" s="550"/>
    </row>
    <row r="63" spans="1:44"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75" customHeight="1">
      <c r="A65" s="52"/>
      <c r="B65" s="306" t="s">
        <v>322</v>
      </c>
      <c r="C65" s="555"/>
      <c r="D65" s="52"/>
      <c r="E65" s="52"/>
      <c r="F65" s="478">
        <f>'Proposed Rates'!$E$303</f>
        <v>5.1000000000000004E-3</v>
      </c>
      <c r="G65" s="52"/>
      <c r="H65" s="52"/>
      <c r="I65" s="52"/>
      <c r="J65" s="478">
        <f>'Proposed Rates'!$F$303</f>
        <v>4.7999999999999996E-3</v>
      </c>
      <c r="K65" s="52"/>
      <c r="L65" s="52"/>
      <c r="M65" s="52"/>
      <c r="N65" s="52"/>
      <c r="O65" s="52"/>
      <c r="P65" s="52"/>
      <c r="Q65" s="478">
        <f>'Proposed Rates'!$G$303</f>
        <v>4.7999999999999996E-3</v>
      </c>
      <c r="R65" s="52"/>
      <c r="S65" s="52"/>
      <c r="T65" s="52"/>
      <c r="U65" s="52"/>
      <c r="V65" s="52"/>
      <c r="W65" s="52"/>
      <c r="X65" s="478">
        <f>'Proposed Rates'!$H$303</f>
        <v>4.7999999999999996E-3</v>
      </c>
      <c r="Y65" s="52"/>
      <c r="Z65" s="52"/>
      <c r="AA65" s="52"/>
      <c r="AB65" s="52"/>
      <c r="AC65" s="52"/>
      <c r="AD65" s="52"/>
      <c r="AE65" s="478">
        <f>'Proposed Rates'!$I$303</f>
        <v>4.7999999999999996E-3</v>
      </c>
      <c r="AF65" s="52"/>
      <c r="AG65" s="52"/>
      <c r="AH65" s="52"/>
      <c r="AI65" s="52"/>
      <c r="AJ65" s="52"/>
      <c r="AK65" s="52"/>
      <c r="AL65" s="478">
        <f>'Proposed Rates'!$J$303</f>
        <v>4.7999999999999996E-3</v>
      </c>
      <c r="AM65" s="52"/>
      <c r="AN65" s="52"/>
      <c r="AO65" s="52"/>
      <c r="AP65" s="52"/>
      <c r="AQ65" s="52"/>
      <c r="AR65" s="52"/>
    </row>
    <row r="66" spans="1:44"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5.75" customHeight="1">
      <c r="A67" s="479" t="s">
        <v>413</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300-000000000000}">
      <formula1>"TOU,non-TOU"</formula1>
    </dataValidation>
    <dataValidation type="list" allowBlank="1" showErrorMessage="1" sqref="E15:E28 E30:E38 E40:E41 E43:E51 E57 E63" xr:uid="{00000000-0002-0000-2300-000001000000}">
      <formula1>#REF!</formula1>
    </dataValidation>
    <dataValidation type="list" allowBlank="1" showInputMessage="1" showErrorMessage="1" prompt="Select Charge Unit - monthly, per kWh, per kW" sqref="D15:D28 D30:D38 D40:D41 D43:D51 D57 D63" xr:uid="{00000000-0002-0000-2300-000002000000}">
      <formula1>"Monthly,per kWh,per kW"</formula1>
    </dataValidation>
  </dataValidations>
  <pageMargins left="0.74803149606299213" right="0.74803149606299213" top="0.98425196850393704" bottom="0.98425196850393704"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000"/>
  <sheetViews>
    <sheetView showGridLines="0" workbookViewId="0">
      <pane ySplit="14" topLeftCell="A42" activePane="bottomLeft" state="frozen"/>
      <selection pane="bottomLeft" activeCell="L33" sqref="L33"/>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5703125" customWidth="1"/>
    <col min="7" max="7" width="8" customWidth="1"/>
    <col min="8" max="8" width="8.28515625" customWidth="1"/>
    <col min="9" max="9" width="0.7109375" customWidth="1"/>
    <col min="10" max="10" width="10.42578125" customWidth="1"/>
    <col min="11" max="11" width="8" customWidth="1"/>
    <col min="12" max="12" width="8.28515625" customWidth="1"/>
    <col min="13" max="13" width="0.7109375" customWidth="1"/>
    <col min="14" max="14" width="9.42578125" customWidth="1"/>
    <col min="15" max="15" width="10" customWidth="1"/>
    <col min="16" max="16" width="0.42578125" customWidth="1"/>
    <col min="17" max="17" width="10.42578125" customWidth="1"/>
    <col min="18" max="18" width="8" customWidth="1"/>
    <col min="19" max="19" width="8.28515625" customWidth="1"/>
    <col min="20" max="20" width="0.85546875" customWidth="1"/>
    <col min="21" max="21" width="9.42578125" customWidth="1"/>
    <col min="22" max="22" width="10" customWidth="1"/>
    <col min="23" max="23" width="0.42578125" customWidth="1"/>
    <col min="24" max="24" width="10.42578125" customWidth="1"/>
    <col min="25" max="25" width="8" customWidth="1"/>
    <col min="26" max="26" width="8.28515625" customWidth="1"/>
    <col min="27" max="27" width="0.42578125" customWidth="1"/>
    <col min="28" max="28" width="9.42578125" customWidth="1"/>
    <col min="29" max="29" width="10" customWidth="1"/>
    <col min="30" max="30" width="1.85546875" customWidth="1"/>
    <col min="31" max="31" width="10.42578125" customWidth="1"/>
    <col min="32" max="32" width="8" customWidth="1"/>
    <col min="33" max="33" width="8.28515625" customWidth="1"/>
    <col min="34" max="34" width="0.42578125" customWidth="1"/>
    <col min="35" max="35" width="9.42578125" customWidth="1"/>
    <col min="36" max="36" width="10" customWidth="1"/>
    <col min="37" max="37" width="0.7109375" customWidth="1"/>
    <col min="38" max="38" width="10.42578125" customWidth="1"/>
    <col min="39" max="39" width="8" customWidth="1"/>
    <col min="40" max="40" width="8.28515625" customWidth="1"/>
    <col min="41" max="41" width="1.28515625" customWidth="1"/>
    <col min="42" max="42" width="9.42578125" customWidth="1"/>
    <col min="43" max="43" width="10" customWidth="1"/>
    <col min="44" max="44" width="1.28515625" customWidth="1"/>
    <col min="45" max="45" width="10.85546875" customWidth="1"/>
    <col min="46" max="46" width="12.42578125" customWidth="1"/>
  </cols>
  <sheetData>
    <row r="1" spans="1:46"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c r="AS1" s="52"/>
    </row>
    <row r="2" spans="1:46"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c r="AS2" s="52"/>
    </row>
    <row r="3" spans="1:46"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row>
    <row r="4" spans="1:46"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row>
    <row r="5" spans="1:46"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row>
    <row r="6" spans="1:46" ht="12" customHeight="1">
      <c r="A6" s="52"/>
      <c r="B6" s="319" t="s">
        <v>294</v>
      </c>
      <c r="C6" s="52"/>
      <c r="D6" s="505" t="s">
        <v>225</v>
      </c>
      <c r="E6" s="506"/>
      <c r="F6" s="506"/>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3"/>
    </row>
    <row r="7" spans="1:46"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row>
    <row r="8" spans="1:46"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row>
    <row r="9" spans="1:46" ht="12" customHeight="1">
      <c r="A9" s="52"/>
      <c r="B9" s="383"/>
      <c r="C9" s="52"/>
      <c r="D9" s="306" t="s">
        <v>297</v>
      </c>
      <c r="E9" s="306"/>
      <c r="F9" s="386">
        <v>94</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row>
    <row r="10" spans="1:46" ht="12" customHeight="1">
      <c r="A10" s="52"/>
      <c r="B10" s="52"/>
      <c r="C10" s="52"/>
      <c r="D10" s="52"/>
      <c r="E10" s="52"/>
      <c r="F10" s="565">
        <v>0.4</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row>
    <row r="11" spans="1:46" ht="12" customHeight="1">
      <c r="A11" s="551"/>
      <c r="B11" s="52"/>
      <c r="C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87"/>
    </row>
    <row r="12" spans="1:46" ht="12" customHeight="1">
      <c r="A12" s="551"/>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566"/>
    </row>
    <row r="13" spans="1:46" ht="12" customHeight="1">
      <c r="A13" s="551"/>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88"/>
    </row>
    <row r="14" spans="1:46" ht="12" customHeight="1">
      <c r="A14" s="551"/>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88"/>
    </row>
    <row r="15" spans="1:46" ht="12" customHeight="1">
      <c r="A15" s="551"/>
      <c r="B15" s="320" t="s">
        <v>218</v>
      </c>
      <c r="C15" s="395" t="str">
        <f t="shared" ref="C15:C28" si="0">D$6&amp;"."&amp;B15</f>
        <v>Sentinel Lights.Monthly Service Charge</v>
      </c>
      <c r="D15" s="396" t="s">
        <v>306</v>
      </c>
      <c r="E15" s="320"/>
      <c r="F15" s="397">
        <f>IFERROR(VLOOKUP($C15,'Proposed Rates'!$B:$J,F$11,FALSE),0)</f>
        <v>7.02</v>
      </c>
      <c r="G15" s="415">
        <f t="shared" ref="G15:G28" si="1">IF($D15="Monthly",1,IF($D15="per KW",$F$10,IF($D15="per kWh",$F$9,0)))</f>
        <v>1</v>
      </c>
      <c r="H15" s="400">
        <f t="shared" ref="H15:H28" si="2">G15*F15</f>
        <v>7.02</v>
      </c>
      <c r="I15" s="128"/>
      <c r="J15" s="397">
        <f>IFERROR(VLOOKUP($C15,'Proposed Rates'!$B:$J,J$11,FALSE),0)</f>
        <v>8.41</v>
      </c>
      <c r="K15" s="415">
        <f t="shared" ref="K15:K28" si="3">IF($D15="Monthly",1,IF($D15="per KW",$F$10,IF($D15="per kWh",$F$9,0)))</f>
        <v>1</v>
      </c>
      <c r="L15" s="400">
        <f t="shared" ref="L15:L28" si="4">K15*J15</f>
        <v>8.41</v>
      </c>
      <c r="M15" s="128"/>
      <c r="N15" s="401">
        <f t="shared" ref="N15:N50" si="5">L15-H15</f>
        <v>1.3900000000000006</v>
      </c>
      <c r="O15" s="402">
        <f t="shared" ref="O15:O50" si="6">IF((H15)=0,"",(N15/H15))</f>
        <v>0.19800569800569809</v>
      </c>
      <c r="P15" s="52"/>
      <c r="Q15" s="397">
        <f>IFERROR(VLOOKUP($C15,'Proposed Rates'!$B:$J,Q$11,FALSE),0)</f>
        <v>9.0500000000000007</v>
      </c>
      <c r="R15" s="415">
        <f t="shared" ref="R15:R28" si="7">IF($D15="Monthly",1,IF($D15="per KW",$F$10,IF($D15="per kWh",$F$9,0)))</f>
        <v>1</v>
      </c>
      <c r="S15" s="400">
        <f t="shared" ref="S15:S28" si="8">R15*Q15</f>
        <v>9.0500000000000007</v>
      </c>
      <c r="T15" s="128"/>
      <c r="U15" s="401">
        <f t="shared" ref="U15:U50" si="9">S15-L15</f>
        <v>0.64000000000000057</v>
      </c>
      <c r="V15" s="402">
        <f t="shared" ref="V15:V50" si="10">IF((L15)=0,"",(U15/L15))</f>
        <v>7.6099881093935853E-2</v>
      </c>
      <c r="W15" s="52"/>
      <c r="X15" s="397">
        <f>IFERROR(VLOOKUP($C15,'Proposed Rates'!$B:$J,X$11,FALSE),0)</f>
        <v>9.86</v>
      </c>
      <c r="Y15" s="415">
        <f t="shared" ref="Y15:Y28" si="11">IF($D15="Monthly",1,IF($D15="per KW",$F$10,IF($D15="per kWh",$F$9,0)))</f>
        <v>1</v>
      </c>
      <c r="Z15" s="400">
        <f t="shared" ref="Z15:Z28" si="12">Y15*X15</f>
        <v>9.86</v>
      </c>
      <c r="AA15" s="128"/>
      <c r="AB15" s="401">
        <f t="shared" ref="AB15:AB50" si="13">Z15-S15</f>
        <v>0.80999999999999872</v>
      </c>
      <c r="AC15" s="402">
        <f t="shared" ref="AC15:AC50" si="14">IF((S15)=0,"",(AB15/S15))</f>
        <v>8.9502762430939076E-2</v>
      </c>
      <c r="AD15" s="52"/>
      <c r="AE15" s="397">
        <f>IFERROR(VLOOKUP($C15,'Proposed Rates'!$B:$J,AE$11,FALSE),0)</f>
        <v>10.49</v>
      </c>
      <c r="AF15" s="415">
        <f t="shared" ref="AF15:AF28" si="15">IF($D15="Monthly",1,IF($D15="per KW",$F$10,IF($D15="per kWh",$F$9,0)))</f>
        <v>1</v>
      </c>
      <c r="AG15" s="400">
        <f t="shared" ref="AG15:AG28" si="16">AF15*AE15</f>
        <v>10.49</v>
      </c>
      <c r="AH15" s="128"/>
      <c r="AI15" s="401">
        <f t="shared" ref="AI15:AI50" si="17">AG15-Z15</f>
        <v>0.63000000000000078</v>
      </c>
      <c r="AJ15" s="402">
        <f t="shared" ref="AJ15:AJ50" si="18">IF((Z15)=0,"",(AI15/Z15))</f>
        <v>6.3894523326572097E-2</v>
      </c>
      <c r="AK15" s="52"/>
      <c r="AL15" s="397">
        <f>IFERROR(VLOOKUP($C15,'Proposed Rates'!$B:$J,AL$11,FALSE),0)</f>
        <v>11.09</v>
      </c>
      <c r="AM15" s="415">
        <f t="shared" ref="AM15:AM28" si="19">IF($D15="Monthly",1,IF($D15="per KW",$F$10,IF($D15="per kWh",$F$9,0)))</f>
        <v>1</v>
      </c>
      <c r="AN15" s="400">
        <f t="shared" ref="AN15:AN28" si="20">AM15*AL15</f>
        <v>11.09</v>
      </c>
      <c r="AO15" s="128"/>
      <c r="AP15" s="401">
        <f t="shared" ref="AP15:AP50" si="21">AN15-AG15</f>
        <v>0.59999999999999964</v>
      </c>
      <c r="AQ15" s="402">
        <f t="shared" ref="AQ15:AQ50" si="22">IF((AG15)=0,"",(AP15/AG15))</f>
        <v>5.7197330791229704E-2</v>
      </c>
      <c r="AR15" s="403"/>
      <c r="AS15" s="403"/>
    </row>
    <row r="16" spans="1:46" ht="12" customHeight="1">
      <c r="A16" s="551"/>
      <c r="B16" s="320" t="s">
        <v>307</v>
      </c>
      <c r="C16" s="395" t="str">
        <f t="shared" si="0"/>
        <v>Sentinel Lights.Smart Meter Rate Adder</v>
      </c>
      <c r="D16" s="396" t="s">
        <v>306</v>
      </c>
      <c r="E16" s="320"/>
      <c r="F16" s="567">
        <f>IFERROR(VLOOKUP($C16,'Proposed Rates'!$B:$J,F$11,FALSE),0)</f>
        <v>0</v>
      </c>
      <c r="G16" s="415">
        <f t="shared" si="1"/>
        <v>1</v>
      </c>
      <c r="H16" s="400">
        <f t="shared" si="2"/>
        <v>0</v>
      </c>
      <c r="I16" s="128"/>
      <c r="J16" s="567">
        <f>IFERROR(VLOOKUP($C16,'Proposed Rates'!$B:$J,J$11,FALSE),0)</f>
        <v>0</v>
      </c>
      <c r="K16" s="415">
        <f t="shared" si="3"/>
        <v>1</v>
      </c>
      <c r="L16" s="400">
        <f t="shared" si="4"/>
        <v>0</v>
      </c>
      <c r="M16" s="128"/>
      <c r="N16" s="401">
        <f t="shared" si="5"/>
        <v>0</v>
      </c>
      <c r="O16" s="402" t="str">
        <f t="shared" si="6"/>
        <v/>
      </c>
      <c r="P16" s="52"/>
      <c r="Q16" s="567">
        <f>IFERROR(VLOOKUP($C16,'Proposed Rates'!$B:$J,Q$11,FALSE),0)</f>
        <v>0</v>
      </c>
      <c r="R16" s="415">
        <f t="shared" si="7"/>
        <v>1</v>
      </c>
      <c r="S16" s="400">
        <f t="shared" si="8"/>
        <v>0</v>
      </c>
      <c r="T16" s="128"/>
      <c r="U16" s="401">
        <f t="shared" si="9"/>
        <v>0</v>
      </c>
      <c r="V16" s="402" t="str">
        <f t="shared" si="10"/>
        <v/>
      </c>
      <c r="W16" s="52"/>
      <c r="X16" s="567">
        <f>IFERROR(VLOOKUP($C16,'Proposed Rates'!$B:$J,X$11,FALSE),0)</f>
        <v>0</v>
      </c>
      <c r="Y16" s="415">
        <f t="shared" si="11"/>
        <v>1</v>
      </c>
      <c r="Z16" s="400">
        <f t="shared" si="12"/>
        <v>0</v>
      </c>
      <c r="AA16" s="128"/>
      <c r="AB16" s="401">
        <f t="shared" si="13"/>
        <v>0</v>
      </c>
      <c r="AC16" s="402" t="str">
        <f t="shared" si="14"/>
        <v/>
      </c>
      <c r="AD16" s="52"/>
      <c r="AE16" s="567">
        <f>IFERROR(VLOOKUP($C16,'Proposed Rates'!$B:$J,AE$11,FALSE),0)</f>
        <v>0</v>
      </c>
      <c r="AF16" s="415">
        <f t="shared" si="15"/>
        <v>1</v>
      </c>
      <c r="AG16" s="400">
        <f t="shared" si="16"/>
        <v>0</v>
      </c>
      <c r="AH16" s="128"/>
      <c r="AI16" s="401">
        <f t="shared" si="17"/>
        <v>0</v>
      </c>
      <c r="AJ16" s="402" t="str">
        <f t="shared" si="18"/>
        <v/>
      </c>
      <c r="AK16" s="52"/>
      <c r="AL16" s="567">
        <f>IFERROR(VLOOKUP($C16,'Proposed Rates'!$B:$J,AL$11,FALSE),0)</f>
        <v>0</v>
      </c>
      <c r="AM16" s="415">
        <f t="shared" si="19"/>
        <v>1</v>
      </c>
      <c r="AN16" s="400">
        <f t="shared" si="20"/>
        <v>0</v>
      </c>
      <c r="AO16" s="128"/>
      <c r="AP16" s="401">
        <f t="shared" si="21"/>
        <v>0</v>
      </c>
      <c r="AQ16" s="402" t="str">
        <f t="shared" si="22"/>
        <v/>
      </c>
      <c r="AR16" s="403"/>
      <c r="AS16" s="403"/>
    </row>
    <row r="17" spans="1:45" ht="12" customHeight="1">
      <c r="A17" s="551"/>
      <c r="B17" s="404" t="str">
        <f>'Proposed Rates'!C115</f>
        <v>Rate Rider Calculation for PILs</v>
      </c>
      <c r="C17" s="395" t="str">
        <f t="shared" si="0"/>
        <v>Sentinel Lights.Rate Rider Calculation for PILs</v>
      </c>
      <c r="D17" s="396" t="s">
        <v>377</v>
      </c>
      <c r="E17" s="320"/>
      <c r="F17" s="567">
        <f>IFERROR(VLOOKUP($C17,'Proposed Rates'!$B:$J,F$11,FALSE),0)</f>
        <v>0</v>
      </c>
      <c r="G17" s="568">
        <f t="shared" si="1"/>
        <v>0.4</v>
      </c>
      <c r="H17" s="400">
        <f t="shared" si="2"/>
        <v>0</v>
      </c>
      <c r="I17" s="128"/>
      <c r="J17" s="567">
        <f>IFERROR(VLOOKUP($C17,'Proposed Rates'!$B:$J,J$11,FALSE),0)</f>
        <v>0</v>
      </c>
      <c r="K17" s="568">
        <f t="shared" si="3"/>
        <v>0.4</v>
      </c>
      <c r="L17" s="400">
        <f t="shared" si="4"/>
        <v>0</v>
      </c>
      <c r="M17" s="128"/>
      <c r="N17" s="401">
        <f t="shared" si="5"/>
        <v>0</v>
      </c>
      <c r="O17" s="402" t="str">
        <f t="shared" si="6"/>
        <v/>
      </c>
      <c r="P17" s="52"/>
      <c r="Q17" s="567">
        <f>IFERROR(VLOOKUP($C17,'Proposed Rates'!$B:$J,Q$11,FALSE),0)</f>
        <v>0</v>
      </c>
      <c r="R17" s="568">
        <f t="shared" si="7"/>
        <v>0.4</v>
      </c>
      <c r="S17" s="400">
        <f t="shared" si="8"/>
        <v>0</v>
      </c>
      <c r="T17" s="128"/>
      <c r="U17" s="401">
        <f t="shared" si="9"/>
        <v>0</v>
      </c>
      <c r="V17" s="402" t="str">
        <f t="shared" si="10"/>
        <v/>
      </c>
      <c r="W17" s="52"/>
      <c r="X17" s="567">
        <f>IFERROR(VLOOKUP($C17,'Proposed Rates'!$B:$J,X$11,FALSE),0)</f>
        <v>0</v>
      </c>
      <c r="Y17" s="568">
        <f t="shared" si="11"/>
        <v>0.4</v>
      </c>
      <c r="Z17" s="400">
        <f t="shared" si="12"/>
        <v>0</v>
      </c>
      <c r="AA17" s="128"/>
      <c r="AB17" s="401">
        <f t="shared" si="13"/>
        <v>0</v>
      </c>
      <c r="AC17" s="402" t="str">
        <f t="shared" si="14"/>
        <v/>
      </c>
      <c r="AD17" s="52"/>
      <c r="AE17" s="567">
        <f>IFERROR(VLOOKUP($C17,'Proposed Rates'!$B:$J,AE$11,FALSE),0)</f>
        <v>0</v>
      </c>
      <c r="AF17" s="568">
        <f t="shared" si="15"/>
        <v>0.4</v>
      </c>
      <c r="AG17" s="400">
        <f t="shared" si="16"/>
        <v>0</v>
      </c>
      <c r="AH17" s="128"/>
      <c r="AI17" s="401">
        <f t="shared" si="17"/>
        <v>0</v>
      </c>
      <c r="AJ17" s="402" t="str">
        <f t="shared" si="18"/>
        <v/>
      </c>
      <c r="AK17" s="52"/>
      <c r="AL17" s="567">
        <f>IFERROR(VLOOKUP($C17,'Proposed Rates'!$B:$J,AL$11,FALSE),0)</f>
        <v>0</v>
      </c>
      <c r="AM17" s="568">
        <f t="shared" si="19"/>
        <v>0.4</v>
      </c>
      <c r="AN17" s="400">
        <f t="shared" si="20"/>
        <v>0</v>
      </c>
      <c r="AO17" s="128"/>
      <c r="AP17" s="401">
        <f t="shared" si="21"/>
        <v>0</v>
      </c>
      <c r="AQ17" s="402" t="str">
        <f t="shared" si="22"/>
        <v/>
      </c>
      <c r="AR17" s="403"/>
      <c r="AS17" s="403"/>
    </row>
    <row r="18" spans="1:45" ht="12" customHeight="1">
      <c r="A18" s="551"/>
      <c r="B18" s="404" t="str">
        <f>'Proposed Rates'!C128</f>
        <v>Rate Rider Calculation for Generic</v>
      </c>
      <c r="C18" s="395" t="str">
        <f t="shared" si="0"/>
        <v>Sentinel Lights.Rate Rider Calculation for Generic</v>
      </c>
      <c r="D18" s="396" t="s">
        <v>377</v>
      </c>
      <c r="E18" s="320"/>
      <c r="F18" s="567">
        <f>IFERROR(VLOOKUP($C18,'Proposed Rates'!$B:$J,F$11,FALSE),0)</f>
        <v>0</v>
      </c>
      <c r="G18" s="568">
        <f t="shared" si="1"/>
        <v>0.4</v>
      </c>
      <c r="H18" s="400">
        <f t="shared" si="2"/>
        <v>0</v>
      </c>
      <c r="I18" s="128"/>
      <c r="J18" s="567">
        <f>IFERROR(VLOOKUP($C18,'Proposed Rates'!$B:$J,J$11,FALSE),0)</f>
        <v>0</v>
      </c>
      <c r="K18" s="568">
        <f t="shared" si="3"/>
        <v>0.4</v>
      </c>
      <c r="L18" s="400">
        <f t="shared" si="4"/>
        <v>0</v>
      </c>
      <c r="M18" s="128"/>
      <c r="N18" s="401">
        <f t="shared" si="5"/>
        <v>0</v>
      </c>
      <c r="O18" s="402" t="str">
        <f t="shared" si="6"/>
        <v/>
      </c>
      <c r="P18" s="52"/>
      <c r="Q18" s="567">
        <f>IFERROR(VLOOKUP($C18,'Proposed Rates'!$B:$J,Q$11,FALSE),0)</f>
        <v>0</v>
      </c>
      <c r="R18" s="568">
        <f t="shared" si="7"/>
        <v>0.4</v>
      </c>
      <c r="S18" s="400">
        <f t="shared" si="8"/>
        <v>0</v>
      </c>
      <c r="T18" s="128"/>
      <c r="U18" s="401">
        <f t="shared" si="9"/>
        <v>0</v>
      </c>
      <c r="V18" s="402" t="str">
        <f t="shared" si="10"/>
        <v/>
      </c>
      <c r="W18" s="52"/>
      <c r="X18" s="567">
        <f>IFERROR(VLOOKUP($C18,'Proposed Rates'!$B:$J,X$11,FALSE),0)</f>
        <v>0</v>
      </c>
      <c r="Y18" s="568">
        <f t="shared" si="11"/>
        <v>0.4</v>
      </c>
      <c r="Z18" s="400">
        <f t="shared" si="12"/>
        <v>0</v>
      </c>
      <c r="AA18" s="128"/>
      <c r="AB18" s="401">
        <f t="shared" si="13"/>
        <v>0</v>
      </c>
      <c r="AC18" s="402" t="str">
        <f t="shared" si="14"/>
        <v/>
      </c>
      <c r="AD18" s="52"/>
      <c r="AE18" s="567">
        <f>IFERROR(VLOOKUP($C18,'Proposed Rates'!$B:$J,AE$11,FALSE),0)</f>
        <v>0</v>
      </c>
      <c r="AF18" s="568">
        <f t="shared" si="15"/>
        <v>0.4</v>
      </c>
      <c r="AG18" s="400">
        <f t="shared" si="16"/>
        <v>0</v>
      </c>
      <c r="AH18" s="128"/>
      <c r="AI18" s="401">
        <f t="shared" si="17"/>
        <v>0</v>
      </c>
      <c r="AJ18" s="402" t="str">
        <f t="shared" si="18"/>
        <v/>
      </c>
      <c r="AK18" s="52"/>
      <c r="AL18" s="567">
        <f>IFERROR(VLOOKUP($C18,'Proposed Rates'!$B:$J,AL$11,FALSE),0)</f>
        <v>0</v>
      </c>
      <c r="AM18" s="568">
        <f t="shared" si="19"/>
        <v>0.4</v>
      </c>
      <c r="AN18" s="400">
        <f t="shared" si="20"/>
        <v>0</v>
      </c>
      <c r="AO18" s="128"/>
      <c r="AP18" s="401">
        <f t="shared" si="21"/>
        <v>0</v>
      </c>
      <c r="AQ18" s="402" t="str">
        <f t="shared" si="22"/>
        <v/>
      </c>
      <c r="AR18" s="403"/>
      <c r="AS18" s="403"/>
    </row>
    <row r="19" spans="1:45" ht="12" customHeight="1">
      <c r="A19" s="551"/>
      <c r="B19" s="320" t="s">
        <v>59</v>
      </c>
      <c r="C19" s="395" t="str">
        <f t="shared" si="0"/>
        <v>Sentinel Lights.Distribution Volumetric Rate</v>
      </c>
      <c r="D19" s="396" t="s">
        <v>377</v>
      </c>
      <c r="E19" s="320"/>
      <c r="F19" s="397">
        <f>IFERROR(VLOOKUP($C19,'Proposed Rates'!$B:$J,F$11,FALSE),0)</f>
        <v>32.929699999999997</v>
      </c>
      <c r="G19" s="568">
        <f t="shared" si="1"/>
        <v>0.4</v>
      </c>
      <c r="H19" s="400">
        <f t="shared" si="2"/>
        <v>13.17188</v>
      </c>
      <c r="I19" s="128"/>
      <c r="J19" s="397">
        <f>IFERROR(VLOOKUP($C19,'Proposed Rates'!$B:$J,J$11,FALSE),0)</f>
        <v>39.417299999999997</v>
      </c>
      <c r="K19" s="568">
        <f t="shared" si="3"/>
        <v>0.4</v>
      </c>
      <c r="L19" s="400">
        <f t="shared" si="4"/>
        <v>15.766919999999999</v>
      </c>
      <c r="M19" s="128"/>
      <c r="N19" s="401">
        <f t="shared" si="5"/>
        <v>2.5950399999999991</v>
      </c>
      <c r="O19" s="402">
        <f t="shared" si="6"/>
        <v>0.19701363814428913</v>
      </c>
      <c r="P19" s="52"/>
      <c r="Q19" s="397">
        <f>IFERROR(VLOOKUP($C19,'Proposed Rates'!$B:$J,Q$11,FALSE),0)</f>
        <v>42.374499999999998</v>
      </c>
      <c r="R19" s="568">
        <f t="shared" si="7"/>
        <v>0.4</v>
      </c>
      <c r="S19" s="400">
        <f t="shared" si="8"/>
        <v>16.9498</v>
      </c>
      <c r="T19" s="128"/>
      <c r="U19" s="401">
        <f t="shared" si="9"/>
        <v>1.1828800000000008</v>
      </c>
      <c r="V19" s="402">
        <f t="shared" si="10"/>
        <v>7.5022896038034123E-2</v>
      </c>
      <c r="W19" s="52"/>
      <c r="X19" s="397">
        <f>IFERROR(VLOOKUP($C19,'Proposed Rates'!$B:$J,X$11,FALSE),0)</f>
        <v>46.154299999999999</v>
      </c>
      <c r="Y19" s="568">
        <f t="shared" si="11"/>
        <v>0.4</v>
      </c>
      <c r="Z19" s="400">
        <f t="shared" si="12"/>
        <v>18.46172</v>
      </c>
      <c r="AA19" s="128"/>
      <c r="AB19" s="401">
        <f t="shared" si="13"/>
        <v>1.5119199999999999</v>
      </c>
      <c r="AC19" s="402">
        <f t="shared" si="14"/>
        <v>8.9199872564868013E-2</v>
      </c>
      <c r="AD19" s="52"/>
      <c r="AE19" s="397">
        <f>IFERROR(VLOOKUP($C19,'Proposed Rates'!$B:$J,AE$11,FALSE),0)</f>
        <v>49.113</v>
      </c>
      <c r="AF19" s="568">
        <f t="shared" si="15"/>
        <v>0.4</v>
      </c>
      <c r="AG19" s="400">
        <f t="shared" si="16"/>
        <v>19.645200000000003</v>
      </c>
      <c r="AH19" s="128"/>
      <c r="AI19" s="401">
        <f t="shared" si="17"/>
        <v>1.183480000000003</v>
      </c>
      <c r="AJ19" s="402">
        <f t="shared" si="18"/>
        <v>6.4104536305393159E-2</v>
      </c>
      <c r="AK19" s="52"/>
      <c r="AL19" s="397">
        <f>IFERROR(VLOOKUP($C19,'Proposed Rates'!$B:$J,AL$11,FALSE),0)</f>
        <v>51.912999999999997</v>
      </c>
      <c r="AM19" s="568">
        <f t="shared" si="19"/>
        <v>0.4</v>
      </c>
      <c r="AN19" s="400">
        <f t="shared" si="20"/>
        <v>20.7652</v>
      </c>
      <c r="AO19" s="128"/>
      <c r="AP19" s="401">
        <f t="shared" si="21"/>
        <v>1.1199999999999974</v>
      </c>
      <c r="AQ19" s="402">
        <f t="shared" si="22"/>
        <v>5.7011381915175068E-2</v>
      </c>
      <c r="AR19" s="403"/>
      <c r="AS19" s="403"/>
    </row>
    <row r="20" spans="1:45" ht="12" customHeight="1">
      <c r="A20" s="551"/>
      <c r="B20" s="320" t="s">
        <v>309</v>
      </c>
      <c r="C20" s="395" t="str">
        <f t="shared" si="0"/>
        <v>Sentinel Lights.Smart Meter Disposition Rider</v>
      </c>
      <c r="D20" s="396" t="s">
        <v>308</v>
      </c>
      <c r="E20" s="320"/>
      <c r="F20" s="397">
        <f>IFERROR(VLOOKUP($C20,'Proposed Rates'!$B:$J,F$11,FALSE),0)</f>
        <v>0</v>
      </c>
      <c r="G20" s="415">
        <f t="shared" si="1"/>
        <v>94</v>
      </c>
      <c r="H20" s="400">
        <f t="shared" si="2"/>
        <v>0</v>
      </c>
      <c r="I20" s="128"/>
      <c r="J20" s="397">
        <f>IFERROR(VLOOKUP($C20,'Proposed Rates'!$B:$J,J$11,FALSE),0)</f>
        <v>0</v>
      </c>
      <c r="K20" s="415">
        <f t="shared" si="3"/>
        <v>94</v>
      </c>
      <c r="L20" s="400">
        <f t="shared" si="4"/>
        <v>0</v>
      </c>
      <c r="M20" s="128"/>
      <c r="N20" s="401">
        <f t="shared" si="5"/>
        <v>0</v>
      </c>
      <c r="O20" s="402" t="str">
        <f t="shared" si="6"/>
        <v/>
      </c>
      <c r="P20" s="52"/>
      <c r="Q20" s="397">
        <f>IFERROR(VLOOKUP($C20,'Proposed Rates'!$B:$J,Q$11,FALSE),0)</f>
        <v>0</v>
      </c>
      <c r="R20" s="415">
        <f t="shared" si="7"/>
        <v>94</v>
      </c>
      <c r="S20" s="400">
        <f t="shared" si="8"/>
        <v>0</v>
      </c>
      <c r="T20" s="128"/>
      <c r="U20" s="401">
        <f t="shared" si="9"/>
        <v>0</v>
      </c>
      <c r="V20" s="402" t="str">
        <f t="shared" si="10"/>
        <v/>
      </c>
      <c r="W20" s="52"/>
      <c r="X20" s="397">
        <f>IFERROR(VLOOKUP($C20,'Proposed Rates'!$B:$J,X$11,FALSE),0)</f>
        <v>0</v>
      </c>
      <c r="Y20" s="415">
        <f t="shared" si="11"/>
        <v>94</v>
      </c>
      <c r="Z20" s="400">
        <f t="shared" si="12"/>
        <v>0</v>
      </c>
      <c r="AA20" s="128"/>
      <c r="AB20" s="401">
        <f t="shared" si="13"/>
        <v>0</v>
      </c>
      <c r="AC20" s="402" t="str">
        <f t="shared" si="14"/>
        <v/>
      </c>
      <c r="AD20" s="52"/>
      <c r="AE20" s="397">
        <f>IFERROR(VLOOKUP($C20,'Proposed Rates'!$B:$J,AE$11,FALSE),0)</f>
        <v>0</v>
      </c>
      <c r="AF20" s="415">
        <f t="shared" si="15"/>
        <v>94</v>
      </c>
      <c r="AG20" s="400">
        <f t="shared" si="16"/>
        <v>0</v>
      </c>
      <c r="AH20" s="128"/>
      <c r="AI20" s="401">
        <f t="shared" si="17"/>
        <v>0</v>
      </c>
      <c r="AJ20" s="402" t="str">
        <f t="shared" si="18"/>
        <v/>
      </c>
      <c r="AK20" s="52"/>
      <c r="AL20" s="397">
        <f>IFERROR(VLOOKUP($C20,'Proposed Rates'!$B:$J,AL$11,FALSE),0)</f>
        <v>0</v>
      </c>
      <c r="AM20" s="415">
        <f t="shared" si="19"/>
        <v>94</v>
      </c>
      <c r="AN20" s="400">
        <f t="shared" si="20"/>
        <v>0</v>
      </c>
      <c r="AO20" s="128"/>
      <c r="AP20" s="401">
        <f t="shared" si="21"/>
        <v>0</v>
      </c>
      <c r="AQ20" s="402" t="str">
        <f t="shared" si="22"/>
        <v/>
      </c>
      <c r="AR20" s="403"/>
      <c r="AS20" s="403"/>
    </row>
    <row r="21" spans="1:45" ht="12" customHeight="1">
      <c r="A21" s="551"/>
      <c r="B21" s="320" t="s">
        <v>241</v>
      </c>
      <c r="C21" s="395" t="str">
        <f t="shared" si="0"/>
        <v>Sentinel Lights.LRAM Rate Rider</v>
      </c>
      <c r="D21" s="396" t="s">
        <v>377</v>
      </c>
      <c r="E21" s="320"/>
      <c r="F21" s="414">
        <f>'Proposed Rates'!E83+'Proposed Rates'!E96</f>
        <v>0</v>
      </c>
      <c r="G21" s="568">
        <f t="shared" si="1"/>
        <v>0.4</v>
      </c>
      <c r="H21" s="400">
        <f t="shared" si="2"/>
        <v>0</v>
      </c>
      <c r="I21" s="128"/>
      <c r="J21" s="414">
        <f>'Proposed Rates'!F83+'Proposed Rates'!F96</f>
        <v>0</v>
      </c>
      <c r="K21" s="568">
        <f t="shared" si="3"/>
        <v>0.4</v>
      </c>
      <c r="L21" s="400">
        <f t="shared" si="4"/>
        <v>0</v>
      </c>
      <c r="M21" s="128"/>
      <c r="N21" s="401">
        <f t="shared" si="5"/>
        <v>0</v>
      </c>
      <c r="O21" s="402" t="str">
        <f t="shared" si="6"/>
        <v/>
      </c>
      <c r="P21" s="52"/>
      <c r="Q21" s="414">
        <f>'Proposed Rates'!G83+'Proposed Rates'!G96</f>
        <v>0</v>
      </c>
      <c r="R21" s="568">
        <f t="shared" si="7"/>
        <v>0.4</v>
      </c>
      <c r="S21" s="400">
        <f t="shared" si="8"/>
        <v>0</v>
      </c>
      <c r="T21" s="128"/>
      <c r="U21" s="401">
        <f t="shared" si="9"/>
        <v>0</v>
      </c>
      <c r="V21" s="402" t="str">
        <f t="shared" si="10"/>
        <v/>
      </c>
      <c r="W21" s="52"/>
      <c r="X21" s="397">
        <f>IFERROR(VLOOKUP($C21,'Proposed Rates'!$B:$J,X$11,FALSE),0)</f>
        <v>0</v>
      </c>
      <c r="Y21" s="568">
        <f t="shared" si="11"/>
        <v>0.4</v>
      </c>
      <c r="Z21" s="400">
        <f t="shared" si="12"/>
        <v>0</v>
      </c>
      <c r="AA21" s="128"/>
      <c r="AB21" s="401">
        <f t="shared" si="13"/>
        <v>0</v>
      </c>
      <c r="AC21" s="402" t="str">
        <f t="shared" si="14"/>
        <v/>
      </c>
      <c r="AD21" s="52"/>
      <c r="AE21" s="397">
        <f>IFERROR(VLOOKUP($C21,'Proposed Rates'!$B:$J,AE$11,FALSE),0)</f>
        <v>0</v>
      </c>
      <c r="AF21" s="568">
        <f t="shared" si="15"/>
        <v>0.4</v>
      </c>
      <c r="AG21" s="400">
        <f t="shared" si="16"/>
        <v>0</v>
      </c>
      <c r="AH21" s="128"/>
      <c r="AI21" s="401">
        <f t="shared" si="17"/>
        <v>0</v>
      </c>
      <c r="AJ21" s="402" t="str">
        <f t="shared" si="18"/>
        <v/>
      </c>
      <c r="AK21" s="52"/>
      <c r="AL21" s="397">
        <f>IFERROR(VLOOKUP($C21,'Proposed Rates'!$B:$J,AL$11,FALSE),0)</f>
        <v>0</v>
      </c>
      <c r="AM21" s="568">
        <f t="shared" si="19"/>
        <v>0.4</v>
      </c>
      <c r="AN21" s="400">
        <f t="shared" si="20"/>
        <v>0</v>
      </c>
      <c r="AO21" s="128"/>
      <c r="AP21" s="401">
        <f t="shared" si="21"/>
        <v>0</v>
      </c>
      <c r="AQ21" s="402" t="str">
        <f t="shared" si="22"/>
        <v/>
      </c>
      <c r="AR21" s="403"/>
      <c r="AS21" s="403"/>
    </row>
    <row r="22" spans="1:45" ht="12" customHeight="1">
      <c r="A22" s="551"/>
      <c r="B22" s="404" t="s">
        <v>237</v>
      </c>
      <c r="C22" s="395" t="str">
        <f t="shared" si="0"/>
        <v>Sentinel Lights.Deferral/Variance Account Disposition Rate Rider Group 2</v>
      </c>
      <c r="D22" s="396" t="s">
        <v>377</v>
      </c>
      <c r="E22" s="320"/>
      <c r="F22" s="397">
        <f>IFERROR(VLOOKUP($C22,'Proposed Rates'!$B:$J,F$11,FALSE),0)</f>
        <v>0</v>
      </c>
      <c r="G22" s="568">
        <f t="shared" si="1"/>
        <v>0.4</v>
      </c>
      <c r="H22" s="400">
        <f t="shared" si="2"/>
        <v>0</v>
      </c>
      <c r="I22" s="128"/>
      <c r="J22" s="397">
        <f>IFERROR(VLOOKUP($C22,'Proposed Rates'!$B:$J,J$11,FALSE),0)</f>
        <v>-0.95689999999999997</v>
      </c>
      <c r="K22" s="568">
        <f t="shared" si="3"/>
        <v>0.4</v>
      </c>
      <c r="L22" s="400">
        <f t="shared" si="4"/>
        <v>-0.38275999999999999</v>
      </c>
      <c r="M22" s="128"/>
      <c r="N22" s="401">
        <f t="shared" si="5"/>
        <v>-0.38275999999999999</v>
      </c>
      <c r="O22" s="402" t="str">
        <f t="shared" si="6"/>
        <v/>
      </c>
      <c r="P22" s="52"/>
      <c r="Q22" s="397">
        <f>IFERROR(VLOOKUP($C22,'Proposed Rates'!$B:$J,Q$11,FALSE),0)</f>
        <v>0</v>
      </c>
      <c r="R22" s="568">
        <f t="shared" si="7"/>
        <v>0.4</v>
      </c>
      <c r="S22" s="400">
        <f t="shared" si="8"/>
        <v>0</v>
      </c>
      <c r="T22" s="128"/>
      <c r="U22" s="401">
        <f t="shared" si="9"/>
        <v>0.38275999999999999</v>
      </c>
      <c r="V22" s="402">
        <f t="shared" si="10"/>
        <v>-1</v>
      </c>
      <c r="W22" s="52"/>
      <c r="X22" s="397">
        <f>IFERROR(VLOOKUP($C22,'Proposed Rates'!$B:$J,X$11,FALSE),0)</f>
        <v>0</v>
      </c>
      <c r="Y22" s="568">
        <f t="shared" si="11"/>
        <v>0.4</v>
      </c>
      <c r="Z22" s="400">
        <f t="shared" si="12"/>
        <v>0</v>
      </c>
      <c r="AA22" s="128"/>
      <c r="AB22" s="401">
        <f t="shared" si="13"/>
        <v>0</v>
      </c>
      <c r="AC22" s="402" t="str">
        <f t="shared" si="14"/>
        <v/>
      </c>
      <c r="AD22" s="52"/>
      <c r="AE22" s="397">
        <f>IFERROR(VLOOKUP($C22,'Proposed Rates'!$B:$J,AE$11,FALSE),0)</f>
        <v>0</v>
      </c>
      <c r="AF22" s="568">
        <f t="shared" si="15"/>
        <v>0.4</v>
      </c>
      <c r="AG22" s="400">
        <f t="shared" si="16"/>
        <v>0</v>
      </c>
      <c r="AH22" s="128"/>
      <c r="AI22" s="401">
        <f t="shared" si="17"/>
        <v>0</v>
      </c>
      <c r="AJ22" s="402" t="str">
        <f t="shared" si="18"/>
        <v/>
      </c>
      <c r="AK22" s="52"/>
      <c r="AL22" s="397">
        <f>IFERROR(VLOOKUP($C22,'Proposed Rates'!$B:$J,AL$11,FALSE),0)</f>
        <v>0</v>
      </c>
      <c r="AM22" s="568">
        <f t="shared" si="19"/>
        <v>0.4</v>
      </c>
      <c r="AN22" s="400">
        <f t="shared" si="20"/>
        <v>0</v>
      </c>
      <c r="AO22" s="128"/>
      <c r="AP22" s="401">
        <f t="shared" si="21"/>
        <v>0</v>
      </c>
      <c r="AQ22" s="402" t="str">
        <f t="shared" si="22"/>
        <v/>
      </c>
      <c r="AR22" s="403"/>
      <c r="AS22" s="403"/>
    </row>
    <row r="23" spans="1:45" ht="12" customHeight="1">
      <c r="A23" s="551"/>
      <c r="B23" s="404"/>
      <c r="C23" s="395" t="str">
        <f t="shared" si="0"/>
        <v>Sentinel Lights.</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403"/>
    </row>
    <row r="24" spans="1:45" ht="12" customHeight="1">
      <c r="A24" s="551"/>
      <c r="B24" s="404"/>
      <c r="C24" s="395" t="str">
        <f t="shared" si="0"/>
        <v>Sentinel Lights.</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403"/>
    </row>
    <row r="25" spans="1:45" ht="12" customHeight="1">
      <c r="A25" s="551"/>
      <c r="B25" s="404"/>
      <c r="C25" s="395" t="str">
        <f t="shared" si="0"/>
        <v>Sentinel Lights.</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403"/>
    </row>
    <row r="26" spans="1:45" ht="12" customHeight="1">
      <c r="A26" s="551"/>
      <c r="B26" s="404"/>
      <c r="C26" s="395" t="str">
        <f t="shared" si="0"/>
        <v>Sentinel Lights.</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403"/>
    </row>
    <row r="27" spans="1:45" ht="12" customHeight="1">
      <c r="A27" s="551"/>
      <c r="B27" s="404"/>
      <c r="C27" s="395" t="str">
        <f t="shared" si="0"/>
        <v>Sentinel Lights.</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403"/>
    </row>
    <row r="28" spans="1:45" ht="12" customHeight="1">
      <c r="A28" s="551"/>
      <c r="B28" s="404"/>
      <c r="C28" s="395" t="str">
        <f t="shared" si="0"/>
        <v>Sentinel Lights.</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403"/>
    </row>
    <row r="29" spans="1:45" ht="12" customHeight="1">
      <c r="A29" s="551"/>
      <c r="B29" s="405" t="s">
        <v>310</v>
      </c>
      <c r="C29" s="406"/>
      <c r="D29" s="406"/>
      <c r="E29" s="406"/>
      <c r="F29" s="407"/>
      <c r="G29" s="500"/>
      <c r="H29" s="409">
        <f>SUM(H15:H28)</f>
        <v>20.191879999999998</v>
      </c>
      <c r="I29" s="410"/>
      <c r="J29" s="407"/>
      <c r="K29" s="500"/>
      <c r="L29" s="409">
        <f>SUM(L15:L28)</f>
        <v>23.794159999999998</v>
      </c>
      <c r="M29" s="410"/>
      <c r="N29" s="411">
        <f t="shared" si="5"/>
        <v>3.6022800000000004</v>
      </c>
      <c r="O29" s="412">
        <f t="shared" si="6"/>
        <v>0.17840240730432236</v>
      </c>
      <c r="P29" s="306"/>
      <c r="Q29" s="407"/>
      <c r="R29" s="500"/>
      <c r="S29" s="409">
        <f>SUM(S15:S28)</f>
        <v>25.9998</v>
      </c>
      <c r="T29" s="410"/>
      <c r="U29" s="411">
        <f t="shared" si="9"/>
        <v>2.2056400000000025</v>
      </c>
      <c r="V29" s="412">
        <f t="shared" si="10"/>
        <v>9.2696695323558495E-2</v>
      </c>
      <c r="W29" s="306"/>
      <c r="X29" s="407"/>
      <c r="Y29" s="500"/>
      <c r="Z29" s="409">
        <f>SUM(Z15:Z28)</f>
        <v>28.321719999999999</v>
      </c>
      <c r="AA29" s="410"/>
      <c r="AB29" s="411">
        <f t="shared" si="13"/>
        <v>2.3219199999999987</v>
      </c>
      <c r="AC29" s="412">
        <f t="shared" si="14"/>
        <v>8.9305302348479554E-2</v>
      </c>
      <c r="AD29" s="306"/>
      <c r="AE29" s="407"/>
      <c r="AF29" s="500"/>
      <c r="AG29" s="409">
        <f>SUM(AG15:AG28)</f>
        <v>30.135200000000005</v>
      </c>
      <c r="AH29" s="410"/>
      <c r="AI29" s="411">
        <f t="shared" si="17"/>
        <v>1.8134800000000055</v>
      </c>
      <c r="AJ29" s="412">
        <f t="shared" si="18"/>
        <v>6.4031421820426357E-2</v>
      </c>
      <c r="AK29" s="306"/>
      <c r="AL29" s="407"/>
      <c r="AM29" s="500"/>
      <c r="AN29" s="409">
        <f>SUM(AN15:AN28)</f>
        <v>31.8552</v>
      </c>
      <c r="AO29" s="410"/>
      <c r="AP29" s="411">
        <f t="shared" si="21"/>
        <v>1.7199999999999953</v>
      </c>
      <c r="AQ29" s="412">
        <f t="shared" si="22"/>
        <v>5.7076110329448454E-2</v>
      </c>
      <c r="AR29" s="413"/>
      <c r="AS29" s="413"/>
    </row>
    <row r="30" spans="1:45" ht="12" customHeight="1">
      <c r="A30" s="551"/>
      <c r="B30" s="404" t="s">
        <v>234</v>
      </c>
      <c r="C30" s="395" t="str">
        <f t="shared" ref="C30:C38" si="23">D$6&amp;"."&amp;B30</f>
        <v>Sentinel Lights.DVA Disposition Rate Rider Group 1 -2025</v>
      </c>
      <c r="D30" s="396" t="s">
        <v>377</v>
      </c>
      <c r="E30" s="320"/>
      <c r="F30" s="414">
        <f>IFERROR(VLOOKUP($C30,'Proposed Rates'!$B:$J,F$11,FALSE),0)</f>
        <v>4.1399999999999999E-2</v>
      </c>
      <c r="G30" s="568">
        <f t="shared" ref="G30:G36" si="24">IF($D30="Monthly",1,IF($D30="per KW",$F$10,IF($D30="per kWh",$F$9,0)))</f>
        <v>0.4</v>
      </c>
      <c r="H30" s="400">
        <f t="shared" ref="H30:H38" si="25">G30*F30</f>
        <v>1.6560000000000002E-2</v>
      </c>
      <c r="I30" s="128"/>
      <c r="J30" s="414">
        <f>IFERROR(VLOOKUP($C30,'Proposed Rates'!$B:$J,J$11,FALSE),0)</f>
        <v>-0.15459999999999999</v>
      </c>
      <c r="K30" s="568">
        <f t="shared" ref="K30:K36" si="26">IF($D30="Monthly",1,IF($D30="per KW",$F$10,IF($D30="per kWh",$F$9,0)))</f>
        <v>0.4</v>
      </c>
      <c r="L30" s="400">
        <f t="shared" ref="L30:L38" si="27">K30*J30</f>
        <v>-6.1839999999999999E-2</v>
      </c>
      <c r="M30" s="128"/>
      <c r="N30" s="401">
        <f t="shared" si="5"/>
        <v>-7.8399999999999997E-2</v>
      </c>
      <c r="O30" s="402">
        <f t="shared" si="6"/>
        <v>-4.7342995169082123</v>
      </c>
      <c r="P30" s="52"/>
      <c r="Q30" s="414">
        <f>IFERROR(VLOOKUP($C30,'Proposed Rates'!$B:$J,Q$11,FALSE),0)</f>
        <v>0</v>
      </c>
      <c r="R30" s="568">
        <f t="shared" ref="R30:R36" si="28">IF($D30="Monthly",1,IF($D30="per KW",$F$10,IF($D30="per kWh",$F$9,0)))</f>
        <v>0.4</v>
      </c>
      <c r="S30" s="400">
        <f t="shared" ref="S30:S38" si="29">R30*Q30</f>
        <v>0</v>
      </c>
      <c r="T30" s="128"/>
      <c r="U30" s="401">
        <f t="shared" si="9"/>
        <v>6.1839999999999999E-2</v>
      </c>
      <c r="V30" s="402">
        <f t="shared" si="10"/>
        <v>-1</v>
      </c>
      <c r="W30" s="52"/>
      <c r="X30" s="414">
        <f>IFERROR(VLOOKUP($C30,'Proposed Rates'!$B:$J,X$11,FALSE),0)</f>
        <v>0</v>
      </c>
      <c r="Y30" s="568">
        <f t="shared" ref="Y30:Y36" si="30">IF($D30="Monthly",1,IF($D30="per KW",$F$10,IF($D30="per kWh",$F$9,0)))</f>
        <v>0.4</v>
      </c>
      <c r="Z30" s="400">
        <f t="shared" ref="Z30:Z38" si="31">Y30*X30</f>
        <v>0</v>
      </c>
      <c r="AA30" s="128"/>
      <c r="AB30" s="401">
        <f t="shared" si="13"/>
        <v>0</v>
      </c>
      <c r="AC30" s="402" t="str">
        <f t="shared" si="14"/>
        <v/>
      </c>
      <c r="AD30" s="52"/>
      <c r="AE30" s="414">
        <f>IFERROR(VLOOKUP($C30,'Proposed Rates'!$B:$J,AE$11,FALSE),0)</f>
        <v>0</v>
      </c>
      <c r="AF30" s="568">
        <f t="shared" ref="AF30:AF36" si="32">IF($D30="Monthly",1,IF($D30="per KW",$F$10,IF($D30="per kWh",$F$9,0)))</f>
        <v>0.4</v>
      </c>
      <c r="AG30" s="400">
        <f t="shared" ref="AG30:AG38" si="33">AF30*AE30</f>
        <v>0</v>
      </c>
      <c r="AH30" s="128"/>
      <c r="AI30" s="401">
        <f t="shared" si="17"/>
        <v>0</v>
      </c>
      <c r="AJ30" s="402" t="str">
        <f t="shared" si="18"/>
        <v/>
      </c>
      <c r="AK30" s="52"/>
      <c r="AL30" s="414">
        <f>IFERROR(VLOOKUP($C30,'Proposed Rates'!$B:$J,AL$11,FALSE),0)</f>
        <v>0</v>
      </c>
      <c r="AM30" s="568">
        <f t="shared" ref="AM30:AM36" si="34">IF($D30="Monthly",1,IF($D30="per KW",$F$10,IF($D30="per kWh",$F$9,0)))</f>
        <v>0.4</v>
      </c>
      <c r="AN30" s="400">
        <f t="shared" ref="AN30:AN38" si="35">AM30*AL30</f>
        <v>0</v>
      </c>
      <c r="AO30" s="128"/>
      <c r="AP30" s="401">
        <f t="shared" si="21"/>
        <v>0</v>
      </c>
      <c r="AQ30" s="402" t="str">
        <f t="shared" si="22"/>
        <v/>
      </c>
      <c r="AR30" s="403"/>
      <c r="AS30" s="403"/>
    </row>
    <row r="31" spans="1:45" ht="12" customHeight="1">
      <c r="A31" s="551"/>
      <c r="B31" s="404" t="s">
        <v>236</v>
      </c>
      <c r="C31" s="395" t="str">
        <f t="shared" si="23"/>
        <v>Sentinel Lights.DVA Disposition Rate Rider Group 1 - 2024</v>
      </c>
      <c r="D31" s="396" t="s">
        <v>377</v>
      </c>
      <c r="E31" s="320"/>
      <c r="F31" s="397">
        <f>IFERROR(VLOOKUP($C31,'Proposed Rates'!$B:$J,F$11,FALSE),0)</f>
        <v>0</v>
      </c>
      <c r="G31" s="568">
        <f t="shared" si="24"/>
        <v>0.4</v>
      </c>
      <c r="H31" s="400">
        <f t="shared" si="25"/>
        <v>0</v>
      </c>
      <c r="I31" s="128"/>
      <c r="J31" s="397">
        <f>IFERROR(VLOOKUP($C31,'Proposed Rates'!$B:$J,J$11,FALSE),0)</f>
        <v>0</v>
      </c>
      <c r="K31" s="568">
        <f t="shared" si="26"/>
        <v>0.4</v>
      </c>
      <c r="L31" s="400">
        <f t="shared" si="27"/>
        <v>0</v>
      </c>
      <c r="M31" s="128"/>
      <c r="N31" s="401">
        <f t="shared" si="5"/>
        <v>0</v>
      </c>
      <c r="O31" s="402" t="str">
        <f t="shared" si="6"/>
        <v/>
      </c>
      <c r="P31" s="52"/>
      <c r="Q31" s="397">
        <f>IFERROR(VLOOKUP($C31,'Proposed Rates'!$B:$J,Q$11,FALSE),0)</f>
        <v>0</v>
      </c>
      <c r="R31" s="568">
        <f t="shared" si="28"/>
        <v>0.4</v>
      </c>
      <c r="S31" s="400">
        <f t="shared" si="29"/>
        <v>0</v>
      </c>
      <c r="T31" s="128"/>
      <c r="U31" s="401">
        <f t="shared" si="9"/>
        <v>0</v>
      </c>
      <c r="V31" s="402" t="str">
        <f t="shared" si="10"/>
        <v/>
      </c>
      <c r="W31" s="52"/>
      <c r="X31" s="397">
        <f>IFERROR(VLOOKUP($C31,'Proposed Rates'!$B:$J,X$11,FALSE),0)</f>
        <v>0</v>
      </c>
      <c r="Y31" s="568">
        <f t="shared" si="30"/>
        <v>0.4</v>
      </c>
      <c r="Z31" s="400">
        <f t="shared" si="31"/>
        <v>0</v>
      </c>
      <c r="AA31" s="128"/>
      <c r="AB31" s="401">
        <f t="shared" si="13"/>
        <v>0</v>
      </c>
      <c r="AC31" s="402" t="str">
        <f t="shared" si="14"/>
        <v/>
      </c>
      <c r="AD31" s="52"/>
      <c r="AE31" s="397">
        <f>IFERROR(VLOOKUP($C31,'Proposed Rates'!$B:$J,AE$11,FALSE),0)</f>
        <v>0</v>
      </c>
      <c r="AF31" s="568">
        <f t="shared" si="32"/>
        <v>0.4</v>
      </c>
      <c r="AG31" s="400">
        <f t="shared" si="33"/>
        <v>0</v>
      </c>
      <c r="AH31" s="128"/>
      <c r="AI31" s="401">
        <f t="shared" si="17"/>
        <v>0</v>
      </c>
      <c r="AJ31" s="402" t="str">
        <f t="shared" si="18"/>
        <v/>
      </c>
      <c r="AK31" s="52"/>
      <c r="AL31" s="397">
        <f>IFERROR(VLOOKUP($C31,'Proposed Rates'!$B:$J,AL$11,FALSE),0)</f>
        <v>0</v>
      </c>
      <c r="AM31" s="568">
        <f t="shared" si="34"/>
        <v>0.4</v>
      </c>
      <c r="AN31" s="400">
        <f t="shared" si="35"/>
        <v>0</v>
      </c>
      <c r="AO31" s="128"/>
      <c r="AP31" s="401">
        <f t="shared" si="21"/>
        <v>0</v>
      </c>
      <c r="AQ31" s="402" t="str">
        <f t="shared" si="22"/>
        <v/>
      </c>
      <c r="AR31" s="403"/>
      <c r="AS31" s="403"/>
    </row>
    <row r="32" spans="1:45" ht="12" customHeight="1">
      <c r="A32" s="551"/>
      <c r="B32" s="404" t="s">
        <v>244</v>
      </c>
      <c r="C32" s="395" t="str">
        <f t="shared" si="23"/>
        <v>Sentinel Lights.CBR Class B Rate Riders</v>
      </c>
      <c r="D32" s="396" t="s">
        <v>308</v>
      </c>
      <c r="E32" s="320"/>
      <c r="F32" s="414">
        <f>IFERROR(VLOOKUP($C32,'Proposed Rates'!$B:$J,F$11,FALSE),0)</f>
        <v>2.0000000000000001E-4</v>
      </c>
      <c r="G32" s="415">
        <f t="shared" si="24"/>
        <v>94</v>
      </c>
      <c r="H32" s="400">
        <f t="shared" si="25"/>
        <v>1.8800000000000001E-2</v>
      </c>
      <c r="I32" s="485"/>
      <c r="J32" s="414">
        <f>IFERROR(VLOOKUP($C32,'Proposed Rates'!$B:$J,J$11,FALSE),0)</f>
        <v>4.0000000000000002E-4</v>
      </c>
      <c r="K32" s="415">
        <f t="shared" si="26"/>
        <v>94</v>
      </c>
      <c r="L32" s="400">
        <f t="shared" si="27"/>
        <v>3.7600000000000001E-2</v>
      </c>
      <c r="M32" s="417"/>
      <c r="N32" s="401">
        <f t="shared" si="5"/>
        <v>1.8800000000000001E-2</v>
      </c>
      <c r="O32" s="402">
        <f t="shared" si="6"/>
        <v>1</v>
      </c>
      <c r="P32" s="52"/>
      <c r="Q32" s="414">
        <f>IFERROR(VLOOKUP($C32,'Proposed Rates'!$B:$J,Q$11,FALSE),0)</f>
        <v>0</v>
      </c>
      <c r="R32" s="415">
        <f t="shared" si="28"/>
        <v>94</v>
      </c>
      <c r="S32" s="400">
        <f t="shared" si="29"/>
        <v>0</v>
      </c>
      <c r="T32" s="417"/>
      <c r="U32" s="401">
        <f t="shared" si="9"/>
        <v>-3.7600000000000001E-2</v>
      </c>
      <c r="V32" s="402">
        <f t="shared" si="10"/>
        <v>-1</v>
      </c>
      <c r="W32" s="52"/>
      <c r="X32" s="414">
        <f>IFERROR(VLOOKUP($C32,'Proposed Rates'!$B:$J,X$11,FALSE),0)</f>
        <v>0</v>
      </c>
      <c r="Y32" s="415">
        <f t="shared" si="30"/>
        <v>94</v>
      </c>
      <c r="Z32" s="400">
        <f t="shared" si="31"/>
        <v>0</v>
      </c>
      <c r="AA32" s="128"/>
      <c r="AB32" s="401">
        <f t="shared" si="13"/>
        <v>0</v>
      </c>
      <c r="AC32" s="402" t="str">
        <f t="shared" si="14"/>
        <v/>
      </c>
      <c r="AD32" s="52"/>
      <c r="AE32" s="414">
        <f>IFERROR(VLOOKUP($C32,'Proposed Rates'!$B:$J,AE$11,FALSE),0)</f>
        <v>0</v>
      </c>
      <c r="AF32" s="415">
        <f t="shared" si="32"/>
        <v>94</v>
      </c>
      <c r="AG32" s="400">
        <f t="shared" si="33"/>
        <v>0</v>
      </c>
      <c r="AH32" s="128"/>
      <c r="AI32" s="401">
        <f t="shared" si="17"/>
        <v>0</v>
      </c>
      <c r="AJ32" s="402" t="str">
        <f t="shared" si="18"/>
        <v/>
      </c>
      <c r="AK32" s="52"/>
      <c r="AL32" s="414">
        <f>IFERROR(VLOOKUP($C32,'Proposed Rates'!$B:$J,AL$11,FALSE),0)</f>
        <v>0</v>
      </c>
      <c r="AM32" s="415">
        <f t="shared" si="34"/>
        <v>94</v>
      </c>
      <c r="AN32" s="400">
        <f t="shared" si="35"/>
        <v>0</v>
      </c>
      <c r="AO32" s="417"/>
      <c r="AP32" s="401">
        <f t="shared" si="21"/>
        <v>0</v>
      </c>
      <c r="AQ32" s="402" t="str">
        <f t="shared" si="22"/>
        <v/>
      </c>
      <c r="AR32" s="403"/>
      <c r="AS32" s="403"/>
    </row>
    <row r="33" spans="1:45" ht="12" customHeight="1">
      <c r="A33" s="551"/>
      <c r="B33" s="404" t="s">
        <v>249</v>
      </c>
      <c r="C33" s="395" t="str">
        <f t="shared" si="23"/>
        <v>Sentinel Lights.GA Rate Riders</v>
      </c>
      <c r="D33" s="396" t="s">
        <v>308</v>
      </c>
      <c r="E33" s="320"/>
      <c r="F33" s="397">
        <f>IFERROR(VLOOKUP($C33,'Proposed Rates'!$B:$J,F$11,FALSE),0)</f>
        <v>0</v>
      </c>
      <c r="G33" s="415">
        <f t="shared" si="24"/>
        <v>94</v>
      </c>
      <c r="H33" s="400">
        <f t="shared" si="25"/>
        <v>0</v>
      </c>
      <c r="I33" s="485"/>
      <c r="J33" s="397">
        <f>IFERROR(VLOOKUP($C33,'Proposed Rates'!$B:$J,J$11,FALSE),0)</f>
        <v>0</v>
      </c>
      <c r="K33" s="415">
        <f t="shared" si="26"/>
        <v>94</v>
      </c>
      <c r="L33" s="400">
        <f t="shared" si="27"/>
        <v>0</v>
      </c>
      <c r="M33" s="417"/>
      <c r="N33" s="401">
        <f t="shared" si="5"/>
        <v>0</v>
      </c>
      <c r="O33" s="402" t="str">
        <f t="shared" si="6"/>
        <v/>
      </c>
      <c r="P33" s="52"/>
      <c r="Q33" s="397">
        <f>IFERROR(VLOOKUP($C33,'Proposed Rates'!$B:$J,Q$11,FALSE),0)</f>
        <v>0</v>
      </c>
      <c r="R33" s="415">
        <f t="shared" si="28"/>
        <v>94</v>
      </c>
      <c r="S33" s="400">
        <f t="shared" si="29"/>
        <v>0</v>
      </c>
      <c r="T33" s="417"/>
      <c r="U33" s="401">
        <f t="shared" si="9"/>
        <v>0</v>
      </c>
      <c r="V33" s="402" t="str">
        <f t="shared" si="10"/>
        <v/>
      </c>
      <c r="W33" s="52"/>
      <c r="X33" s="397">
        <f>IFERROR(VLOOKUP($C33,'Proposed Rates'!$B:$J,X$11,FALSE),0)</f>
        <v>0</v>
      </c>
      <c r="Y33" s="415">
        <f t="shared" si="30"/>
        <v>94</v>
      </c>
      <c r="Z33" s="400">
        <f t="shared" si="31"/>
        <v>0</v>
      </c>
      <c r="AA33" s="417"/>
      <c r="AB33" s="401">
        <f t="shared" si="13"/>
        <v>0</v>
      </c>
      <c r="AC33" s="402" t="str">
        <f t="shared" si="14"/>
        <v/>
      </c>
      <c r="AD33" s="52"/>
      <c r="AE33" s="397">
        <f>IFERROR(VLOOKUP($C33,'Proposed Rates'!$B:$J,AE$11,FALSE),0)</f>
        <v>0</v>
      </c>
      <c r="AF33" s="415">
        <f t="shared" si="32"/>
        <v>94</v>
      </c>
      <c r="AG33" s="400">
        <f t="shared" si="33"/>
        <v>0</v>
      </c>
      <c r="AH33" s="417"/>
      <c r="AI33" s="401">
        <f t="shared" si="17"/>
        <v>0</v>
      </c>
      <c r="AJ33" s="402" t="str">
        <f t="shared" si="18"/>
        <v/>
      </c>
      <c r="AK33" s="52"/>
      <c r="AL33" s="397">
        <f>IFERROR(VLOOKUP($C33,'Proposed Rates'!$B:$J,AL$11,FALSE),0)</f>
        <v>0</v>
      </c>
      <c r="AM33" s="415">
        <f t="shared" si="34"/>
        <v>94</v>
      </c>
      <c r="AN33" s="400">
        <f t="shared" si="35"/>
        <v>0</v>
      </c>
      <c r="AO33" s="417"/>
      <c r="AP33" s="401">
        <f t="shared" si="21"/>
        <v>0</v>
      </c>
      <c r="AQ33" s="402" t="str">
        <f t="shared" si="22"/>
        <v/>
      </c>
      <c r="AR33" s="403"/>
      <c r="AS33" s="403"/>
    </row>
    <row r="34" spans="1:45" ht="12" customHeight="1">
      <c r="A34" s="551"/>
      <c r="B34" s="404" t="s">
        <v>252</v>
      </c>
      <c r="C34" s="395" t="str">
        <f t="shared" si="23"/>
        <v>Sentinel Lights.Total Deferral/Variance Account Rate RidersYr2</v>
      </c>
      <c r="D34" s="396" t="s">
        <v>377</v>
      </c>
      <c r="E34" s="320"/>
      <c r="F34" s="397">
        <f>IFERROR(VLOOKUP($C34,'Proposed Rates'!$B:$J,F$11,FALSE),0)</f>
        <v>0</v>
      </c>
      <c r="G34" s="568">
        <f t="shared" si="24"/>
        <v>0.4</v>
      </c>
      <c r="H34" s="400">
        <f t="shared" si="25"/>
        <v>0</v>
      </c>
      <c r="I34" s="485"/>
      <c r="J34" s="397">
        <f>IFERROR(VLOOKUP($C34,'Proposed Rates'!$B:$J,J$11,FALSE),0)</f>
        <v>0</v>
      </c>
      <c r="K34" s="568">
        <f t="shared" si="26"/>
        <v>0.4</v>
      </c>
      <c r="L34" s="400">
        <f t="shared" si="27"/>
        <v>0</v>
      </c>
      <c r="M34" s="417"/>
      <c r="N34" s="401">
        <f t="shared" si="5"/>
        <v>0</v>
      </c>
      <c r="O34" s="402" t="str">
        <f t="shared" si="6"/>
        <v/>
      </c>
      <c r="P34" s="52"/>
      <c r="Q34" s="397">
        <f>IFERROR(VLOOKUP($C34,'Proposed Rates'!$B:$J,Q$11,FALSE),0)</f>
        <v>0</v>
      </c>
      <c r="R34" s="568">
        <f t="shared" si="28"/>
        <v>0.4</v>
      </c>
      <c r="S34" s="400">
        <f t="shared" si="29"/>
        <v>0</v>
      </c>
      <c r="T34" s="417"/>
      <c r="U34" s="401">
        <f t="shared" si="9"/>
        <v>0</v>
      </c>
      <c r="V34" s="402" t="str">
        <f t="shared" si="10"/>
        <v/>
      </c>
      <c r="W34" s="52"/>
      <c r="X34" s="397">
        <f>IFERROR(VLOOKUP($C34,'Proposed Rates'!$B:$J,X$11,FALSE),0)</f>
        <v>0</v>
      </c>
      <c r="Y34" s="568">
        <f t="shared" si="30"/>
        <v>0.4</v>
      </c>
      <c r="Z34" s="400">
        <f t="shared" si="31"/>
        <v>0</v>
      </c>
      <c r="AA34" s="417"/>
      <c r="AB34" s="401">
        <f t="shared" si="13"/>
        <v>0</v>
      </c>
      <c r="AC34" s="402" t="str">
        <f t="shared" si="14"/>
        <v/>
      </c>
      <c r="AD34" s="52"/>
      <c r="AE34" s="397">
        <f>IFERROR(VLOOKUP($C34,'Proposed Rates'!$B:$J,AE$11,FALSE),0)</f>
        <v>0</v>
      </c>
      <c r="AF34" s="568">
        <f t="shared" si="32"/>
        <v>0.4</v>
      </c>
      <c r="AG34" s="400">
        <f t="shared" si="33"/>
        <v>0</v>
      </c>
      <c r="AH34" s="417"/>
      <c r="AI34" s="401">
        <f t="shared" si="17"/>
        <v>0</v>
      </c>
      <c r="AJ34" s="402" t="str">
        <f t="shared" si="18"/>
        <v/>
      </c>
      <c r="AK34" s="52"/>
      <c r="AL34" s="397">
        <f>IFERROR(VLOOKUP($C34,'Proposed Rates'!$B:$J,AL$11,FALSE),0)</f>
        <v>0</v>
      </c>
      <c r="AM34" s="568">
        <f t="shared" si="34"/>
        <v>0.4</v>
      </c>
      <c r="AN34" s="400">
        <f t="shared" si="35"/>
        <v>0</v>
      </c>
      <c r="AO34" s="417"/>
      <c r="AP34" s="401">
        <f t="shared" si="21"/>
        <v>0</v>
      </c>
      <c r="AQ34" s="402" t="str">
        <f t="shared" si="22"/>
        <v/>
      </c>
      <c r="AR34" s="403"/>
      <c r="AS34" s="403"/>
    </row>
    <row r="35" spans="1:45" ht="12" customHeight="1">
      <c r="A35" s="551"/>
      <c r="B35" s="404" t="s">
        <v>254</v>
      </c>
      <c r="C35" s="395" t="str">
        <f t="shared" si="23"/>
        <v>Sentinel Lights.Total Deferral/Variance Account Rate Riders</v>
      </c>
      <c r="D35" s="396" t="s">
        <v>377</v>
      </c>
      <c r="E35" s="320"/>
      <c r="F35" s="397">
        <f>IFERROR(VLOOKUP($C35,'Proposed Rates'!$B:$J,F$11,FALSE),0)</f>
        <v>0</v>
      </c>
      <c r="G35" s="568">
        <f t="shared" si="24"/>
        <v>0.4</v>
      </c>
      <c r="H35" s="400">
        <f t="shared" si="25"/>
        <v>0</v>
      </c>
      <c r="I35" s="128"/>
      <c r="J35" s="397">
        <f>IFERROR(VLOOKUP($C35,'Proposed Rates'!$B:$J,J$11,FALSE),0)</f>
        <v>0</v>
      </c>
      <c r="K35" s="568">
        <f t="shared" si="26"/>
        <v>0.4</v>
      </c>
      <c r="L35" s="400">
        <f t="shared" si="27"/>
        <v>0</v>
      </c>
      <c r="M35" s="128"/>
      <c r="N35" s="401">
        <f t="shared" si="5"/>
        <v>0</v>
      </c>
      <c r="O35" s="402" t="str">
        <f t="shared" si="6"/>
        <v/>
      </c>
      <c r="P35" s="52"/>
      <c r="Q35" s="397">
        <f>IFERROR(VLOOKUP($C35,'Proposed Rates'!$B:$J,Q$11,FALSE),0)</f>
        <v>0</v>
      </c>
      <c r="R35" s="568">
        <f t="shared" si="28"/>
        <v>0.4</v>
      </c>
      <c r="S35" s="400">
        <f t="shared" si="29"/>
        <v>0</v>
      </c>
      <c r="T35" s="128"/>
      <c r="U35" s="401">
        <f t="shared" si="9"/>
        <v>0</v>
      </c>
      <c r="V35" s="402" t="str">
        <f t="shared" si="10"/>
        <v/>
      </c>
      <c r="W35" s="52"/>
      <c r="X35" s="397">
        <f>IFERROR(VLOOKUP($C35,'Proposed Rates'!$B:$J,X$11,FALSE),0)</f>
        <v>0</v>
      </c>
      <c r="Y35" s="568">
        <f t="shared" si="30"/>
        <v>0.4</v>
      </c>
      <c r="Z35" s="400">
        <f t="shared" si="31"/>
        <v>0</v>
      </c>
      <c r="AA35" s="128"/>
      <c r="AB35" s="401">
        <f t="shared" si="13"/>
        <v>0</v>
      </c>
      <c r="AC35" s="402" t="str">
        <f t="shared" si="14"/>
        <v/>
      </c>
      <c r="AD35" s="52"/>
      <c r="AE35" s="397">
        <f>IFERROR(VLOOKUP($C35,'Proposed Rates'!$B:$J,AE$11,FALSE),0)</f>
        <v>0</v>
      </c>
      <c r="AF35" s="568">
        <f t="shared" si="32"/>
        <v>0.4</v>
      </c>
      <c r="AG35" s="400">
        <f t="shared" si="33"/>
        <v>0</v>
      </c>
      <c r="AH35" s="128"/>
      <c r="AI35" s="401">
        <f t="shared" si="17"/>
        <v>0</v>
      </c>
      <c r="AJ35" s="402" t="str">
        <f t="shared" si="18"/>
        <v/>
      </c>
      <c r="AK35" s="52"/>
      <c r="AL35" s="397">
        <f>IFERROR(VLOOKUP($C35,'Proposed Rates'!$B:$J,AL$11,FALSE),0)</f>
        <v>0</v>
      </c>
      <c r="AM35" s="568">
        <f t="shared" si="34"/>
        <v>0.4</v>
      </c>
      <c r="AN35" s="400">
        <f t="shared" si="35"/>
        <v>0</v>
      </c>
      <c r="AO35" s="128"/>
      <c r="AP35" s="401">
        <f t="shared" si="21"/>
        <v>0</v>
      </c>
      <c r="AQ35" s="402" t="str">
        <f t="shared" si="22"/>
        <v/>
      </c>
      <c r="AR35" s="403"/>
      <c r="AS35" s="403"/>
    </row>
    <row r="36" spans="1:45" ht="12" customHeight="1">
      <c r="A36" s="551"/>
      <c r="B36" s="320" t="s">
        <v>269</v>
      </c>
      <c r="C36" s="395" t="str">
        <f t="shared" si="23"/>
        <v>Sentinel Lights.Low Voltage Service Charge</v>
      </c>
      <c r="D36" s="396" t="s">
        <v>377</v>
      </c>
      <c r="E36" s="320"/>
      <c r="F36" s="418">
        <f>IFERROR(VLOOKUP($C36,'Proposed Rates'!$B:$J,F$11,FALSE),0)</f>
        <v>1.532E-2</v>
      </c>
      <c r="G36" s="568">
        <f t="shared" si="24"/>
        <v>0.4</v>
      </c>
      <c r="H36" s="400">
        <f t="shared" si="25"/>
        <v>6.1280000000000006E-3</v>
      </c>
      <c r="I36" s="128"/>
      <c r="J36" s="418">
        <f>IFERROR(VLOOKUP($C36,'Proposed Rates'!$B:$J,J$11,FALSE),0)</f>
        <v>4.3499999999999997E-3</v>
      </c>
      <c r="K36" s="568">
        <f t="shared" si="26"/>
        <v>0.4</v>
      </c>
      <c r="L36" s="400">
        <f t="shared" si="27"/>
        <v>1.74E-3</v>
      </c>
      <c r="M36" s="128"/>
      <c r="N36" s="401">
        <f t="shared" si="5"/>
        <v>-4.3880000000000004E-3</v>
      </c>
      <c r="O36" s="402">
        <f t="shared" si="6"/>
        <v>-0.71605744125326365</v>
      </c>
      <c r="P36" s="52"/>
      <c r="Q36" s="418">
        <f>IFERROR(VLOOKUP($C36,'Proposed Rates'!$B:$J,Q$11,FALSE),0)</f>
        <v>4.47E-3</v>
      </c>
      <c r="R36" s="568">
        <f t="shared" si="28"/>
        <v>0.4</v>
      </c>
      <c r="S36" s="400">
        <f t="shared" si="29"/>
        <v>1.7880000000000001E-3</v>
      </c>
      <c r="T36" s="128"/>
      <c r="U36" s="401">
        <f t="shared" si="9"/>
        <v>4.8000000000000083E-5</v>
      </c>
      <c r="V36" s="402">
        <f t="shared" si="10"/>
        <v>2.7586206896551772E-2</v>
      </c>
      <c r="W36" s="52"/>
      <c r="X36" s="418">
        <f>IFERROR(VLOOKUP($C36,'Proposed Rates'!$B:$J,X$11,FALSE),0)</f>
        <v>4.5199999999999997E-3</v>
      </c>
      <c r="Y36" s="568">
        <f t="shared" si="30"/>
        <v>0.4</v>
      </c>
      <c r="Z36" s="400">
        <f t="shared" si="31"/>
        <v>1.8079999999999999E-3</v>
      </c>
      <c r="AA36" s="128"/>
      <c r="AB36" s="401">
        <f t="shared" si="13"/>
        <v>1.9999999999999836E-5</v>
      </c>
      <c r="AC36" s="402">
        <f t="shared" si="14"/>
        <v>1.1185682326621831E-2</v>
      </c>
      <c r="AD36" s="52"/>
      <c r="AE36" s="418">
        <f>IFERROR(VLOOKUP($C36,'Proposed Rates'!$B:$J,AE$11,FALSE),0)</f>
        <v>4.5999999999999999E-3</v>
      </c>
      <c r="AF36" s="568">
        <f t="shared" si="32"/>
        <v>0.4</v>
      </c>
      <c r="AG36" s="400">
        <f t="shared" si="33"/>
        <v>1.8400000000000001E-3</v>
      </c>
      <c r="AH36" s="128"/>
      <c r="AI36" s="401">
        <f t="shared" si="17"/>
        <v>3.2000000000000127E-5</v>
      </c>
      <c r="AJ36" s="402">
        <f t="shared" si="18"/>
        <v>1.769911504424786E-2</v>
      </c>
      <c r="AK36" s="52"/>
      <c r="AL36" s="418">
        <f>IFERROR(VLOOKUP($C36,'Proposed Rates'!$B:$J,AL$11,FALSE),0)</f>
        <v>4.6800000000000001E-3</v>
      </c>
      <c r="AM36" s="568">
        <f t="shared" si="34"/>
        <v>0.4</v>
      </c>
      <c r="AN36" s="400">
        <f t="shared" si="35"/>
        <v>1.8720000000000002E-3</v>
      </c>
      <c r="AO36" s="128"/>
      <c r="AP36" s="401">
        <f t="shared" si="21"/>
        <v>3.2000000000000127E-5</v>
      </c>
      <c r="AQ36" s="402">
        <f t="shared" si="22"/>
        <v>1.7391304347826157E-2</v>
      </c>
      <c r="AR36" s="403"/>
      <c r="AS36" s="403"/>
    </row>
    <row r="37" spans="1:45" ht="12" customHeight="1">
      <c r="A37" s="551"/>
      <c r="B37" s="320" t="s">
        <v>312</v>
      </c>
      <c r="C37" s="395" t="str">
        <f t="shared" si="23"/>
        <v>Sentinel Lights.Line Losses on Cost of Power</v>
      </c>
      <c r="D37" s="396" t="s">
        <v>308</v>
      </c>
      <c r="E37" s="320"/>
      <c r="F37" s="558">
        <f>'Res (750)'!F35</f>
        <v>0.12752000000000002</v>
      </c>
      <c r="G37" s="507">
        <f>$F$9*(1+F$65)-$F$9</f>
        <v>3.1771999999999991</v>
      </c>
      <c r="H37" s="400">
        <f t="shared" si="25"/>
        <v>0.40515654399999995</v>
      </c>
      <c r="I37" s="128"/>
      <c r="J37" s="558">
        <f>'Res (750)'!J35</f>
        <v>0.12752000000000002</v>
      </c>
      <c r="K37" s="507">
        <f>$F$9*(1+J$65)-$F$9</f>
        <v>3.1207999999999885</v>
      </c>
      <c r="L37" s="400">
        <f t="shared" si="27"/>
        <v>0.3979644159999986</v>
      </c>
      <c r="M37" s="128"/>
      <c r="N37" s="401">
        <f t="shared" si="5"/>
        <v>-7.1921280000013521E-3</v>
      </c>
      <c r="O37" s="402">
        <f t="shared" si="6"/>
        <v>-1.7751479289944166E-2</v>
      </c>
      <c r="P37" s="52"/>
      <c r="Q37" s="558">
        <f>'Res (750)'!Q35</f>
        <v>0.12752000000000002</v>
      </c>
      <c r="R37" s="507">
        <f>$F$9*(1+Q$65)-$F$9</f>
        <v>3.1207999999999885</v>
      </c>
      <c r="S37" s="400">
        <f t="shared" si="29"/>
        <v>0.3979644159999986</v>
      </c>
      <c r="T37" s="128"/>
      <c r="U37" s="401">
        <f t="shared" si="9"/>
        <v>0</v>
      </c>
      <c r="V37" s="402">
        <f t="shared" si="10"/>
        <v>0</v>
      </c>
      <c r="W37" s="52"/>
      <c r="X37" s="558">
        <f>'Res (750)'!X35</f>
        <v>0.12752000000000002</v>
      </c>
      <c r="Y37" s="507">
        <f>$F$9*(1+X$65)-$F$9</f>
        <v>3.1207999999999885</v>
      </c>
      <c r="Z37" s="400">
        <f t="shared" si="31"/>
        <v>0.3979644159999986</v>
      </c>
      <c r="AA37" s="128"/>
      <c r="AB37" s="401">
        <f t="shared" si="13"/>
        <v>0</v>
      </c>
      <c r="AC37" s="402">
        <f t="shared" si="14"/>
        <v>0</v>
      </c>
      <c r="AD37" s="52"/>
      <c r="AE37" s="558">
        <f>'Res (750)'!AE35</f>
        <v>0.12752000000000002</v>
      </c>
      <c r="AF37" s="507">
        <f>$F$9*(1+AE$65)-$F$9</f>
        <v>3.1207999999999885</v>
      </c>
      <c r="AG37" s="400">
        <f t="shared" si="33"/>
        <v>0.3979644159999986</v>
      </c>
      <c r="AH37" s="128"/>
      <c r="AI37" s="401">
        <f t="shared" si="17"/>
        <v>0</v>
      </c>
      <c r="AJ37" s="402">
        <f t="shared" si="18"/>
        <v>0</v>
      </c>
      <c r="AK37" s="52"/>
      <c r="AL37" s="558">
        <f>'Res (750)'!AL35</f>
        <v>0.12752000000000002</v>
      </c>
      <c r="AM37" s="507">
        <f>$F$9*(1+AL$65)-$F$9</f>
        <v>3.1207999999999885</v>
      </c>
      <c r="AN37" s="400">
        <f t="shared" si="35"/>
        <v>0.3979644159999986</v>
      </c>
      <c r="AO37" s="128"/>
      <c r="AP37" s="401">
        <f t="shared" si="21"/>
        <v>0</v>
      </c>
      <c r="AQ37" s="402">
        <f t="shared" si="22"/>
        <v>0</v>
      </c>
      <c r="AR37" s="403"/>
      <c r="AS37" s="403"/>
    </row>
    <row r="38" spans="1:45" ht="12" customHeight="1">
      <c r="A38" s="551"/>
      <c r="B38" s="320" t="s">
        <v>271</v>
      </c>
      <c r="C38" s="395" t="str">
        <f t="shared" si="23"/>
        <v>Sentinel Lights.Smart Meter Entity Charge</v>
      </c>
      <c r="D38" s="396" t="s">
        <v>306</v>
      </c>
      <c r="E38" s="320"/>
      <c r="F38" s="397">
        <f>IFERROR(VLOOKUP($C38,'Proposed Rates'!$B:$J,F$11,FALSE),0)</f>
        <v>0</v>
      </c>
      <c r="G38" s="415">
        <f>IF($D38="Monthly",1,IF($D38="per KW",$F$10,IF($D38="per kWh",$F$9,0)))</f>
        <v>1</v>
      </c>
      <c r="H38" s="400">
        <f t="shared" si="25"/>
        <v>0</v>
      </c>
      <c r="I38" s="128"/>
      <c r="J38" s="397">
        <f>IFERROR(VLOOKUP($C38,'Proposed Rates'!$B:$J,J$11,FALSE),0)</f>
        <v>0</v>
      </c>
      <c r="K38" s="415">
        <f>IF($D38="Monthly",1,IF($D38="per KW",$F$10,IF($D38="per kWh",$F$9,0)))</f>
        <v>1</v>
      </c>
      <c r="L38" s="400">
        <f t="shared" si="27"/>
        <v>0</v>
      </c>
      <c r="M38" s="128"/>
      <c r="N38" s="401">
        <f t="shared" si="5"/>
        <v>0</v>
      </c>
      <c r="O38" s="402" t="str">
        <f t="shared" si="6"/>
        <v/>
      </c>
      <c r="P38" s="52"/>
      <c r="Q38" s="397">
        <f>IFERROR(VLOOKUP($C38,'Proposed Rates'!$B:$J,Q$11,FALSE),0)</f>
        <v>0</v>
      </c>
      <c r="R38" s="415">
        <f>IF($D38="Monthly",1,IF($D38="per KW",$F$10,IF($D38="per kWh",$F$9,0)))</f>
        <v>1</v>
      </c>
      <c r="S38" s="400">
        <f t="shared" si="29"/>
        <v>0</v>
      </c>
      <c r="T38" s="128"/>
      <c r="U38" s="401">
        <f t="shared" si="9"/>
        <v>0</v>
      </c>
      <c r="V38" s="402" t="str">
        <f t="shared" si="10"/>
        <v/>
      </c>
      <c r="W38" s="52"/>
      <c r="X38" s="397">
        <f>IFERROR(VLOOKUP($C38,'Proposed Rates'!$B:$J,X$11,FALSE),0)</f>
        <v>0</v>
      </c>
      <c r="Y38" s="415">
        <f>IF($D38="Monthly",1,IF($D38="per KW",$F$10,IF($D38="per kWh",$F$9,0)))</f>
        <v>1</v>
      </c>
      <c r="Z38" s="400">
        <f t="shared" si="31"/>
        <v>0</v>
      </c>
      <c r="AA38" s="128"/>
      <c r="AB38" s="401">
        <f t="shared" si="13"/>
        <v>0</v>
      </c>
      <c r="AC38" s="402" t="str">
        <f t="shared" si="14"/>
        <v/>
      </c>
      <c r="AD38" s="52"/>
      <c r="AE38" s="397">
        <f>IFERROR(VLOOKUP($C38,'Proposed Rates'!$B:$J,AE$11,FALSE),0)</f>
        <v>0</v>
      </c>
      <c r="AF38" s="415">
        <f>IF($D38="Monthly",1,IF($D38="per KW",$F$10,IF($D38="per kWh",$F$9,0)))</f>
        <v>1</v>
      </c>
      <c r="AG38" s="400">
        <f t="shared" si="33"/>
        <v>0</v>
      </c>
      <c r="AH38" s="128"/>
      <c r="AI38" s="401">
        <f t="shared" si="17"/>
        <v>0</v>
      </c>
      <c r="AJ38" s="402" t="str">
        <f t="shared" si="18"/>
        <v/>
      </c>
      <c r="AK38" s="52"/>
      <c r="AL38" s="397">
        <f>IFERROR(VLOOKUP($C38,'Proposed Rates'!$B:$J,AL$11,FALSE),0)</f>
        <v>0</v>
      </c>
      <c r="AM38" s="415">
        <f>IF($D38="Monthly",1,IF($D38="per KW",$F$10,IF($D38="per kWh",$F$9,0)))</f>
        <v>1</v>
      </c>
      <c r="AN38" s="400">
        <f t="shared" si="35"/>
        <v>0</v>
      </c>
      <c r="AO38" s="128"/>
      <c r="AP38" s="401">
        <f t="shared" si="21"/>
        <v>0</v>
      </c>
      <c r="AQ38" s="402" t="str">
        <f t="shared" si="22"/>
        <v/>
      </c>
      <c r="AR38" s="403"/>
      <c r="AS38" s="403"/>
    </row>
    <row r="39" spans="1:45" ht="12" customHeight="1">
      <c r="A39" s="551"/>
      <c r="B39" s="405" t="s">
        <v>313</v>
      </c>
      <c r="C39" s="422"/>
      <c r="D39" s="422"/>
      <c r="E39" s="422"/>
      <c r="F39" s="423"/>
      <c r="G39" s="501"/>
      <c r="H39" s="409">
        <f>SUM(H30:H38)+H29</f>
        <v>20.638524543999999</v>
      </c>
      <c r="I39" s="425"/>
      <c r="J39" s="423"/>
      <c r="K39" s="501"/>
      <c r="L39" s="409">
        <f>SUM(L30:L38)+L29</f>
        <v>24.169624415999998</v>
      </c>
      <c r="M39" s="425"/>
      <c r="N39" s="411">
        <f t="shared" si="5"/>
        <v>3.5310998719999986</v>
      </c>
      <c r="O39" s="412">
        <f t="shared" si="6"/>
        <v>0.17109265075959873</v>
      </c>
      <c r="P39" s="52"/>
      <c r="Q39" s="423"/>
      <c r="R39" s="501"/>
      <c r="S39" s="409">
        <f>SUM(S30:S38)+S29</f>
        <v>26.399552415999999</v>
      </c>
      <c r="T39" s="425"/>
      <c r="U39" s="411">
        <f t="shared" si="9"/>
        <v>2.229928000000001</v>
      </c>
      <c r="V39" s="412">
        <f t="shared" si="10"/>
        <v>9.226159089687036E-2</v>
      </c>
      <c r="W39" s="52"/>
      <c r="X39" s="423"/>
      <c r="Y39" s="501"/>
      <c r="Z39" s="409">
        <f>SUM(Z30:Z38)+Z29</f>
        <v>28.721492415999997</v>
      </c>
      <c r="AA39" s="425"/>
      <c r="AB39" s="411">
        <f t="shared" si="13"/>
        <v>2.3219399999999979</v>
      </c>
      <c r="AC39" s="412">
        <f t="shared" si="14"/>
        <v>8.7953763890055117E-2</v>
      </c>
      <c r="AD39" s="52"/>
      <c r="AE39" s="423"/>
      <c r="AF39" s="501"/>
      <c r="AG39" s="409">
        <f>SUM(AG30:AG38)+AG29</f>
        <v>30.535004416000003</v>
      </c>
      <c r="AH39" s="425"/>
      <c r="AI39" s="411">
        <f t="shared" si="17"/>
        <v>1.8135120000000065</v>
      </c>
      <c r="AJ39" s="412">
        <f t="shared" si="18"/>
        <v>6.3141287149470898E-2</v>
      </c>
      <c r="AK39" s="52"/>
      <c r="AL39" s="423"/>
      <c r="AM39" s="501"/>
      <c r="AN39" s="409">
        <f>SUM(AN30:AN38)+AN29</f>
        <v>32.255036415999996</v>
      </c>
      <c r="AO39" s="425"/>
      <c r="AP39" s="411">
        <f t="shared" si="21"/>
        <v>1.7200319999999927</v>
      </c>
      <c r="AQ39" s="412">
        <f t="shared" si="22"/>
        <v>5.6329842844192124E-2</v>
      </c>
      <c r="AR39" s="413"/>
      <c r="AS39" s="413"/>
    </row>
    <row r="40" spans="1:45" ht="12" customHeight="1">
      <c r="A40" s="551"/>
      <c r="B40" s="128" t="s">
        <v>255</v>
      </c>
      <c r="C40" s="395" t="str">
        <f t="shared" ref="C40:C41" si="36">D$6&amp;"."&amp;B40</f>
        <v>Sentinel Lights.RTSR - Network</v>
      </c>
      <c r="D40" s="426" t="s">
        <v>377</v>
      </c>
      <c r="E40" s="128"/>
      <c r="F40" s="414">
        <f>IFERROR(VLOOKUP($C40,'Proposed Rates'!$B:$J,F$11,FALSE),0)</f>
        <v>3.5788000000000002</v>
      </c>
      <c r="G40" s="568">
        <f t="shared" ref="G40:G41" si="37">IF($D40="Monthly",1,IF($D40="per KW",$F$10,IF($D40="per kWh",$F$9,0)))</f>
        <v>0.4</v>
      </c>
      <c r="H40" s="400">
        <f t="shared" ref="H40:H41" si="38">G40*F40</f>
        <v>1.4315200000000001</v>
      </c>
      <c r="I40" s="128"/>
      <c r="J40" s="414">
        <f>IFERROR(VLOOKUP($C40,'Proposed Rates'!$B:$J,J$11,FALSE),0)</f>
        <v>0.85450000000000004</v>
      </c>
      <c r="K40" s="568">
        <f t="shared" ref="K40:K41" si="39">IF($D40="Monthly",1,IF($D40="per KW",$F$10,IF($D40="per kWh",$F$9,0)))</f>
        <v>0.4</v>
      </c>
      <c r="L40" s="400">
        <f t="shared" ref="L40:L41" si="40">K40*J40</f>
        <v>0.34180000000000005</v>
      </c>
      <c r="M40" s="128"/>
      <c r="N40" s="401">
        <f t="shared" si="5"/>
        <v>-1.08972</v>
      </c>
      <c r="O40" s="402">
        <f t="shared" si="6"/>
        <v>-0.76123281546887223</v>
      </c>
      <c r="P40" s="52"/>
      <c r="Q40" s="414">
        <f>IFERROR(VLOOKUP($C40,'Proposed Rates'!$B:$J,Q$11,FALSE),0)</f>
        <v>0.85450000000000004</v>
      </c>
      <c r="R40" s="568">
        <f t="shared" ref="R40:R41" si="41">IF($D40="Monthly",1,IF($D40="per KW",$F$10,IF($D40="per kWh",$F$9,0)))</f>
        <v>0.4</v>
      </c>
      <c r="S40" s="400">
        <f t="shared" ref="S40:S41" si="42">R40*Q40</f>
        <v>0.34180000000000005</v>
      </c>
      <c r="T40" s="128"/>
      <c r="U40" s="401">
        <f t="shared" si="9"/>
        <v>0</v>
      </c>
      <c r="V40" s="402">
        <f t="shared" si="10"/>
        <v>0</v>
      </c>
      <c r="W40" s="52"/>
      <c r="X40" s="414">
        <f>IFERROR(VLOOKUP($C40,'Proposed Rates'!$B:$J,X$11,FALSE),0)</f>
        <v>0.85450000000000004</v>
      </c>
      <c r="Y40" s="568">
        <f t="shared" ref="Y40:Y41" si="43">IF($D40="Monthly",1,IF($D40="per KW",$F$10,IF($D40="per kWh",$F$9,0)))</f>
        <v>0.4</v>
      </c>
      <c r="Z40" s="400">
        <f t="shared" ref="Z40:Z41" si="44">Y40*X40</f>
        <v>0.34180000000000005</v>
      </c>
      <c r="AA40" s="128"/>
      <c r="AB40" s="401">
        <f t="shared" si="13"/>
        <v>0</v>
      </c>
      <c r="AC40" s="402">
        <f t="shared" si="14"/>
        <v>0</v>
      </c>
      <c r="AD40" s="52"/>
      <c r="AE40" s="414">
        <f>IFERROR(VLOOKUP($C40,'Proposed Rates'!$B:$J,AE$11,FALSE),0)</f>
        <v>0.85450000000000004</v>
      </c>
      <c r="AF40" s="568">
        <f t="shared" ref="AF40:AF41" si="45">IF($D40="Monthly",1,IF($D40="per KW",$F$10,IF($D40="per kWh",$F$9,0)))</f>
        <v>0.4</v>
      </c>
      <c r="AG40" s="400">
        <f t="shared" ref="AG40:AG41" si="46">AF40*AE40</f>
        <v>0.34180000000000005</v>
      </c>
      <c r="AH40" s="128"/>
      <c r="AI40" s="401">
        <f t="shared" si="17"/>
        <v>0</v>
      </c>
      <c r="AJ40" s="402">
        <f t="shared" si="18"/>
        <v>0</v>
      </c>
      <c r="AK40" s="52"/>
      <c r="AL40" s="414">
        <f>IFERROR(VLOOKUP($C40,'Proposed Rates'!$B:$J,AL$11,FALSE),0)</f>
        <v>0.85450000000000004</v>
      </c>
      <c r="AM40" s="568">
        <f t="shared" ref="AM40:AM41" si="47">IF($D40="Monthly",1,IF($D40="per KW",$F$10,IF($D40="per kWh",$F$9,0)))</f>
        <v>0.4</v>
      </c>
      <c r="AN40" s="400">
        <f t="shared" ref="AN40:AN41" si="48">AM40*AL40</f>
        <v>0.34180000000000005</v>
      </c>
      <c r="AO40" s="128"/>
      <c r="AP40" s="401">
        <f t="shared" si="21"/>
        <v>0</v>
      </c>
      <c r="AQ40" s="402">
        <f t="shared" si="22"/>
        <v>0</v>
      </c>
      <c r="AR40" s="403"/>
      <c r="AS40" s="403"/>
    </row>
    <row r="41" spans="1:45" ht="12" customHeight="1">
      <c r="A41" s="551"/>
      <c r="B41" s="128" t="s">
        <v>256</v>
      </c>
      <c r="C41" s="395" t="str">
        <f t="shared" si="36"/>
        <v>Sentinel Lights.RTSR - Line and Transformation Connection</v>
      </c>
      <c r="D41" s="426" t="s">
        <v>377</v>
      </c>
      <c r="E41" s="128"/>
      <c r="F41" s="414">
        <f>IFERROR(VLOOKUP($C41,'Proposed Rates'!$B:$J,F$11,FALSE),0)</f>
        <v>2.0941999999999998</v>
      </c>
      <c r="G41" s="568">
        <f t="shared" si="37"/>
        <v>0.4</v>
      </c>
      <c r="H41" s="400">
        <f t="shared" si="38"/>
        <v>0.83767999999999998</v>
      </c>
      <c r="I41" s="128"/>
      <c r="J41" s="414">
        <f>IFERROR(VLOOKUP($C41,'Proposed Rates'!$B:$J,J$11,FALSE),0)</f>
        <v>0.48370000000000002</v>
      </c>
      <c r="K41" s="568">
        <f t="shared" si="39"/>
        <v>0.4</v>
      </c>
      <c r="L41" s="400">
        <f t="shared" si="40"/>
        <v>0.19348000000000001</v>
      </c>
      <c r="M41" s="128"/>
      <c r="N41" s="401">
        <f t="shared" si="5"/>
        <v>-0.64419999999999999</v>
      </c>
      <c r="O41" s="402">
        <f t="shared" si="6"/>
        <v>-0.76902874606054816</v>
      </c>
      <c r="P41" s="52"/>
      <c r="Q41" s="414">
        <f>IFERROR(VLOOKUP($C41,'Proposed Rates'!$B:$J,Q$11,FALSE),0)</f>
        <v>0.48370000000000002</v>
      </c>
      <c r="R41" s="568">
        <f t="shared" si="41"/>
        <v>0.4</v>
      </c>
      <c r="S41" s="400">
        <f t="shared" si="42"/>
        <v>0.19348000000000001</v>
      </c>
      <c r="T41" s="128"/>
      <c r="U41" s="401">
        <f t="shared" si="9"/>
        <v>0</v>
      </c>
      <c r="V41" s="402">
        <f t="shared" si="10"/>
        <v>0</v>
      </c>
      <c r="W41" s="52"/>
      <c r="X41" s="414">
        <f>IFERROR(VLOOKUP($C41,'Proposed Rates'!$B:$J,X$11,FALSE),0)</f>
        <v>0.48370000000000002</v>
      </c>
      <c r="Y41" s="568">
        <f t="shared" si="43"/>
        <v>0.4</v>
      </c>
      <c r="Z41" s="400">
        <f t="shared" si="44"/>
        <v>0.19348000000000001</v>
      </c>
      <c r="AA41" s="128"/>
      <c r="AB41" s="401">
        <f t="shared" si="13"/>
        <v>0</v>
      </c>
      <c r="AC41" s="402">
        <f t="shared" si="14"/>
        <v>0</v>
      </c>
      <c r="AD41" s="52"/>
      <c r="AE41" s="414">
        <f>IFERROR(VLOOKUP($C41,'Proposed Rates'!$B:$J,AE$11,FALSE),0)</f>
        <v>0.48370000000000002</v>
      </c>
      <c r="AF41" s="568">
        <f t="shared" si="45"/>
        <v>0.4</v>
      </c>
      <c r="AG41" s="400">
        <f t="shared" si="46"/>
        <v>0.19348000000000001</v>
      </c>
      <c r="AH41" s="128"/>
      <c r="AI41" s="401">
        <f t="shared" si="17"/>
        <v>0</v>
      </c>
      <c r="AJ41" s="402">
        <f t="shared" si="18"/>
        <v>0</v>
      </c>
      <c r="AK41" s="52"/>
      <c r="AL41" s="414">
        <f>IFERROR(VLOOKUP($C41,'Proposed Rates'!$B:$J,AL$11,FALSE),0)</f>
        <v>0.48370000000000002</v>
      </c>
      <c r="AM41" s="568">
        <f t="shared" si="47"/>
        <v>0.4</v>
      </c>
      <c r="AN41" s="400">
        <f t="shared" si="48"/>
        <v>0.19348000000000001</v>
      </c>
      <c r="AO41" s="128"/>
      <c r="AP41" s="401">
        <f t="shared" si="21"/>
        <v>0</v>
      </c>
      <c r="AQ41" s="402">
        <f t="shared" si="22"/>
        <v>0</v>
      </c>
      <c r="AR41" s="403"/>
      <c r="AS41" s="403"/>
    </row>
    <row r="42" spans="1:45" ht="12" customHeight="1">
      <c r="A42" s="551"/>
      <c r="B42" s="405" t="s">
        <v>314</v>
      </c>
      <c r="C42" s="427"/>
      <c r="D42" s="427"/>
      <c r="E42" s="427"/>
      <c r="F42" s="428"/>
      <c r="G42" s="501"/>
      <c r="H42" s="409">
        <f>SUM(H39:H41)</f>
        <v>22.907724543999997</v>
      </c>
      <c r="I42" s="410"/>
      <c r="J42" s="428"/>
      <c r="K42" s="501"/>
      <c r="L42" s="409">
        <f>SUM(L39:L41)</f>
        <v>24.704904415999998</v>
      </c>
      <c r="M42" s="410"/>
      <c r="N42" s="411">
        <f t="shared" si="5"/>
        <v>1.797179872000001</v>
      </c>
      <c r="O42" s="412">
        <f t="shared" si="6"/>
        <v>7.8453006912496653E-2</v>
      </c>
      <c r="P42" s="52"/>
      <c r="Q42" s="428"/>
      <c r="R42" s="501"/>
      <c r="S42" s="409">
        <f>SUM(S39:S41)</f>
        <v>26.934832415999999</v>
      </c>
      <c r="T42" s="410"/>
      <c r="U42" s="411">
        <f t="shared" si="9"/>
        <v>2.229928000000001</v>
      </c>
      <c r="V42" s="412">
        <f t="shared" si="10"/>
        <v>9.0262563353849704E-2</v>
      </c>
      <c r="W42" s="52"/>
      <c r="X42" s="428"/>
      <c r="Y42" s="501"/>
      <c r="Z42" s="409">
        <f>SUM(Z39:Z41)</f>
        <v>29.256772415999997</v>
      </c>
      <c r="AA42" s="410"/>
      <c r="AB42" s="411">
        <f t="shared" si="13"/>
        <v>2.3219399999999979</v>
      </c>
      <c r="AC42" s="412">
        <f t="shared" si="14"/>
        <v>8.6205845432351921E-2</v>
      </c>
      <c r="AD42" s="52"/>
      <c r="AE42" s="428"/>
      <c r="AF42" s="501"/>
      <c r="AG42" s="409">
        <f>SUM(AG39:AG41)</f>
        <v>31.070284416000003</v>
      </c>
      <c r="AH42" s="410"/>
      <c r="AI42" s="411">
        <f t="shared" si="17"/>
        <v>1.8135120000000065</v>
      </c>
      <c r="AJ42" s="412">
        <f t="shared" si="18"/>
        <v>6.1986058277851239E-2</v>
      </c>
      <c r="AK42" s="52"/>
      <c r="AL42" s="428"/>
      <c r="AM42" s="501"/>
      <c r="AN42" s="409">
        <f>SUM(AN39:AN41)</f>
        <v>32.790316415999996</v>
      </c>
      <c r="AO42" s="410"/>
      <c r="AP42" s="411">
        <f t="shared" si="21"/>
        <v>1.7200319999999927</v>
      </c>
      <c r="AQ42" s="412">
        <f t="shared" si="22"/>
        <v>5.5359390244726636E-2</v>
      </c>
      <c r="AR42" s="413"/>
      <c r="AS42" s="413"/>
    </row>
    <row r="43" spans="1:45" ht="12" customHeight="1">
      <c r="A43" s="551"/>
      <c r="B43" s="320" t="s">
        <v>257</v>
      </c>
      <c r="C43" s="395" t="str">
        <f t="shared" ref="C43:C45" si="49">D$6&amp;"."&amp;B43</f>
        <v>Sentinel Lights.Wholesale Market Service Charge (WMSC)</v>
      </c>
      <c r="D43" s="396" t="s">
        <v>308</v>
      </c>
      <c r="E43" s="320"/>
      <c r="F43" s="414">
        <f>IFERROR(VLOOKUP($C43,'Proposed Rates'!$B:$J,F$11,FALSE),0)</f>
        <v>4.4999999999999997E-3</v>
      </c>
      <c r="G43" s="508">
        <f t="shared" ref="G43:G44" si="50">$F$9+G$37</f>
        <v>97.177199999999999</v>
      </c>
      <c r="H43" s="400">
        <f t="shared" ref="H43:H50" si="51">G43*F43</f>
        <v>0.43729739999999995</v>
      </c>
      <c r="I43" s="128"/>
      <c r="J43" s="414">
        <f>IFERROR(VLOOKUP($C43,'Proposed Rates'!$B:$J,J$11,FALSE),0)</f>
        <v>4.4999999999999997E-3</v>
      </c>
      <c r="K43" s="508">
        <f t="shared" ref="K43:K44" si="52">$F$9+K$37</f>
        <v>97.120799999999988</v>
      </c>
      <c r="L43" s="400">
        <f t="shared" ref="L43:L50" si="53">K43*J43</f>
        <v>0.43704359999999992</v>
      </c>
      <c r="M43" s="128"/>
      <c r="N43" s="401">
        <f t="shared" si="5"/>
        <v>-2.5380000000002623E-4</v>
      </c>
      <c r="O43" s="402">
        <f t="shared" si="6"/>
        <v>-5.8038305281491787E-4</v>
      </c>
      <c r="P43" s="52"/>
      <c r="Q43" s="414">
        <f>IFERROR(VLOOKUP($C43,'Proposed Rates'!$B:$J,Q$11,FALSE),0)</f>
        <v>4.4999999999999997E-3</v>
      </c>
      <c r="R43" s="508">
        <f t="shared" ref="R43:R44" si="54">$F$9+R$37</f>
        <v>97.120799999999988</v>
      </c>
      <c r="S43" s="400">
        <f t="shared" ref="S43:S50" si="55">R43*Q43</f>
        <v>0.43704359999999992</v>
      </c>
      <c r="T43" s="128"/>
      <c r="U43" s="401">
        <f t="shared" si="9"/>
        <v>0</v>
      </c>
      <c r="V43" s="402">
        <f t="shared" si="10"/>
        <v>0</v>
      </c>
      <c r="W43" s="52"/>
      <c r="X43" s="414">
        <f>IFERROR(VLOOKUP($C43,'Proposed Rates'!$B:$J,X$11,FALSE),0)</f>
        <v>4.4999999999999997E-3</v>
      </c>
      <c r="Y43" s="508">
        <f t="shared" ref="Y43:Y44" si="56">$F$9+Y$37</f>
        <v>97.120799999999988</v>
      </c>
      <c r="Z43" s="400">
        <f t="shared" ref="Z43:Z50" si="57">Y43*X43</f>
        <v>0.43704359999999992</v>
      </c>
      <c r="AA43" s="128"/>
      <c r="AB43" s="401">
        <f t="shared" si="13"/>
        <v>0</v>
      </c>
      <c r="AC43" s="402">
        <f t="shared" si="14"/>
        <v>0</v>
      </c>
      <c r="AD43" s="52"/>
      <c r="AE43" s="414">
        <f>IFERROR(VLOOKUP($C43,'Proposed Rates'!$B:$J,AE$11,FALSE),0)</f>
        <v>4.4999999999999997E-3</v>
      </c>
      <c r="AF43" s="508">
        <f t="shared" ref="AF43:AF44" si="58">$F$9+AF$37</f>
        <v>97.120799999999988</v>
      </c>
      <c r="AG43" s="400">
        <f t="shared" ref="AG43:AG50" si="59">AF43*AE43</f>
        <v>0.43704359999999992</v>
      </c>
      <c r="AH43" s="128"/>
      <c r="AI43" s="401">
        <f t="shared" si="17"/>
        <v>0</v>
      </c>
      <c r="AJ43" s="402">
        <f t="shared" si="18"/>
        <v>0</v>
      </c>
      <c r="AK43" s="52"/>
      <c r="AL43" s="414">
        <f>IFERROR(VLOOKUP($C43,'Proposed Rates'!$B:$J,AL$11,FALSE),0)</f>
        <v>4.4999999999999997E-3</v>
      </c>
      <c r="AM43" s="508">
        <f t="shared" ref="AM43:AM44" si="60">$F$9+AM$37</f>
        <v>97.120799999999988</v>
      </c>
      <c r="AN43" s="400">
        <f t="shared" ref="AN43:AN50" si="61">AM43*AL43</f>
        <v>0.43704359999999992</v>
      </c>
      <c r="AO43" s="128"/>
      <c r="AP43" s="401">
        <f t="shared" si="21"/>
        <v>0</v>
      </c>
      <c r="AQ43" s="402">
        <f t="shared" si="22"/>
        <v>0</v>
      </c>
      <c r="AR43" s="403"/>
      <c r="AS43" s="403"/>
    </row>
    <row r="44" spans="1:45" ht="12" customHeight="1">
      <c r="A44" s="551"/>
      <c r="B44" s="320" t="s">
        <v>258</v>
      </c>
      <c r="C44" s="395" t="str">
        <f t="shared" si="49"/>
        <v>Sentinel Lights.Rural and Remote Rate Protection (RRRP)</v>
      </c>
      <c r="D44" s="396" t="s">
        <v>308</v>
      </c>
      <c r="E44" s="320"/>
      <c r="F44" s="414">
        <f>IFERROR(VLOOKUP($C44,'Proposed Rates'!$B:$J,F$11,FALSE),0)</f>
        <v>1.5E-3</v>
      </c>
      <c r="G44" s="508">
        <f t="shared" si="50"/>
        <v>97.177199999999999</v>
      </c>
      <c r="H44" s="400">
        <f t="shared" si="51"/>
        <v>0.1457658</v>
      </c>
      <c r="I44" s="128"/>
      <c r="J44" s="414">
        <f>IFERROR(VLOOKUP($C44,'Proposed Rates'!$B:$J,J$11,FALSE),0)</f>
        <v>1.5E-3</v>
      </c>
      <c r="K44" s="508">
        <f t="shared" si="52"/>
        <v>97.120799999999988</v>
      </c>
      <c r="L44" s="400">
        <f t="shared" si="53"/>
        <v>0.14568119999999998</v>
      </c>
      <c r="M44" s="128"/>
      <c r="N44" s="401">
        <f t="shared" si="5"/>
        <v>-8.4600000000017994E-5</v>
      </c>
      <c r="O44" s="402">
        <f t="shared" si="6"/>
        <v>-5.803830528149813E-4</v>
      </c>
      <c r="P44" s="52"/>
      <c r="Q44" s="414">
        <f>IFERROR(VLOOKUP($C44,'Proposed Rates'!$B:$J,Q$11,FALSE),0)</f>
        <v>1.5E-3</v>
      </c>
      <c r="R44" s="508">
        <f t="shared" si="54"/>
        <v>97.120799999999988</v>
      </c>
      <c r="S44" s="400">
        <f t="shared" si="55"/>
        <v>0.14568119999999998</v>
      </c>
      <c r="T44" s="128"/>
      <c r="U44" s="401">
        <f t="shared" si="9"/>
        <v>0</v>
      </c>
      <c r="V44" s="402">
        <f t="shared" si="10"/>
        <v>0</v>
      </c>
      <c r="W44" s="52"/>
      <c r="X44" s="414">
        <f>IFERROR(VLOOKUP($C44,'Proposed Rates'!$B:$J,X$11,FALSE),0)</f>
        <v>1.5E-3</v>
      </c>
      <c r="Y44" s="508">
        <f t="shared" si="56"/>
        <v>97.120799999999988</v>
      </c>
      <c r="Z44" s="400">
        <f t="shared" si="57"/>
        <v>0.14568119999999998</v>
      </c>
      <c r="AA44" s="128"/>
      <c r="AB44" s="401">
        <f t="shared" si="13"/>
        <v>0</v>
      </c>
      <c r="AC44" s="402">
        <f t="shared" si="14"/>
        <v>0</v>
      </c>
      <c r="AD44" s="52"/>
      <c r="AE44" s="414">
        <f>IFERROR(VLOOKUP($C44,'Proposed Rates'!$B:$J,AE$11,FALSE),0)</f>
        <v>1.5E-3</v>
      </c>
      <c r="AF44" s="508">
        <f t="shared" si="58"/>
        <v>97.120799999999988</v>
      </c>
      <c r="AG44" s="400">
        <f t="shared" si="59"/>
        <v>0.14568119999999998</v>
      </c>
      <c r="AH44" s="128"/>
      <c r="AI44" s="401">
        <f t="shared" si="17"/>
        <v>0</v>
      </c>
      <c r="AJ44" s="402">
        <f t="shared" si="18"/>
        <v>0</v>
      </c>
      <c r="AK44" s="52"/>
      <c r="AL44" s="414">
        <f>IFERROR(VLOOKUP($C44,'Proposed Rates'!$B:$J,AL$11,FALSE),0)</f>
        <v>1.5E-3</v>
      </c>
      <c r="AM44" s="508">
        <f t="shared" si="60"/>
        <v>97.120799999999988</v>
      </c>
      <c r="AN44" s="400">
        <f t="shared" si="61"/>
        <v>0.14568119999999998</v>
      </c>
      <c r="AO44" s="128"/>
      <c r="AP44" s="401">
        <f t="shared" si="21"/>
        <v>0</v>
      </c>
      <c r="AQ44" s="402">
        <f t="shared" si="22"/>
        <v>0</v>
      </c>
      <c r="AR44" s="403"/>
      <c r="AS44" s="403"/>
    </row>
    <row r="45" spans="1:45" ht="12" customHeight="1">
      <c r="A45" s="551"/>
      <c r="B45" s="320" t="s">
        <v>260</v>
      </c>
      <c r="C45" s="395" t="str">
        <f t="shared" si="49"/>
        <v>Sentinel Lights.Standard Supply Service Charge</v>
      </c>
      <c r="D45" s="396" t="s">
        <v>306</v>
      </c>
      <c r="E45" s="320"/>
      <c r="F45" s="397">
        <f>IFERROR(VLOOKUP($C45,'Proposed Rates'!$B:$J,F$11,FALSE),0)</f>
        <v>0.25</v>
      </c>
      <c r="G45" s="415">
        <f>IF($D45="Monthly",1,IF($D45="per KW",$F$10,IF($D45="per kWh",$F$9,0)))</f>
        <v>1</v>
      </c>
      <c r="H45" s="400">
        <f t="shared" si="51"/>
        <v>0.25</v>
      </c>
      <c r="I45" s="128"/>
      <c r="J45" s="397">
        <f>IFERROR(VLOOKUP($C45,'Proposed Rates'!$B:$J,J$11,FALSE),0)</f>
        <v>1.51</v>
      </c>
      <c r="K45" s="415">
        <f>IF($D45="Monthly",1,IF($D45="per KW",$F$10,IF($D45="per kWh",$F$9,0)))</f>
        <v>1</v>
      </c>
      <c r="L45" s="400">
        <f t="shared" si="53"/>
        <v>1.51</v>
      </c>
      <c r="M45" s="128"/>
      <c r="N45" s="401">
        <f t="shared" si="5"/>
        <v>1.26</v>
      </c>
      <c r="O45" s="402">
        <f t="shared" si="6"/>
        <v>5.04</v>
      </c>
      <c r="P45" s="52"/>
      <c r="Q45" s="397">
        <f>IFERROR(VLOOKUP($C45,'Proposed Rates'!$B:$J,Q$11,FALSE),0)</f>
        <v>1.54</v>
      </c>
      <c r="R45" s="415">
        <f>IF($D45="Monthly",1,IF($D45="per KW",$F$10,IF($D45="per kWh",$F$9,0)))</f>
        <v>1</v>
      </c>
      <c r="S45" s="400">
        <f t="shared" si="55"/>
        <v>1.54</v>
      </c>
      <c r="T45" s="128"/>
      <c r="U45" s="401">
        <f t="shared" si="9"/>
        <v>3.0000000000000027E-2</v>
      </c>
      <c r="V45" s="402">
        <f t="shared" si="10"/>
        <v>1.986754966887419E-2</v>
      </c>
      <c r="W45" s="52"/>
      <c r="X45" s="397">
        <f>IFERROR(VLOOKUP($C45,'Proposed Rates'!$B:$J,X$11,FALSE),0)</f>
        <v>1.57</v>
      </c>
      <c r="Y45" s="415">
        <f>IF($D45="Monthly",1,IF($D45="per KW",$F$10,IF($D45="per kWh",$F$9,0)))</f>
        <v>1</v>
      </c>
      <c r="Z45" s="400">
        <f t="shared" si="57"/>
        <v>1.57</v>
      </c>
      <c r="AA45" s="128"/>
      <c r="AB45" s="401">
        <f t="shared" si="13"/>
        <v>3.0000000000000027E-2</v>
      </c>
      <c r="AC45" s="402">
        <f t="shared" si="14"/>
        <v>1.9480519480519497E-2</v>
      </c>
      <c r="AD45" s="52"/>
      <c r="AE45" s="397">
        <f>IFERROR(VLOOKUP($C45,'Proposed Rates'!$B:$J,AE$11,FALSE),0)</f>
        <v>1.6</v>
      </c>
      <c r="AF45" s="415">
        <f>IF($D45="Monthly",1,IF($D45="per KW",$F$10,IF($D45="per kWh",$F$9,0)))</f>
        <v>1</v>
      </c>
      <c r="AG45" s="400">
        <f t="shared" si="59"/>
        <v>1.6</v>
      </c>
      <c r="AH45" s="128"/>
      <c r="AI45" s="401">
        <f t="shared" si="17"/>
        <v>3.0000000000000027E-2</v>
      </c>
      <c r="AJ45" s="402">
        <f t="shared" si="18"/>
        <v>1.9108280254777087E-2</v>
      </c>
      <c r="AK45" s="52"/>
      <c r="AL45" s="397">
        <f>IFERROR(VLOOKUP($C45,'Proposed Rates'!$B:$J,AL$11,FALSE),0)</f>
        <v>1.63</v>
      </c>
      <c r="AM45" s="415">
        <f>IF($D45="Monthly",1,IF($D45="per KW",$F$10,IF($D45="per kWh",$F$9,0)))</f>
        <v>1</v>
      </c>
      <c r="AN45" s="400">
        <f t="shared" si="61"/>
        <v>1.63</v>
      </c>
      <c r="AO45" s="128"/>
      <c r="AP45" s="401">
        <f t="shared" si="21"/>
        <v>2.9999999999999805E-2</v>
      </c>
      <c r="AQ45" s="402">
        <f t="shared" si="22"/>
        <v>1.8749999999999878E-2</v>
      </c>
      <c r="AR45" s="403"/>
      <c r="AS45" s="403"/>
    </row>
    <row r="46" spans="1:45" ht="12" customHeight="1">
      <c r="A46" s="551"/>
      <c r="B46" s="320" t="s">
        <v>262</v>
      </c>
      <c r="C46" s="395" t="str">
        <f t="shared" ref="C46:C50" si="62">B46</f>
        <v>TOU - Off Peak</v>
      </c>
      <c r="D46" s="396" t="s">
        <v>308</v>
      </c>
      <c r="E46" s="320"/>
      <c r="F46" s="569">
        <f>VLOOKUP($B46,'Proposed Rates'!$D$248:$J$254,+F$11-2,FALSE)</f>
        <v>9.8000000000000004E-2</v>
      </c>
      <c r="G46" s="421">
        <f>'Proposed Rates'!$K249*$F$9</f>
        <v>60.160000000000004</v>
      </c>
      <c r="H46" s="400">
        <f t="shared" si="51"/>
        <v>5.8956800000000005</v>
      </c>
      <c r="I46" s="128"/>
      <c r="J46" s="569">
        <f>VLOOKUP($B46,'Proposed Rates'!$D$248:$J$254,+J$11-2,FALSE)</f>
        <v>9.8000000000000004E-2</v>
      </c>
      <c r="K46" s="421">
        <f>'Proposed Rates'!$K249*$F$9</f>
        <v>60.160000000000004</v>
      </c>
      <c r="L46" s="400">
        <f t="shared" si="53"/>
        <v>5.8956800000000005</v>
      </c>
      <c r="M46" s="128"/>
      <c r="N46" s="401">
        <f t="shared" si="5"/>
        <v>0</v>
      </c>
      <c r="O46" s="402">
        <f t="shared" si="6"/>
        <v>0</v>
      </c>
      <c r="P46" s="52"/>
      <c r="Q46" s="569">
        <f>VLOOKUP($B46,'Proposed Rates'!$D$248:$J$254,+Q$11-2,FALSE)</f>
        <v>9.8000000000000004E-2</v>
      </c>
      <c r="R46" s="421">
        <f>'Proposed Rates'!$K249*$F$9</f>
        <v>60.160000000000004</v>
      </c>
      <c r="S46" s="400">
        <f t="shared" si="55"/>
        <v>5.8956800000000005</v>
      </c>
      <c r="T46" s="128"/>
      <c r="U46" s="401">
        <f t="shared" si="9"/>
        <v>0</v>
      </c>
      <c r="V46" s="402">
        <f t="shared" si="10"/>
        <v>0</v>
      </c>
      <c r="W46" s="52"/>
      <c r="X46" s="569">
        <f>VLOOKUP($B46,'Proposed Rates'!$D$248:$J$254,+X$11-2,FALSE)</f>
        <v>9.8000000000000004E-2</v>
      </c>
      <c r="Y46" s="421">
        <f>'Proposed Rates'!$K249*$F$9</f>
        <v>60.160000000000004</v>
      </c>
      <c r="Z46" s="400">
        <f t="shared" si="57"/>
        <v>5.8956800000000005</v>
      </c>
      <c r="AA46" s="128"/>
      <c r="AB46" s="401">
        <f t="shared" si="13"/>
        <v>0</v>
      </c>
      <c r="AC46" s="402">
        <f t="shared" si="14"/>
        <v>0</v>
      </c>
      <c r="AD46" s="52"/>
      <c r="AE46" s="569">
        <f>VLOOKUP($B46,'Proposed Rates'!$D$248:$J$254,+AE$11-2,FALSE)</f>
        <v>9.8000000000000004E-2</v>
      </c>
      <c r="AF46" s="421">
        <f>'Proposed Rates'!$K249*$F$9</f>
        <v>60.160000000000004</v>
      </c>
      <c r="AG46" s="400">
        <f t="shared" si="59"/>
        <v>5.8956800000000005</v>
      </c>
      <c r="AH46" s="128"/>
      <c r="AI46" s="401">
        <f t="shared" si="17"/>
        <v>0</v>
      </c>
      <c r="AJ46" s="402">
        <f t="shared" si="18"/>
        <v>0</v>
      </c>
      <c r="AK46" s="52"/>
      <c r="AL46" s="569">
        <f>VLOOKUP($B46,'Proposed Rates'!$D$248:$J$254,+AL$11-2,FALSE)</f>
        <v>9.8000000000000004E-2</v>
      </c>
      <c r="AM46" s="421">
        <f>'Proposed Rates'!$K249*$F$9</f>
        <v>60.160000000000004</v>
      </c>
      <c r="AN46" s="400">
        <f t="shared" si="61"/>
        <v>5.8956800000000005</v>
      </c>
      <c r="AO46" s="128"/>
      <c r="AP46" s="401">
        <f t="shared" si="21"/>
        <v>0</v>
      </c>
      <c r="AQ46" s="402">
        <f t="shared" si="22"/>
        <v>0</v>
      </c>
      <c r="AR46" s="403"/>
      <c r="AS46" s="403"/>
    </row>
    <row r="47" spans="1:45" ht="12" customHeight="1">
      <c r="A47" s="551"/>
      <c r="B47" s="320" t="s">
        <v>263</v>
      </c>
      <c r="C47" s="395" t="str">
        <f t="shared" si="62"/>
        <v>TOU - Mid Peak</v>
      </c>
      <c r="D47" s="396" t="s">
        <v>308</v>
      </c>
      <c r="E47" s="320"/>
      <c r="F47" s="569">
        <f>VLOOKUP($B47,'Proposed Rates'!$D$248:$J$254,+F$11-2,FALSE)</f>
        <v>0.157</v>
      </c>
      <c r="G47" s="421">
        <f>'Proposed Rates'!$K250*$F$9</f>
        <v>16.919999999999998</v>
      </c>
      <c r="H47" s="400">
        <f t="shared" si="51"/>
        <v>2.6564399999999999</v>
      </c>
      <c r="I47" s="128"/>
      <c r="J47" s="569">
        <f>VLOOKUP($B47,'Proposed Rates'!$D$248:$J$254,+J$11-2,FALSE)</f>
        <v>0.157</v>
      </c>
      <c r="K47" s="421">
        <f>'Proposed Rates'!$K250*$F$9</f>
        <v>16.919999999999998</v>
      </c>
      <c r="L47" s="400">
        <f t="shared" si="53"/>
        <v>2.6564399999999999</v>
      </c>
      <c r="M47" s="128"/>
      <c r="N47" s="401">
        <f t="shared" si="5"/>
        <v>0</v>
      </c>
      <c r="O47" s="402">
        <f t="shared" si="6"/>
        <v>0</v>
      </c>
      <c r="P47" s="52"/>
      <c r="Q47" s="569">
        <f>VLOOKUP($B47,'Proposed Rates'!$D$248:$J$254,+Q$11-2,FALSE)</f>
        <v>0.157</v>
      </c>
      <c r="R47" s="421">
        <f>'Proposed Rates'!$K250*$F$9</f>
        <v>16.919999999999998</v>
      </c>
      <c r="S47" s="400">
        <f t="shared" si="55"/>
        <v>2.6564399999999999</v>
      </c>
      <c r="T47" s="128"/>
      <c r="U47" s="401">
        <f t="shared" si="9"/>
        <v>0</v>
      </c>
      <c r="V47" s="402">
        <f t="shared" si="10"/>
        <v>0</v>
      </c>
      <c r="W47" s="52"/>
      <c r="X47" s="569">
        <f>VLOOKUP($B47,'Proposed Rates'!$D$248:$J$254,+X$11-2,FALSE)</f>
        <v>0.157</v>
      </c>
      <c r="Y47" s="421">
        <f>'Proposed Rates'!$K250*$F$9</f>
        <v>16.919999999999998</v>
      </c>
      <c r="Z47" s="400">
        <f t="shared" si="57"/>
        <v>2.6564399999999999</v>
      </c>
      <c r="AA47" s="128"/>
      <c r="AB47" s="401">
        <f t="shared" si="13"/>
        <v>0</v>
      </c>
      <c r="AC47" s="402">
        <f t="shared" si="14"/>
        <v>0</v>
      </c>
      <c r="AD47" s="52"/>
      <c r="AE47" s="569">
        <f>VLOOKUP($B47,'Proposed Rates'!$D$248:$J$254,+AE$11-2,FALSE)</f>
        <v>0.157</v>
      </c>
      <c r="AF47" s="421">
        <f>'Proposed Rates'!$K250*$F$9</f>
        <v>16.919999999999998</v>
      </c>
      <c r="AG47" s="400">
        <f t="shared" si="59"/>
        <v>2.6564399999999999</v>
      </c>
      <c r="AH47" s="128"/>
      <c r="AI47" s="401">
        <f t="shared" si="17"/>
        <v>0</v>
      </c>
      <c r="AJ47" s="402">
        <f t="shared" si="18"/>
        <v>0</v>
      </c>
      <c r="AK47" s="52"/>
      <c r="AL47" s="569">
        <f>VLOOKUP($B47,'Proposed Rates'!$D$248:$J$254,+AL$11-2,FALSE)</f>
        <v>0.157</v>
      </c>
      <c r="AM47" s="421">
        <f>'Proposed Rates'!$K250*$F$9</f>
        <v>16.919999999999998</v>
      </c>
      <c r="AN47" s="400">
        <f t="shared" si="61"/>
        <v>2.6564399999999999</v>
      </c>
      <c r="AO47" s="128"/>
      <c r="AP47" s="401">
        <f t="shared" si="21"/>
        <v>0</v>
      </c>
      <c r="AQ47" s="402">
        <f t="shared" si="22"/>
        <v>0</v>
      </c>
      <c r="AR47" s="403"/>
      <c r="AS47" s="403"/>
    </row>
    <row r="48" spans="1:45" ht="12" customHeight="1">
      <c r="A48" s="551"/>
      <c r="B48" s="52" t="s">
        <v>264</v>
      </c>
      <c r="C48" s="395" t="str">
        <f t="shared" si="62"/>
        <v>TOU - On Peak</v>
      </c>
      <c r="D48" s="396" t="s">
        <v>308</v>
      </c>
      <c r="E48" s="320"/>
      <c r="F48" s="569">
        <f>VLOOKUP($B48,'Proposed Rates'!$D$248:$J$254,+F$11-2,FALSE)</f>
        <v>0.20300000000000001</v>
      </c>
      <c r="G48" s="421">
        <f>'Proposed Rates'!$K251*$F$9</f>
        <v>16.919999999999998</v>
      </c>
      <c r="H48" s="400">
        <f t="shared" si="51"/>
        <v>3.4347599999999998</v>
      </c>
      <c r="I48" s="128"/>
      <c r="J48" s="569">
        <f>VLOOKUP($B48,'Proposed Rates'!$D$248:$J$254,+J$11-2,FALSE)</f>
        <v>0.20300000000000001</v>
      </c>
      <c r="K48" s="421">
        <f>'Proposed Rates'!$K251*$F$9</f>
        <v>16.919999999999998</v>
      </c>
      <c r="L48" s="400">
        <f t="shared" si="53"/>
        <v>3.4347599999999998</v>
      </c>
      <c r="M48" s="128"/>
      <c r="N48" s="401">
        <f t="shared" si="5"/>
        <v>0</v>
      </c>
      <c r="O48" s="402">
        <f t="shared" si="6"/>
        <v>0</v>
      </c>
      <c r="P48" s="52"/>
      <c r="Q48" s="569">
        <f>VLOOKUP($B48,'Proposed Rates'!$D$248:$J$254,+Q$11-2,FALSE)</f>
        <v>0.20300000000000001</v>
      </c>
      <c r="R48" s="421">
        <f>'Proposed Rates'!$K251*$F$9</f>
        <v>16.919999999999998</v>
      </c>
      <c r="S48" s="400">
        <f t="shared" si="55"/>
        <v>3.4347599999999998</v>
      </c>
      <c r="T48" s="128"/>
      <c r="U48" s="401">
        <f t="shared" si="9"/>
        <v>0</v>
      </c>
      <c r="V48" s="402">
        <f t="shared" si="10"/>
        <v>0</v>
      </c>
      <c r="W48" s="52"/>
      <c r="X48" s="569">
        <f>VLOOKUP($B48,'Proposed Rates'!$D$248:$J$254,+X$11-2,FALSE)</f>
        <v>0.20300000000000001</v>
      </c>
      <c r="Y48" s="421">
        <f>'Proposed Rates'!$K251*$F$9</f>
        <v>16.919999999999998</v>
      </c>
      <c r="Z48" s="400">
        <f t="shared" si="57"/>
        <v>3.4347599999999998</v>
      </c>
      <c r="AA48" s="128"/>
      <c r="AB48" s="401">
        <f t="shared" si="13"/>
        <v>0</v>
      </c>
      <c r="AC48" s="402">
        <f t="shared" si="14"/>
        <v>0</v>
      </c>
      <c r="AD48" s="52"/>
      <c r="AE48" s="569">
        <f>VLOOKUP($B48,'Proposed Rates'!$D$248:$J$254,+AE$11-2,FALSE)</f>
        <v>0.20300000000000001</v>
      </c>
      <c r="AF48" s="421">
        <f>'Proposed Rates'!$K251*$F$9</f>
        <v>16.919999999999998</v>
      </c>
      <c r="AG48" s="400">
        <f t="shared" si="59"/>
        <v>3.4347599999999998</v>
      </c>
      <c r="AH48" s="128"/>
      <c r="AI48" s="401">
        <f t="shared" si="17"/>
        <v>0</v>
      </c>
      <c r="AJ48" s="402">
        <f t="shared" si="18"/>
        <v>0</v>
      </c>
      <c r="AK48" s="52"/>
      <c r="AL48" s="569">
        <f>VLOOKUP($B48,'Proposed Rates'!$D$248:$J$254,+AL$11-2,FALSE)</f>
        <v>0.20300000000000001</v>
      </c>
      <c r="AM48" s="421">
        <f>'Proposed Rates'!$K251*$F$9</f>
        <v>16.919999999999998</v>
      </c>
      <c r="AN48" s="400">
        <f t="shared" si="61"/>
        <v>3.4347599999999998</v>
      </c>
      <c r="AO48" s="128"/>
      <c r="AP48" s="401">
        <f t="shared" si="21"/>
        <v>0</v>
      </c>
      <c r="AQ48" s="402">
        <f t="shared" si="22"/>
        <v>0</v>
      </c>
      <c r="AR48" s="403"/>
      <c r="AS48" s="403"/>
    </row>
    <row r="49" spans="1:45" ht="12" customHeight="1">
      <c r="A49" s="551"/>
      <c r="B49" s="320" t="s">
        <v>265</v>
      </c>
      <c r="C49" s="395" t="str">
        <f t="shared" si="62"/>
        <v>Energy - RPP - Tier 1</v>
      </c>
      <c r="D49" s="396" t="s">
        <v>308</v>
      </c>
      <c r="E49" s="320"/>
      <c r="F49" s="430">
        <f>VLOOKUP($B49,'Proposed Rates'!$D$248:$J$254,+F$11-2,FALSE)</f>
        <v>0.12</v>
      </c>
      <c r="G49" s="421">
        <f>IF(AND($S$2=1, F9&gt;=600), 600, IF(AND($S$2=1, AND(F9&lt;600, F9&gt;=0)), F9, IF(AND($S$2=2, F9&gt;=1000), 1000, IF(AND($S$2=2, AND(F9&lt;1000, F9&gt;=0)), F9))))</f>
        <v>94</v>
      </c>
      <c r="H49" s="400">
        <f t="shared" si="51"/>
        <v>11.28</v>
      </c>
      <c r="I49" s="128"/>
      <c r="J49" s="430">
        <f>VLOOKUP($B49,'Proposed Rates'!$D$248:$J$254,+J$11-2,FALSE)</f>
        <v>0.12</v>
      </c>
      <c r="K49" s="421">
        <f>IF(AND($S$2=1, F9&gt;=600), 600, IF(AND($S$2=1, AND(F9&lt;600, F9&gt;=0)), F9, IF(AND($S$2=2, F9&gt;=1000), 1000, IF(AND($S$2=2, AND(F9&lt;1000, F9&gt;=0)), F9))))</f>
        <v>94</v>
      </c>
      <c r="L49" s="400">
        <f t="shared" si="53"/>
        <v>11.28</v>
      </c>
      <c r="M49" s="128"/>
      <c r="N49" s="401">
        <f t="shared" si="5"/>
        <v>0</v>
      </c>
      <c r="O49" s="402">
        <f t="shared" si="6"/>
        <v>0</v>
      </c>
      <c r="P49" s="52"/>
      <c r="Q49" s="430">
        <f>VLOOKUP($B49,'Proposed Rates'!$D$248:$J$254,+Q$11-2,FALSE)</f>
        <v>0.12</v>
      </c>
      <c r="R49" s="421">
        <f>IF(AND($S$2=1, F9&gt;=600), 600, IF(AND($S$2=1, AND(F9&lt;600, F9&gt;=0)), F9, IF(AND($S$2=2, F9&gt;=1000), 1000, IF(AND($S$2=2, AND(F9&lt;1000, F9&gt;=0)), F9))))</f>
        <v>94</v>
      </c>
      <c r="S49" s="400">
        <f t="shared" si="55"/>
        <v>11.28</v>
      </c>
      <c r="T49" s="128"/>
      <c r="U49" s="401">
        <f t="shared" si="9"/>
        <v>0</v>
      </c>
      <c r="V49" s="402">
        <f t="shared" si="10"/>
        <v>0</v>
      </c>
      <c r="W49" s="52"/>
      <c r="X49" s="430">
        <f>VLOOKUP($B49,'Proposed Rates'!$D$248:$J$254,+X$11-2,FALSE)</f>
        <v>0.12</v>
      </c>
      <c r="Y49" s="421">
        <f>IF(AND($S$2=1, F9&gt;=600), 600, IF(AND($S$2=1, AND(F9&lt;600, F9&gt;=0)), F9, IF(AND($S$2=2, F9&gt;=1000), 1000, IF(AND($S$2=2, AND(F9&lt;1000, F9&gt;=0)), F9))))</f>
        <v>94</v>
      </c>
      <c r="Z49" s="400">
        <f t="shared" si="57"/>
        <v>11.28</v>
      </c>
      <c r="AA49" s="128"/>
      <c r="AB49" s="401">
        <f t="shared" si="13"/>
        <v>0</v>
      </c>
      <c r="AC49" s="402">
        <f t="shared" si="14"/>
        <v>0</v>
      </c>
      <c r="AD49" s="52"/>
      <c r="AE49" s="430">
        <f>VLOOKUP($B49,'Proposed Rates'!$D$248:$J$254,+AE$11-2,FALSE)</f>
        <v>0.12</v>
      </c>
      <c r="AF49" s="421">
        <f>IF(AND($S$2=1, F9&gt;=600), 600, IF(AND($S$2=1, AND(F9&lt;600, F9&gt;=0)), F9, IF(AND($S$2=2, F9&gt;=1000), 1000, IF(AND($S$2=2, AND(F9&lt;1000, F9&gt;=0)), F9))))</f>
        <v>94</v>
      </c>
      <c r="AG49" s="400">
        <f t="shared" si="59"/>
        <v>11.28</v>
      </c>
      <c r="AH49" s="128"/>
      <c r="AI49" s="401">
        <f t="shared" si="17"/>
        <v>0</v>
      </c>
      <c r="AJ49" s="402">
        <f t="shared" si="18"/>
        <v>0</v>
      </c>
      <c r="AK49" s="52"/>
      <c r="AL49" s="430">
        <f>VLOOKUP($B49,'Proposed Rates'!$D$248:$J$254,+AL$11-2,FALSE)</f>
        <v>0.12</v>
      </c>
      <c r="AM49" s="421">
        <f>IF(AND($S$2=1, F9&gt;=600), 600, IF(AND($S$2=1, AND(F9&lt;600, F9&gt;=0)), F9, IF(AND($S$2=2, F9&gt;=1000), 1000, IF(AND($S$2=2, AND(F9&lt;1000, F9&gt;=0)), F9))))</f>
        <v>94</v>
      </c>
      <c r="AN49" s="400">
        <f t="shared" si="61"/>
        <v>11.28</v>
      </c>
      <c r="AO49" s="128"/>
      <c r="AP49" s="401">
        <f t="shared" si="21"/>
        <v>0</v>
      </c>
      <c r="AQ49" s="402">
        <f t="shared" si="22"/>
        <v>0</v>
      </c>
      <c r="AR49" s="403"/>
      <c r="AS49" s="403"/>
    </row>
    <row r="50" spans="1:45" ht="12" customHeight="1">
      <c r="A50" s="551"/>
      <c r="B50" s="320" t="s">
        <v>266</v>
      </c>
      <c r="C50" s="395" t="str">
        <f t="shared" si="62"/>
        <v>Energy - RPP - Tier 2</v>
      </c>
      <c r="D50" s="396" t="s">
        <v>308</v>
      </c>
      <c r="E50" s="320"/>
      <c r="F50" s="430">
        <f>VLOOKUP($B50,'Proposed Rates'!$D$248:$J$254,+F$11-2,FALSE)</f>
        <v>0.14199999999999999</v>
      </c>
      <c r="G50" s="421">
        <f>IF(AND($S$2=1, F9&gt;=600), F9-600, IF(AND($S$2=1, AND(F9&lt;600, F9&gt;=0)), 0, IF(AND($S$2=2, F9&gt;=1000), F9-1000, IF(AND($S$2=2, AND(F9&lt;1000, F9&gt;=0)), 0))))</f>
        <v>0</v>
      </c>
      <c r="H50" s="400">
        <f t="shared" si="51"/>
        <v>0</v>
      </c>
      <c r="I50" s="128"/>
      <c r="J50" s="430">
        <f>VLOOKUP($B50,'Proposed Rates'!$D$248:$J$254,+J$11-2,FALSE)</f>
        <v>0.14199999999999999</v>
      </c>
      <c r="K50" s="421">
        <f>IF(AND($S$2=1, J9&gt;=600), J9-600, IF(AND($S$2=1, AND(J9&lt;600, J9&gt;=0)), 0, IF(AND($S$2=2, J9&gt;=1000), J9-1000, IF(AND($S$2=2, AND(J9&lt;1000, J9&gt;=0)), 0))))</f>
        <v>0</v>
      </c>
      <c r="L50" s="400">
        <f t="shared" si="53"/>
        <v>0</v>
      </c>
      <c r="M50" s="128"/>
      <c r="N50" s="401">
        <f t="shared" si="5"/>
        <v>0</v>
      </c>
      <c r="O50" s="402" t="str">
        <f t="shared" si="6"/>
        <v/>
      </c>
      <c r="P50" s="52"/>
      <c r="Q50" s="430">
        <f>VLOOKUP($B50,'Proposed Rates'!$D$248:$J$254,+Q$11-2,FALSE)</f>
        <v>0.14199999999999999</v>
      </c>
      <c r="R50" s="421">
        <f>IF(AND($S$2=1, Q9&gt;=600), Q9-600, IF(AND($S$2=1, AND(Q9&lt;600, Q9&gt;=0)), 0, IF(AND($S$2=2, Q9&gt;=1000), Q9-1000, IF(AND($S$2=2, AND(Q9&lt;1000, Q9&gt;=0)), 0))))</f>
        <v>0</v>
      </c>
      <c r="S50" s="400">
        <f t="shared" si="55"/>
        <v>0</v>
      </c>
      <c r="T50" s="128"/>
      <c r="U50" s="401">
        <f t="shared" si="9"/>
        <v>0</v>
      </c>
      <c r="V50" s="402" t="str">
        <f t="shared" si="10"/>
        <v/>
      </c>
      <c r="W50" s="52"/>
      <c r="X50" s="430">
        <f>VLOOKUP($B50,'Proposed Rates'!$D$248:$J$254,+X$11-2,FALSE)</f>
        <v>0.14199999999999999</v>
      </c>
      <c r="Y50" s="421">
        <f>IF(AND($S$2=1, X9&gt;=600), X9-600, IF(AND($S$2=1, AND(X9&lt;600, X9&gt;=0)), 0, IF(AND($S$2=2, X9&gt;=1000), X9-1000, IF(AND($S$2=2, AND(X9&lt;1000, X9&gt;=0)), 0))))</f>
        <v>0</v>
      </c>
      <c r="Z50" s="400">
        <f t="shared" si="57"/>
        <v>0</v>
      </c>
      <c r="AA50" s="128"/>
      <c r="AB50" s="401">
        <f t="shared" si="13"/>
        <v>0</v>
      </c>
      <c r="AC50" s="402" t="str">
        <f t="shared" si="14"/>
        <v/>
      </c>
      <c r="AD50" s="52"/>
      <c r="AE50" s="430">
        <f>VLOOKUP($B50,'Proposed Rates'!$D$248:$J$254,+AE$11-2,FALSE)</f>
        <v>0.14199999999999999</v>
      </c>
      <c r="AF50" s="421">
        <f>IF(AND($S$2=1, AE9&gt;=600), AE9-600, IF(AND($S$2=1, AND(AE9&lt;600, AE9&gt;=0)), 0, IF(AND($S$2=2, AE9&gt;=1000), AE9-1000, IF(AND($S$2=2, AND(AE9&lt;1000, AE9&gt;=0)), 0))))</f>
        <v>0</v>
      </c>
      <c r="AG50" s="400">
        <f t="shared" si="59"/>
        <v>0</v>
      </c>
      <c r="AH50" s="128"/>
      <c r="AI50" s="401">
        <f t="shared" si="17"/>
        <v>0</v>
      </c>
      <c r="AJ50" s="402" t="str">
        <f t="shared" si="18"/>
        <v/>
      </c>
      <c r="AK50" s="52"/>
      <c r="AL50" s="430">
        <f>VLOOKUP($B50,'Proposed Rates'!$D$248:$J$254,+AL$11-2,FALSE)</f>
        <v>0.14199999999999999</v>
      </c>
      <c r="AM50" s="421">
        <f>IF(AND($S$2=1, AL9&gt;=600), AL9-600, IF(AND($S$2=1, AND(AL9&lt;600, AL9&gt;=0)), 0, IF(AND($S$2=2, AL9&gt;=1000), AL9-1000, IF(AND($S$2=2, AND(AL9&lt;1000, AL9&gt;=0)), 0))))</f>
        <v>0</v>
      </c>
      <c r="AN50" s="400">
        <f t="shared" si="61"/>
        <v>0</v>
      </c>
      <c r="AO50" s="128"/>
      <c r="AP50" s="401">
        <f t="shared" si="21"/>
        <v>0</v>
      </c>
      <c r="AQ50" s="402" t="str">
        <f t="shared" si="22"/>
        <v/>
      </c>
      <c r="AR50" s="403"/>
      <c r="AS50" s="403"/>
    </row>
    <row r="51" spans="1:45" ht="12" customHeight="1">
      <c r="A51" s="551"/>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443"/>
    </row>
    <row r="52" spans="1:45" ht="12" customHeight="1">
      <c r="A52" s="551"/>
      <c r="B52" s="444" t="s">
        <v>315</v>
      </c>
      <c r="C52" s="320"/>
      <c r="D52" s="320"/>
      <c r="E52" s="320"/>
      <c r="F52" s="445"/>
      <c r="G52" s="489"/>
      <c r="H52" s="447">
        <f>SUM(H43:H48,H42)</f>
        <v>35.727667744000001</v>
      </c>
      <c r="I52" s="482"/>
      <c r="J52" s="446"/>
      <c r="K52" s="446"/>
      <c r="L52" s="447">
        <f>SUM(L43:L48,L42)</f>
        <v>38.784509216000004</v>
      </c>
      <c r="M52" s="449"/>
      <c r="N52" s="448">
        <f t="shared" ref="N52:N56" si="63">L52-H52</f>
        <v>3.0568414720000021</v>
      </c>
      <c r="O52" s="450">
        <f t="shared" ref="O52:O56" si="64">IF((H52)=0,"",(N52/H52))</f>
        <v>8.5559502341525193E-2</v>
      </c>
      <c r="P52" s="52"/>
      <c r="Q52" s="446"/>
      <c r="R52" s="446"/>
      <c r="S52" s="447">
        <f>SUM(S43:S48,S42)</f>
        <v>41.044437215999999</v>
      </c>
      <c r="T52" s="449"/>
      <c r="U52" s="448">
        <f t="shared" ref="U52:U56" si="65">S52-L52</f>
        <v>2.2599279999999951</v>
      </c>
      <c r="V52" s="450">
        <f t="shared" ref="V52:V56" si="66">IF((L52)=0,"",(U52/L52))</f>
        <v>5.8268830666747061E-2</v>
      </c>
      <c r="W52" s="52"/>
      <c r="X52" s="446"/>
      <c r="Y52" s="446"/>
      <c r="Z52" s="447">
        <f>SUM(Z43:Z48,Z42)</f>
        <v>43.396377215999998</v>
      </c>
      <c r="AA52" s="449"/>
      <c r="AB52" s="448">
        <f t="shared" ref="AB52:AB56" si="67">Z52-S52</f>
        <v>2.351939999999999</v>
      </c>
      <c r="AC52" s="450">
        <f t="shared" ref="AC52:AC56" si="68">IF((S52)=0,"",(AB52/S52))</f>
        <v>5.7302284049424425E-2</v>
      </c>
      <c r="AD52" s="52"/>
      <c r="AE52" s="446"/>
      <c r="AF52" s="446"/>
      <c r="AG52" s="447">
        <f>SUM(AG43:AG48,AG42)</f>
        <v>45.239889216000009</v>
      </c>
      <c r="AH52" s="449"/>
      <c r="AI52" s="448">
        <f t="shared" ref="AI52:AI56" si="69">AG52-Z52</f>
        <v>1.8435120000000111</v>
      </c>
      <c r="AJ52" s="450">
        <f t="shared" ref="AJ52:AJ56" si="70">IF((Z52)=0,"",(AI52/Z52))</f>
        <v>4.248078107589863E-2</v>
      </c>
      <c r="AK52" s="52"/>
      <c r="AL52" s="446"/>
      <c r="AM52" s="446"/>
      <c r="AN52" s="447">
        <f>SUM(AN43:AN48,AN42)</f>
        <v>46.989921215999999</v>
      </c>
      <c r="AO52" s="449"/>
      <c r="AP52" s="448">
        <f t="shared" ref="AP52:AP56" si="71">AN52-AG52</f>
        <v>1.7500319999999903</v>
      </c>
      <c r="AQ52" s="450">
        <f t="shared" ref="AQ52:AQ56" si="72">IF((AG52)=0,"",(AP52/AG52))</f>
        <v>3.8683383852784851E-2</v>
      </c>
      <c r="AR52" s="451"/>
      <c r="AS52" s="451"/>
    </row>
    <row r="53" spans="1:45" ht="12" customHeight="1">
      <c r="A53" s="551"/>
      <c r="B53" s="452" t="s">
        <v>316</v>
      </c>
      <c r="C53" s="320"/>
      <c r="D53" s="320"/>
      <c r="E53" s="320"/>
      <c r="F53" s="445">
        <f>'Res (2000)'!F51</f>
        <v>0.13</v>
      </c>
      <c r="G53" s="128"/>
      <c r="H53" s="490">
        <f>H52*F53</f>
        <v>4.6445968067200001</v>
      </c>
      <c r="I53" s="417"/>
      <c r="J53" s="453">
        <v>0.13</v>
      </c>
      <c r="K53" s="417"/>
      <c r="L53" s="400">
        <f>L52*J53</f>
        <v>5.0419861980800009</v>
      </c>
      <c r="M53" s="128"/>
      <c r="N53" s="401">
        <f t="shared" si="63"/>
        <v>0.39738939136000084</v>
      </c>
      <c r="O53" s="402">
        <f t="shared" si="64"/>
        <v>8.5559502341525318E-2</v>
      </c>
      <c r="P53" s="52"/>
      <c r="Q53" s="453">
        <v>0.13</v>
      </c>
      <c r="R53" s="417"/>
      <c r="S53" s="400">
        <f>S52*Q53</f>
        <v>5.3357768380800001</v>
      </c>
      <c r="T53" s="128"/>
      <c r="U53" s="401">
        <f t="shared" si="65"/>
        <v>0.29379063999999921</v>
      </c>
      <c r="V53" s="402">
        <f t="shared" si="66"/>
        <v>5.8268830666747026E-2</v>
      </c>
      <c r="W53" s="52"/>
      <c r="X53" s="453">
        <v>0.13</v>
      </c>
      <c r="Y53" s="417"/>
      <c r="Z53" s="400">
        <f>Z52*X53</f>
        <v>5.6415290380799998</v>
      </c>
      <c r="AA53" s="128"/>
      <c r="AB53" s="401">
        <f t="shared" si="67"/>
        <v>0.3057521999999997</v>
      </c>
      <c r="AC53" s="402">
        <f t="shared" si="68"/>
        <v>5.730228404942439E-2</v>
      </c>
      <c r="AD53" s="52"/>
      <c r="AE53" s="453">
        <v>0.13</v>
      </c>
      <c r="AF53" s="417"/>
      <c r="AG53" s="400">
        <f>AG52*AE53</f>
        <v>5.881185598080001</v>
      </c>
      <c r="AH53" s="128"/>
      <c r="AI53" s="401">
        <f t="shared" si="69"/>
        <v>0.23965656000000113</v>
      </c>
      <c r="AJ53" s="402">
        <f t="shared" si="70"/>
        <v>4.2480781075898574E-2</v>
      </c>
      <c r="AK53" s="52"/>
      <c r="AL53" s="453">
        <v>0.13</v>
      </c>
      <c r="AM53" s="417"/>
      <c r="AN53" s="400">
        <f>AN52*AL53</f>
        <v>6.1086897580799997</v>
      </c>
      <c r="AO53" s="128"/>
      <c r="AP53" s="401">
        <f t="shared" si="71"/>
        <v>0.22750415999999873</v>
      </c>
      <c r="AQ53" s="402">
        <f t="shared" si="72"/>
        <v>3.8683383852784851E-2</v>
      </c>
      <c r="AR53" s="403"/>
      <c r="AS53" s="403"/>
    </row>
    <row r="54" spans="1:45" ht="12" customHeight="1">
      <c r="A54" s="551"/>
      <c r="B54" s="454" t="s">
        <v>414</v>
      </c>
      <c r="C54" s="320"/>
      <c r="D54" s="320"/>
      <c r="E54" s="320"/>
      <c r="F54" s="455"/>
      <c r="G54" s="128"/>
      <c r="H54" s="490">
        <f>H52+H53</f>
        <v>40.372264550720004</v>
      </c>
      <c r="I54" s="417"/>
      <c r="J54" s="417"/>
      <c r="K54" s="417"/>
      <c r="L54" s="400">
        <f>L52+L53</f>
        <v>43.826495414080007</v>
      </c>
      <c r="M54" s="128"/>
      <c r="N54" s="401">
        <f t="shared" si="63"/>
        <v>3.454230863360003</v>
      </c>
      <c r="O54" s="402">
        <f t="shared" si="64"/>
        <v>8.5559502341525193E-2</v>
      </c>
      <c r="P54" s="52"/>
      <c r="Q54" s="417"/>
      <c r="R54" s="417"/>
      <c r="S54" s="400">
        <f>S52+S53</f>
        <v>46.38021405408</v>
      </c>
      <c r="T54" s="128"/>
      <c r="U54" s="401">
        <f t="shared" si="65"/>
        <v>2.5537186399999925</v>
      </c>
      <c r="V54" s="402">
        <f t="shared" si="66"/>
        <v>5.8268830666747012E-2</v>
      </c>
      <c r="W54" s="52"/>
      <c r="X54" s="417"/>
      <c r="Y54" s="417"/>
      <c r="Z54" s="400">
        <f>Z52+Z53</f>
        <v>49.037906254079999</v>
      </c>
      <c r="AA54" s="128"/>
      <c r="AB54" s="401">
        <f t="shared" si="67"/>
        <v>2.6576921999999996</v>
      </c>
      <c r="AC54" s="402">
        <f t="shared" si="68"/>
        <v>5.7302284049424439E-2</v>
      </c>
      <c r="AD54" s="52"/>
      <c r="AE54" s="417"/>
      <c r="AF54" s="417"/>
      <c r="AG54" s="400">
        <f>AG52+AG53</f>
        <v>51.121074814080011</v>
      </c>
      <c r="AH54" s="128"/>
      <c r="AI54" s="401">
        <f t="shared" si="69"/>
        <v>2.0831685600000114</v>
      </c>
      <c r="AJ54" s="402">
        <f t="shared" si="70"/>
        <v>4.2480781075898602E-2</v>
      </c>
      <c r="AK54" s="52"/>
      <c r="AL54" s="417"/>
      <c r="AM54" s="417"/>
      <c r="AN54" s="400">
        <f>AN52+AN53</f>
        <v>53.098610974079996</v>
      </c>
      <c r="AO54" s="128"/>
      <c r="AP54" s="401">
        <f t="shared" si="71"/>
        <v>1.9775361599999854</v>
      </c>
      <c r="AQ54" s="402">
        <f t="shared" si="72"/>
        <v>3.8683383852784782E-2</v>
      </c>
      <c r="AR54" s="403"/>
      <c r="AS54" s="403"/>
    </row>
    <row r="55" spans="1:45" ht="12" customHeight="1">
      <c r="A55" s="551"/>
      <c r="B55" s="628" t="s">
        <v>273</v>
      </c>
      <c r="C55" s="615"/>
      <c r="D55" s="615"/>
      <c r="E55" s="320"/>
      <c r="F55" s="456">
        <f>'Res (2000)'!F53</f>
        <v>0.23499999999999999</v>
      </c>
      <c r="G55" s="128"/>
      <c r="H55" s="512">
        <f>F55*H52</f>
        <v>8.3960019198399998</v>
      </c>
      <c r="I55" s="417"/>
      <c r="J55" s="458">
        <f>F55</f>
        <v>0.23499999999999999</v>
      </c>
      <c r="K55" s="417"/>
      <c r="L55" s="512">
        <f>J55*L52</f>
        <v>9.1143596657600003</v>
      </c>
      <c r="M55" s="128"/>
      <c r="N55" s="457">
        <f t="shared" si="63"/>
        <v>0.71835774592000057</v>
      </c>
      <c r="O55" s="459">
        <f t="shared" si="64"/>
        <v>8.5559502341525207E-2</v>
      </c>
      <c r="P55" s="52"/>
      <c r="Q55" s="458">
        <f>J55</f>
        <v>0.23499999999999999</v>
      </c>
      <c r="R55" s="417"/>
      <c r="S55" s="512">
        <f>Q55*S52</f>
        <v>9.6454427457599987</v>
      </c>
      <c r="T55" s="128"/>
      <c r="U55" s="457">
        <f t="shared" si="65"/>
        <v>0.53108307999999838</v>
      </c>
      <c r="V55" s="459">
        <f t="shared" si="66"/>
        <v>5.8268830666747012E-2</v>
      </c>
      <c r="W55" s="52"/>
      <c r="X55" s="458">
        <f>Q55</f>
        <v>0.23499999999999999</v>
      </c>
      <c r="Y55" s="417"/>
      <c r="Z55" s="512">
        <f>X55*Z52</f>
        <v>10.198148645759998</v>
      </c>
      <c r="AA55" s="128"/>
      <c r="AB55" s="457">
        <f t="shared" si="67"/>
        <v>0.55270589999999942</v>
      </c>
      <c r="AC55" s="459">
        <f t="shared" si="68"/>
        <v>5.7302284049424397E-2</v>
      </c>
      <c r="AD55" s="52"/>
      <c r="AE55" s="458">
        <f>X55</f>
        <v>0.23499999999999999</v>
      </c>
      <c r="AF55" s="417"/>
      <c r="AG55" s="512">
        <f>AE55*AG52</f>
        <v>10.631373965760002</v>
      </c>
      <c r="AH55" s="128"/>
      <c r="AI55" s="457">
        <f t="shared" si="69"/>
        <v>0.43322532000000358</v>
      </c>
      <c r="AJ55" s="459">
        <f t="shared" si="70"/>
        <v>4.2480781075898727E-2</v>
      </c>
      <c r="AK55" s="52"/>
      <c r="AL55" s="458">
        <f>AE55</f>
        <v>0.23499999999999999</v>
      </c>
      <c r="AM55" s="417"/>
      <c r="AN55" s="512">
        <f>AL55*AN52</f>
        <v>11.042631485759999</v>
      </c>
      <c r="AO55" s="128"/>
      <c r="AP55" s="457">
        <f t="shared" si="71"/>
        <v>0.41125751999999771</v>
      </c>
      <c r="AQ55" s="459">
        <f t="shared" si="72"/>
        <v>3.8683383852784851E-2</v>
      </c>
      <c r="AR55" s="460"/>
      <c r="AS55" s="460"/>
    </row>
    <row r="56" spans="1:45" ht="12" customHeight="1">
      <c r="A56" s="551"/>
      <c r="B56" s="627" t="s">
        <v>318</v>
      </c>
      <c r="C56" s="613"/>
      <c r="D56" s="613"/>
      <c r="E56" s="461"/>
      <c r="F56" s="462"/>
      <c r="G56" s="493"/>
      <c r="H56" s="494">
        <f>H54-H55</f>
        <v>31.976262630880004</v>
      </c>
      <c r="I56" s="463"/>
      <c r="J56" s="463"/>
      <c r="K56" s="463"/>
      <c r="L56" s="464">
        <f>L54-L55</f>
        <v>34.712135748320009</v>
      </c>
      <c r="M56" s="465"/>
      <c r="N56" s="466">
        <f t="shared" si="63"/>
        <v>2.7358731174400042</v>
      </c>
      <c r="O56" s="467">
        <f t="shared" si="64"/>
        <v>8.5559502341525248E-2</v>
      </c>
      <c r="P56" s="52"/>
      <c r="Q56" s="463"/>
      <c r="R56" s="463"/>
      <c r="S56" s="464">
        <f>S54-S55</f>
        <v>36.734771308319999</v>
      </c>
      <c r="T56" s="465"/>
      <c r="U56" s="466">
        <f t="shared" si="65"/>
        <v>2.0226355599999906</v>
      </c>
      <c r="V56" s="467">
        <f t="shared" si="66"/>
        <v>5.8268830666746908E-2</v>
      </c>
      <c r="W56" s="52"/>
      <c r="X56" s="463"/>
      <c r="Y56" s="463"/>
      <c r="Z56" s="464">
        <f>Z54-Z55</f>
        <v>38.839757608319999</v>
      </c>
      <c r="AA56" s="465"/>
      <c r="AB56" s="466">
        <f t="shared" si="67"/>
        <v>2.1049863000000002</v>
      </c>
      <c r="AC56" s="467">
        <f t="shared" si="68"/>
        <v>5.7302284049424453E-2</v>
      </c>
      <c r="AD56" s="52"/>
      <c r="AE56" s="463"/>
      <c r="AF56" s="463"/>
      <c r="AG56" s="464">
        <f>AG54-AG55</f>
        <v>40.489700848320012</v>
      </c>
      <c r="AH56" s="465"/>
      <c r="AI56" s="466">
        <f t="shared" si="69"/>
        <v>1.6499432400000131</v>
      </c>
      <c r="AJ56" s="467">
        <f t="shared" si="70"/>
        <v>4.2480781075898706E-2</v>
      </c>
      <c r="AK56" s="52"/>
      <c r="AL56" s="463"/>
      <c r="AM56" s="463"/>
      <c r="AN56" s="464">
        <f>AN54-AN55</f>
        <v>42.055979488319998</v>
      </c>
      <c r="AO56" s="465"/>
      <c r="AP56" s="466">
        <f t="shared" si="71"/>
        <v>1.566278639999986</v>
      </c>
      <c r="AQ56" s="467">
        <f t="shared" si="72"/>
        <v>3.8683383852784713E-2</v>
      </c>
      <c r="AR56" s="468"/>
      <c r="AS56" s="468"/>
    </row>
    <row r="57" spans="1:45" ht="12" customHeight="1">
      <c r="A57" s="52"/>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443"/>
    </row>
    <row r="58" spans="1:45" ht="12" customHeight="1">
      <c r="A58" s="52"/>
      <c r="B58" s="444" t="s">
        <v>319</v>
      </c>
      <c r="C58" s="320"/>
      <c r="D58" s="320"/>
      <c r="E58" s="320"/>
      <c r="F58" s="445"/>
      <c r="G58" s="489"/>
      <c r="H58" s="447">
        <f>SUM(H49:H50,H42,H43:H45)</f>
        <v>35.020787743999996</v>
      </c>
      <c r="I58" s="482"/>
      <c r="J58" s="446"/>
      <c r="K58" s="446"/>
      <c r="L58" s="447">
        <f>SUM(L49:L50,L42,L43:L45)</f>
        <v>38.077629215999998</v>
      </c>
      <c r="M58" s="449"/>
      <c r="N58" s="448">
        <f t="shared" ref="N58:N62" si="73">L58-H58</f>
        <v>3.0568414720000021</v>
      </c>
      <c r="O58" s="450">
        <f t="shared" ref="O58:O62" si="74">IF((H58)=0,"",(N58/H58))</f>
        <v>8.7286485225442176E-2</v>
      </c>
      <c r="P58" s="52"/>
      <c r="Q58" s="446"/>
      <c r="R58" s="446"/>
      <c r="S58" s="447">
        <f>SUM(S49:S50,S42,S43:S45)</f>
        <v>40.337557216</v>
      </c>
      <c r="T58" s="449"/>
      <c r="U58" s="448">
        <f t="shared" ref="U58:U62" si="75">S58-L58</f>
        <v>2.2599280000000022</v>
      </c>
      <c r="V58" s="450">
        <f t="shared" ref="V58:V62" si="76">IF((L58)=0,"",(U58/L58))</f>
        <v>5.9350543784653313E-2</v>
      </c>
      <c r="W58" s="52"/>
      <c r="X58" s="446"/>
      <c r="Y58" s="446"/>
      <c r="Z58" s="447">
        <f>SUM(Z49:Z50,Z42,Z43:Z45)</f>
        <v>42.689497215999999</v>
      </c>
      <c r="AA58" s="449"/>
      <c r="AB58" s="448">
        <f t="shared" ref="AB58:AB62" si="77">Z58-S58</f>
        <v>2.351939999999999</v>
      </c>
      <c r="AC58" s="450">
        <f t="shared" ref="AC58:AC62" si="78">IF((S58)=0,"",(AB58/S58))</f>
        <v>5.8306455876983444E-2</v>
      </c>
      <c r="AD58" s="52"/>
      <c r="AE58" s="446"/>
      <c r="AF58" s="446"/>
      <c r="AG58" s="447">
        <f>SUM(AG49:AG50,AG42,AG43:AG45)</f>
        <v>44.533009216000004</v>
      </c>
      <c r="AH58" s="449"/>
      <c r="AI58" s="448">
        <f t="shared" ref="AI58:AI62" si="79">AG58-Z58</f>
        <v>1.843512000000004</v>
      </c>
      <c r="AJ58" s="450">
        <f t="shared" ref="AJ58:AJ62" si="80">IF((Z58)=0,"",(AI58/Z58))</f>
        <v>4.3184205020551446E-2</v>
      </c>
      <c r="AK58" s="52"/>
      <c r="AL58" s="446"/>
      <c r="AM58" s="446"/>
      <c r="AN58" s="447">
        <f>SUM(AN49:AN50,AN42,AN43:AN45)</f>
        <v>46.283041216000001</v>
      </c>
      <c r="AO58" s="449"/>
      <c r="AP58" s="448">
        <f t="shared" ref="AP58:AP62" si="81">AN58-AG58</f>
        <v>1.7500319999999974</v>
      </c>
      <c r="AQ58" s="450">
        <f t="shared" ref="AQ58:AQ62" si="82">IF((AG58)=0,"",(AP58/AG58))</f>
        <v>3.9297411758360101E-2</v>
      </c>
      <c r="AR58" s="451"/>
      <c r="AS58" s="451"/>
    </row>
    <row r="59" spans="1:45" ht="12" customHeight="1">
      <c r="A59" s="52"/>
      <c r="B59" s="452" t="s">
        <v>316</v>
      </c>
      <c r="C59" s="320"/>
      <c r="D59" s="320"/>
      <c r="E59" s="320"/>
      <c r="F59" s="445">
        <v>0.13</v>
      </c>
      <c r="G59" s="489"/>
      <c r="H59" s="490">
        <f>H58*F59</f>
        <v>4.5527024067199999</v>
      </c>
      <c r="I59" s="417"/>
      <c r="J59" s="445">
        <v>0.13</v>
      </c>
      <c r="K59" s="453"/>
      <c r="L59" s="400">
        <f>L58*J59</f>
        <v>4.9500917980799999</v>
      </c>
      <c r="M59" s="128"/>
      <c r="N59" s="401">
        <f t="shared" si="73"/>
        <v>0.39738939135999996</v>
      </c>
      <c r="O59" s="402">
        <f t="shared" si="74"/>
        <v>8.7286485225442093E-2</v>
      </c>
      <c r="P59" s="52"/>
      <c r="Q59" s="445">
        <v>0.13</v>
      </c>
      <c r="R59" s="453"/>
      <c r="S59" s="400">
        <f>S58*Q59</f>
        <v>5.24388243808</v>
      </c>
      <c r="T59" s="128"/>
      <c r="U59" s="401">
        <f t="shared" si="75"/>
        <v>0.2937906400000001</v>
      </c>
      <c r="V59" s="402">
        <f t="shared" si="76"/>
        <v>5.9350543784653279E-2</v>
      </c>
      <c r="W59" s="52"/>
      <c r="X59" s="445">
        <v>0.13</v>
      </c>
      <c r="Y59" s="453"/>
      <c r="Z59" s="400">
        <f>Z58*X59</f>
        <v>5.5496346380799997</v>
      </c>
      <c r="AA59" s="128"/>
      <c r="AB59" s="401">
        <f t="shared" si="77"/>
        <v>0.3057521999999997</v>
      </c>
      <c r="AC59" s="402">
        <f t="shared" si="78"/>
        <v>5.830645587698341E-2</v>
      </c>
      <c r="AD59" s="52"/>
      <c r="AE59" s="445">
        <v>0.13</v>
      </c>
      <c r="AF59" s="453"/>
      <c r="AG59" s="400">
        <f>AG58*AE59</f>
        <v>5.7892911980800008</v>
      </c>
      <c r="AH59" s="128"/>
      <c r="AI59" s="401">
        <f t="shared" si="79"/>
        <v>0.23965656000000113</v>
      </c>
      <c r="AJ59" s="402">
        <f t="shared" si="80"/>
        <v>4.3184205020551557E-2</v>
      </c>
      <c r="AK59" s="52"/>
      <c r="AL59" s="445">
        <v>0.13</v>
      </c>
      <c r="AM59" s="453"/>
      <c r="AN59" s="400">
        <f>AN58*AL59</f>
        <v>6.0167953580800004</v>
      </c>
      <c r="AO59" s="128"/>
      <c r="AP59" s="401">
        <f t="shared" si="81"/>
        <v>0.22750415999999962</v>
      </c>
      <c r="AQ59" s="402">
        <f t="shared" si="82"/>
        <v>3.9297411758360094E-2</v>
      </c>
      <c r="AR59" s="403"/>
      <c r="AS59" s="403"/>
    </row>
    <row r="60" spans="1:45" ht="12" customHeight="1">
      <c r="A60" s="52"/>
      <c r="B60" s="454" t="s">
        <v>415</v>
      </c>
      <c r="C60" s="320"/>
      <c r="D60" s="320"/>
      <c r="E60" s="320"/>
      <c r="F60" s="455"/>
      <c r="G60" s="128"/>
      <c r="H60" s="490">
        <f>H58+H59</f>
        <v>39.573490150719998</v>
      </c>
      <c r="I60" s="417"/>
      <c r="J60" s="417"/>
      <c r="K60" s="417"/>
      <c r="L60" s="400">
        <f>L58+L59</f>
        <v>43.027721014080001</v>
      </c>
      <c r="M60" s="128"/>
      <c r="N60" s="401">
        <f t="shared" si="73"/>
        <v>3.454230863360003</v>
      </c>
      <c r="O60" s="402">
        <f t="shared" si="74"/>
        <v>8.728648522544219E-2</v>
      </c>
      <c r="P60" s="52"/>
      <c r="Q60" s="417"/>
      <c r="R60" s="417"/>
      <c r="S60" s="400">
        <f>S58+S59</f>
        <v>45.58143965408</v>
      </c>
      <c r="T60" s="128"/>
      <c r="U60" s="401">
        <f t="shared" si="75"/>
        <v>2.5537186399999996</v>
      </c>
      <c r="V60" s="402">
        <f t="shared" si="76"/>
        <v>5.9350543784653244E-2</v>
      </c>
      <c r="W60" s="52"/>
      <c r="X60" s="417"/>
      <c r="Y60" s="417"/>
      <c r="Z60" s="400">
        <f>Z58+Z59</f>
        <v>48.23913185408</v>
      </c>
      <c r="AA60" s="128"/>
      <c r="AB60" s="401">
        <f t="shared" si="77"/>
        <v>2.6576921999999996</v>
      </c>
      <c r="AC60" s="402">
        <f t="shared" si="78"/>
        <v>5.8306455876983458E-2</v>
      </c>
      <c r="AD60" s="52"/>
      <c r="AE60" s="417"/>
      <c r="AF60" s="417"/>
      <c r="AG60" s="400">
        <f>AG58+AG59</f>
        <v>50.322300414080004</v>
      </c>
      <c r="AH60" s="128"/>
      <c r="AI60" s="401">
        <f t="shared" si="79"/>
        <v>2.0831685600000043</v>
      </c>
      <c r="AJ60" s="402">
        <f t="shared" si="80"/>
        <v>4.3184205020551439E-2</v>
      </c>
      <c r="AK60" s="52"/>
      <c r="AL60" s="417"/>
      <c r="AM60" s="417"/>
      <c r="AN60" s="400">
        <f>AN58+AN59</f>
        <v>52.299836574080004</v>
      </c>
      <c r="AO60" s="128"/>
      <c r="AP60" s="401">
        <f t="shared" si="81"/>
        <v>1.9775361599999997</v>
      </c>
      <c r="AQ60" s="402">
        <f t="shared" si="82"/>
        <v>3.9297411758360157E-2</v>
      </c>
      <c r="AR60" s="403"/>
      <c r="AS60" s="403"/>
    </row>
    <row r="61" spans="1:45" ht="12" customHeight="1">
      <c r="A61" s="52"/>
      <c r="B61" s="628" t="s">
        <v>273</v>
      </c>
      <c r="C61" s="615"/>
      <c r="D61" s="615"/>
      <c r="E61" s="320"/>
      <c r="F61" s="456">
        <f>F55</f>
        <v>0.23499999999999999</v>
      </c>
      <c r="G61" s="128"/>
      <c r="H61" s="492">
        <f>F61*H58</f>
        <v>8.2298851198399987</v>
      </c>
      <c r="I61" s="417"/>
      <c r="J61" s="456">
        <f>J55</f>
        <v>0.23499999999999999</v>
      </c>
      <c r="K61" s="417"/>
      <c r="L61" s="512">
        <f>J61*L58</f>
        <v>8.9482428657599993</v>
      </c>
      <c r="M61" s="128"/>
      <c r="N61" s="457">
        <f t="shared" si="73"/>
        <v>0.71835774592000057</v>
      </c>
      <c r="O61" s="459">
        <f t="shared" si="74"/>
        <v>8.728648522544219E-2</v>
      </c>
      <c r="P61" s="52"/>
      <c r="Q61" s="456">
        <f>Q55</f>
        <v>0.23499999999999999</v>
      </c>
      <c r="R61" s="417"/>
      <c r="S61" s="512">
        <f>Q61*S58</f>
        <v>9.4793259457599994</v>
      </c>
      <c r="T61" s="128"/>
      <c r="U61" s="457">
        <f t="shared" si="75"/>
        <v>0.53108308000000015</v>
      </c>
      <c r="V61" s="459">
        <f t="shared" si="76"/>
        <v>5.9350543784653279E-2</v>
      </c>
      <c r="W61" s="52"/>
      <c r="X61" s="456">
        <f>X55</f>
        <v>0.23499999999999999</v>
      </c>
      <c r="Y61" s="417"/>
      <c r="Z61" s="512">
        <f>X61*Z58</f>
        <v>10.032031845759999</v>
      </c>
      <c r="AA61" s="128"/>
      <c r="AB61" s="457">
        <f t="shared" si="77"/>
        <v>0.55270589999999942</v>
      </c>
      <c r="AC61" s="459">
        <f t="shared" si="78"/>
        <v>5.830645587698341E-2</v>
      </c>
      <c r="AD61" s="52"/>
      <c r="AE61" s="456">
        <f>AE55</f>
        <v>0.23499999999999999</v>
      </c>
      <c r="AF61" s="417"/>
      <c r="AG61" s="512">
        <f>AE61*AG58</f>
        <v>10.465257165760001</v>
      </c>
      <c r="AH61" s="128"/>
      <c r="AI61" s="457">
        <f t="shared" si="79"/>
        <v>0.4332253200000018</v>
      </c>
      <c r="AJ61" s="459">
        <f t="shared" si="80"/>
        <v>4.3184205020551536E-2</v>
      </c>
      <c r="AK61" s="52"/>
      <c r="AL61" s="456">
        <f>AL55</f>
        <v>0.23499999999999999</v>
      </c>
      <c r="AM61" s="417"/>
      <c r="AN61" s="512">
        <f>AL61*AN58</f>
        <v>10.87651468576</v>
      </c>
      <c r="AO61" s="128"/>
      <c r="AP61" s="457">
        <f t="shared" si="81"/>
        <v>0.41125751999999949</v>
      </c>
      <c r="AQ61" s="459">
        <f t="shared" si="82"/>
        <v>3.9297411758360115E-2</v>
      </c>
      <c r="AR61" s="460"/>
      <c r="AS61" s="460"/>
    </row>
    <row r="62" spans="1:45" ht="12" customHeight="1">
      <c r="A62" s="52"/>
      <c r="B62" s="627" t="s">
        <v>321</v>
      </c>
      <c r="C62" s="613"/>
      <c r="D62" s="613"/>
      <c r="E62" s="461"/>
      <c r="F62" s="469"/>
      <c r="G62" s="495"/>
      <c r="H62" s="496">
        <f>H60-H61</f>
        <v>31.343605030879999</v>
      </c>
      <c r="I62" s="470"/>
      <c r="J62" s="470"/>
      <c r="K62" s="470"/>
      <c r="L62" s="471">
        <f>L60-L61</f>
        <v>34.07947814832</v>
      </c>
      <c r="M62" s="472"/>
      <c r="N62" s="473">
        <f t="shared" si="73"/>
        <v>2.7358731174400006</v>
      </c>
      <c r="O62" s="474">
        <f t="shared" si="74"/>
        <v>8.7286485225442134E-2</v>
      </c>
      <c r="P62" s="52"/>
      <c r="Q62" s="470"/>
      <c r="R62" s="470"/>
      <c r="S62" s="471">
        <f>S60-S61</f>
        <v>36.102113708320005</v>
      </c>
      <c r="T62" s="472"/>
      <c r="U62" s="473">
        <f t="shared" si="75"/>
        <v>2.0226355600000048</v>
      </c>
      <c r="V62" s="474">
        <f t="shared" si="76"/>
        <v>5.9350543784653396E-2</v>
      </c>
      <c r="W62" s="52"/>
      <c r="X62" s="470"/>
      <c r="Y62" s="470"/>
      <c r="Z62" s="471">
        <f>Z60-Z61</f>
        <v>38.207100008319998</v>
      </c>
      <c r="AA62" s="472"/>
      <c r="AB62" s="473">
        <f t="shared" si="77"/>
        <v>2.1049862999999931</v>
      </c>
      <c r="AC62" s="474">
        <f t="shared" si="78"/>
        <v>5.8306455876983264E-2</v>
      </c>
      <c r="AD62" s="52"/>
      <c r="AE62" s="470"/>
      <c r="AF62" s="470"/>
      <c r="AG62" s="471">
        <f>AG60-AG61</f>
        <v>39.857043248320004</v>
      </c>
      <c r="AH62" s="472"/>
      <c r="AI62" s="473">
        <f t="shared" si="79"/>
        <v>1.649943240000006</v>
      </c>
      <c r="AJ62" s="474">
        <f t="shared" si="80"/>
        <v>4.3184205020551508E-2</v>
      </c>
      <c r="AK62" s="52"/>
      <c r="AL62" s="470"/>
      <c r="AM62" s="470"/>
      <c r="AN62" s="471">
        <f>AN60-AN61</f>
        <v>41.423321888320004</v>
      </c>
      <c r="AO62" s="472"/>
      <c r="AP62" s="473">
        <f t="shared" si="81"/>
        <v>1.5662786400000002</v>
      </c>
      <c r="AQ62" s="474">
        <f t="shared" si="82"/>
        <v>3.9297411758360164E-2</v>
      </c>
      <c r="AR62" s="468"/>
      <c r="AS62" s="468"/>
    </row>
    <row r="63" spans="1:45" ht="12" customHeight="1">
      <c r="A63" s="52"/>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443"/>
    </row>
    <row r="64" spans="1:45" ht="12" customHeight="1">
      <c r="A64" s="52"/>
      <c r="B64" s="52"/>
      <c r="C64" s="52"/>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52"/>
    </row>
    <row r="65" spans="1:45" ht="12" customHeight="1">
      <c r="A65" s="52"/>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52"/>
    </row>
    <row r="66" spans="1:45"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row>
    <row r="67" spans="1:45" ht="12" customHeight="1">
      <c r="A67" s="479"/>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row>
    <row r="68" spans="1:45"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row>
    <row r="69" spans="1:45"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row>
    <row r="70" spans="1:45" ht="12"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row>
    <row r="71" spans="1:45"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row>
    <row r="72" spans="1:45"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row>
    <row r="73" spans="1:45" ht="12"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row>
    <row r="74" spans="1:45"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row>
    <row r="75" spans="1:45" ht="12"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row>
    <row r="76" spans="1:45"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row>
    <row r="77" spans="1:45"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row>
    <row r="78" spans="1:45"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row>
    <row r="79" spans="1:45"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row>
    <row r="80" spans="1:45"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row>
    <row r="81" spans="1:45"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row>
    <row r="82" spans="1:45"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row>
    <row r="83" spans="1:45"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row>
    <row r="84" spans="1:45"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row>
    <row r="85" spans="1:45"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row>
    <row r="86" spans="1:45"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row>
    <row r="87" spans="1:45"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row>
    <row r="88" spans="1:45"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row>
    <row r="89" spans="1:45"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row>
    <row r="90" spans="1:45"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row>
    <row r="91" spans="1:45"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row>
    <row r="92" spans="1:45"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row>
    <row r="93" spans="1:45"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row>
    <row r="94" spans="1:45"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row>
    <row r="95" spans="1:45"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row>
    <row r="96" spans="1:45"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row>
    <row r="97" spans="1:45"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row>
    <row r="98" spans="1:45"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row>
    <row r="99" spans="1:45"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row>
    <row r="100" spans="1:45"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row>
    <row r="101" spans="1:45"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row>
    <row r="102" spans="1:45"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row>
    <row r="103" spans="1:45"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row>
    <row r="104" spans="1:45"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row>
    <row r="105" spans="1:45"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row>
    <row r="106" spans="1:45"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row>
    <row r="107" spans="1:45"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row>
    <row r="108" spans="1:45"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row>
    <row r="109" spans="1:45"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row>
    <row r="110" spans="1:45"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row>
    <row r="111" spans="1:45"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row>
    <row r="112" spans="1:45"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row>
    <row r="113" spans="1:45"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row>
    <row r="114" spans="1:45"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row>
    <row r="115" spans="1:45"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row>
    <row r="116" spans="1:45"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row>
    <row r="117" spans="1:45"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row>
    <row r="118" spans="1:45"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row>
    <row r="119" spans="1:45"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row>
    <row r="120" spans="1:45"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row>
    <row r="121" spans="1:45"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row>
    <row r="122" spans="1:45"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row>
    <row r="123" spans="1:45"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row>
    <row r="124" spans="1:45"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row>
    <row r="125" spans="1:45"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row>
    <row r="126" spans="1:45"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row>
    <row r="127" spans="1:45"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row>
    <row r="128" spans="1:45"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row>
    <row r="129" spans="1:45"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row>
    <row r="130" spans="1:45"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row>
    <row r="131" spans="1:45"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row>
    <row r="132" spans="1:45"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row>
    <row r="133" spans="1:45"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row>
    <row r="134" spans="1:45"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row>
    <row r="135" spans="1:45"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row>
    <row r="136" spans="1:45"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row>
    <row r="137" spans="1:45"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row>
    <row r="138" spans="1:45"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row>
    <row r="139" spans="1:45"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row>
    <row r="140" spans="1:45"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row>
    <row r="141" spans="1:45"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row>
    <row r="142" spans="1:45"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row>
    <row r="143" spans="1:45"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row>
    <row r="144" spans="1:45"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row>
    <row r="145" spans="1:45"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row>
    <row r="146" spans="1:45"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row>
    <row r="147" spans="1:45"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row>
    <row r="148" spans="1:45"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row>
    <row r="149" spans="1:45"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row>
    <row r="150" spans="1:45"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row>
    <row r="151" spans="1:45"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row>
    <row r="152" spans="1:45"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row>
    <row r="153" spans="1:45"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row>
    <row r="154" spans="1:45"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row>
    <row r="155" spans="1:45"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row>
    <row r="156" spans="1:45"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row>
    <row r="157" spans="1:45"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row>
    <row r="158" spans="1:45"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row>
    <row r="159" spans="1:45"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row>
    <row r="160" spans="1:45"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row>
    <row r="161" spans="1:45"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row>
    <row r="162" spans="1:45"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row>
    <row r="163" spans="1:45"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row>
    <row r="164" spans="1:45"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row>
    <row r="165" spans="1:45"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row>
    <row r="166" spans="1:45"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row>
    <row r="167" spans="1:45"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row>
    <row r="168" spans="1:45"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row>
    <row r="169" spans="1:45"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row>
    <row r="170" spans="1:45"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row>
    <row r="171" spans="1:45"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row>
    <row r="172" spans="1:45"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row>
    <row r="173" spans="1:45"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row>
    <row r="174" spans="1:45"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row>
    <row r="175" spans="1:45"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row>
    <row r="176" spans="1:45"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row>
    <row r="177" spans="1:45"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row>
    <row r="178" spans="1:45"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row>
    <row r="179" spans="1:45"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row>
    <row r="180" spans="1:45"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row>
    <row r="181" spans="1:45"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row>
    <row r="182" spans="1:45"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row>
    <row r="183" spans="1:45"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row>
    <row r="184" spans="1:45"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row>
    <row r="185" spans="1:45"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row>
    <row r="186" spans="1:45"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row>
    <row r="187" spans="1:45"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row>
    <row r="188" spans="1:45"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row>
    <row r="189" spans="1:45"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row>
    <row r="190" spans="1:45"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row>
    <row r="191" spans="1:45"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row>
    <row r="192" spans="1:45"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400-000000000000}">
      <formula1>"TOU,non-TOU"</formula1>
    </dataValidation>
    <dataValidation type="list" allowBlank="1" showErrorMessage="1" sqref="E15:E28 E30:E38 E40:E41 E43:E51 E57 E63" xr:uid="{00000000-0002-0000-2400-000001000000}">
      <formula1>#REF!</formula1>
    </dataValidation>
    <dataValidation type="list" allowBlank="1" showInputMessage="1" showErrorMessage="1" prompt="Select Charge Unit - monthly, per kWh, per kW" sqref="D15:D28 D30:D38 D40:D41 D43:D51 D57 D63" xr:uid="{00000000-0002-0000-2400-000002000000}">
      <formula1>"Monthly,per kWh,per kW"</formula1>
    </dataValidation>
  </dataValidations>
  <pageMargins left="0.74803149606299213" right="0.74803149606299213" top="0.98425196850393704" bottom="0.98425196850393704"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V1000"/>
  <sheetViews>
    <sheetView showGridLines="0" workbookViewId="0">
      <pane ySplit="14" topLeftCell="A45" activePane="bottomLeft" state="frozen"/>
      <selection pane="bottomLeft" activeCell="S59" sqref="S59"/>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2.28515625" customWidth="1"/>
    <col min="6" max="6" width="10.28515625" customWidth="1"/>
    <col min="7" max="7" width="8" customWidth="1"/>
    <col min="8" max="8" width="8.7109375" customWidth="1"/>
    <col min="9" max="9" width="0.7109375" customWidth="1"/>
    <col min="10" max="10" width="10.42578125" customWidth="1"/>
    <col min="11" max="11" width="8" customWidth="1"/>
    <col min="12" max="12" width="8.28515625" customWidth="1"/>
    <col min="13" max="13" width="0.7109375" customWidth="1"/>
    <col min="14" max="14" width="9.42578125" customWidth="1"/>
    <col min="15" max="15" width="10" customWidth="1"/>
    <col min="16" max="16" width="1.7109375" customWidth="1"/>
    <col min="17" max="17" width="10.42578125" customWidth="1"/>
    <col min="18" max="18" width="8" customWidth="1"/>
    <col min="19" max="19" width="8.28515625" customWidth="1"/>
    <col min="20" max="20" width="0.42578125" customWidth="1"/>
    <col min="21" max="21" width="9.42578125" customWidth="1"/>
    <col min="22" max="22" width="10" customWidth="1"/>
    <col min="23" max="23" width="0.85546875" customWidth="1"/>
    <col min="24" max="24" width="10.42578125" customWidth="1"/>
    <col min="25" max="25" width="8" customWidth="1"/>
    <col min="26" max="26" width="8.28515625" customWidth="1"/>
    <col min="27" max="27" width="0.42578125" customWidth="1"/>
    <col min="28" max="28" width="9.42578125" customWidth="1"/>
    <col min="29" max="29" width="10" customWidth="1"/>
    <col min="30" max="30" width="0.7109375" customWidth="1"/>
    <col min="31" max="31" width="10.42578125" customWidth="1"/>
    <col min="32" max="32" width="8" customWidth="1"/>
    <col min="33" max="33" width="8.28515625" customWidth="1"/>
    <col min="34" max="34" width="1" customWidth="1"/>
    <col min="35" max="35" width="9.42578125" customWidth="1"/>
    <col min="36" max="36" width="10" customWidth="1"/>
    <col min="37" max="37" width="0.7109375" customWidth="1"/>
    <col min="38" max="38" width="10.42578125" customWidth="1"/>
    <col min="39" max="39" width="8" customWidth="1"/>
    <col min="40" max="40" width="8.28515625" customWidth="1"/>
    <col min="41" max="41" width="0.42578125" customWidth="1"/>
    <col min="42" max="42" width="9.42578125" customWidth="1"/>
    <col min="43" max="43" width="10" customWidth="1"/>
    <col min="44" max="44" width="1.28515625" customWidth="1"/>
    <col min="45" max="45" width="10.85546875" customWidth="1"/>
    <col min="46" max="48" width="12.42578125" customWidth="1"/>
  </cols>
  <sheetData>
    <row r="1" spans="1:48" ht="7.5" customHeight="1">
      <c r="A1" s="52"/>
      <c r="B1" s="52"/>
      <c r="C1" s="555"/>
      <c r="D1" s="52"/>
      <c r="E1" s="52"/>
      <c r="F1" s="52"/>
      <c r="G1" s="52"/>
      <c r="H1" s="52"/>
      <c r="I1" s="52"/>
      <c r="J1" s="52"/>
      <c r="K1" s="52"/>
      <c r="L1" s="3"/>
      <c r="M1" s="3"/>
      <c r="N1" s="3"/>
      <c r="O1" s="3"/>
      <c r="P1" s="3"/>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row>
    <row r="2" spans="1:48" ht="18.75" customHeight="1">
      <c r="A2" s="52"/>
      <c r="B2" s="52"/>
      <c r="C2" s="556"/>
      <c r="D2" s="379"/>
      <c r="E2" s="379"/>
      <c r="F2" s="379" t="s">
        <v>291</v>
      </c>
      <c r="G2" s="379"/>
      <c r="H2" s="379"/>
      <c r="I2" s="379"/>
      <c r="J2" s="128"/>
      <c r="K2" s="6"/>
      <c r="L2" s="379"/>
      <c r="M2" s="379"/>
      <c r="N2" s="379"/>
      <c r="O2" s="379"/>
      <c r="P2" s="3"/>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row>
    <row r="3" spans="1:48" ht="18.75" customHeight="1">
      <c r="A3" s="52"/>
      <c r="B3" s="52"/>
      <c r="C3" s="556"/>
      <c r="D3" s="379"/>
      <c r="E3" s="379"/>
      <c r="F3" s="379" t="s">
        <v>293</v>
      </c>
      <c r="G3" s="379"/>
      <c r="H3" s="379"/>
      <c r="I3" s="379"/>
      <c r="J3" s="128"/>
      <c r="K3" s="6"/>
      <c r="L3" s="379"/>
      <c r="M3" s="379"/>
      <c r="N3" s="379"/>
      <c r="O3" s="379"/>
      <c r="P3" s="3"/>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row>
    <row r="4" spans="1:48" ht="7.5" customHeight="1">
      <c r="A4" s="52"/>
      <c r="B4" s="52"/>
      <c r="C4" s="555"/>
      <c r="D4" s="52"/>
      <c r="E4" s="52"/>
      <c r="F4" s="52"/>
      <c r="G4" s="52"/>
      <c r="H4" s="52"/>
      <c r="I4" s="52"/>
      <c r="J4" s="52"/>
      <c r="K4" s="52"/>
      <c r="L4" s="3"/>
      <c r="M4" s="3"/>
      <c r="N4" s="3"/>
      <c r="O4" s="3"/>
      <c r="P4" s="3"/>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3"/>
      <c r="AU4" s="3"/>
      <c r="AV4" s="3"/>
    </row>
    <row r="5" spans="1:48" ht="7.5" customHeight="1">
      <c r="A5" s="52"/>
      <c r="B5" s="52"/>
      <c r="C5" s="555"/>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3"/>
      <c r="AU5" s="3"/>
      <c r="AV5" s="3"/>
    </row>
    <row r="6" spans="1:48" ht="12.75" customHeight="1">
      <c r="A6" s="52"/>
      <c r="B6" s="319" t="s">
        <v>294</v>
      </c>
      <c r="C6" s="555"/>
      <c r="D6" s="381" t="s">
        <v>224</v>
      </c>
      <c r="E6" s="381"/>
      <c r="F6" s="382"/>
      <c r="G6" s="382"/>
      <c r="H6" s="382"/>
      <c r="I6" s="382"/>
      <c r="J6" s="382"/>
      <c r="K6" s="382"/>
      <c r="L6" s="570"/>
      <c r="M6" s="571"/>
      <c r="N6" s="57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3"/>
      <c r="AU6" s="3"/>
      <c r="AV6" s="3"/>
    </row>
    <row r="7" spans="1:48" ht="21.75" customHeight="1">
      <c r="A7" s="52"/>
      <c r="B7" s="383"/>
      <c r="C7" s="555"/>
      <c r="D7" s="384"/>
      <c r="E7" s="384"/>
      <c r="F7" s="384"/>
      <c r="G7" s="384"/>
      <c r="H7" s="384"/>
      <c r="I7" s="384"/>
      <c r="J7" s="384"/>
      <c r="K7" s="384"/>
      <c r="L7" s="570"/>
      <c r="M7" s="573"/>
      <c r="N7" s="572"/>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row>
    <row r="8" spans="1:48" ht="12.75" customHeight="1">
      <c r="A8" s="52"/>
      <c r="B8" s="319" t="s">
        <v>295</v>
      </c>
      <c r="C8" s="555"/>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row>
    <row r="9" spans="1:48" ht="12.75" customHeight="1">
      <c r="A9" s="52"/>
      <c r="B9" s="383"/>
      <c r="C9" s="555"/>
      <c r="D9" s="306" t="s">
        <v>297</v>
      </c>
      <c r="E9" s="306"/>
      <c r="F9" s="386">
        <v>150</v>
      </c>
      <c r="G9" s="306" t="s">
        <v>298</v>
      </c>
      <c r="H9" s="384"/>
      <c r="I9" s="384"/>
      <c r="J9" s="384"/>
      <c r="K9" s="384"/>
      <c r="L9" s="384"/>
      <c r="M9" s="384"/>
      <c r="N9" s="384"/>
      <c r="O9" s="384"/>
      <c r="P9" s="52"/>
      <c r="Q9" s="52"/>
      <c r="R9" s="128"/>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row>
    <row r="10" spans="1:48" ht="12.75" customHeight="1">
      <c r="A10" s="52"/>
      <c r="B10" s="52"/>
      <c r="C10" s="555"/>
      <c r="D10" s="52"/>
      <c r="E10" s="52"/>
      <c r="F10" s="386">
        <v>1</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row>
    <row r="11" spans="1:48"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87"/>
    </row>
    <row r="12" spans="1:48"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566"/>
    </row>
    <row r="13" spans="1:48"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88"/>
    </row>
    <row r="14" spans="1:48"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88"/>
    </row>
    <row r="15" spans="1:48" ht="12.75" customHeight="1">
      <c r="A15" s="52"/>
      <c r="B15" s="320" t="s">
        <v>218</v>
      </c>
      <c r="C15" s="395" t="str">
        <f t="shared" ref="C15:C28" si="0">D$6&amp;"."&amp;B15</f>
        <v>Street Light.Monthly Service Charge</v>
      </c>
      <c r="D15" s="396" t="s">
        <v>306</v>
      </c>
      <c r="E15" s="320"/>
      <c r="F15" s="397">
        <f>IFERROR(VLOOKUP($C15,'Proposed Rates'!$B:$J,F$11,FALSE),0)</f>
        <v>1.1200000000000001</v>
      </c>
      <c r="G15" s="415">
        <f t="shared" ref="G15:G28" si="1">IF($D15="Monthly",1,IF($D15="per KW",$F$10,IF($D15="per kWh",$F$9,0)))</f>
        <v>1</v>
      </c>
      <c r="H15" s="400">
        <f t="shared" ref="H15:H28" si="2">G15*F15</f>
        <v>1.1200000000000001</v>
      </c>
      <c r="I15" s="128"/>
      <c r="J15" s="397">
        <f>IFERROR(VLOOKUP($C15,'Proposed Rates'!$B:$J,J$11,FALSE),0)</f>
        <v>1.25</v>
      </c>
      <c r="K15" s="415">
        <f t="shared" ref="K15:K28" si="3">IF($D15="Monthly",1,IF($D15="per KW",$F$10,IF($D15="per kWh",$F$9,0)))</f>
        <v>1</v>
      </c>
      <c r="L15" s="400">
        <f t="shared" ref="L15:L28" si="4">K15*J15</f>
        <v>1.25</v>
      </c>
      <c r="M15" s="128"/>
      <c r="N15" s="401">
        <f t="shared" ref="N15:N46" si="5">L15-H15</f>
        <v>0.12999999999999989</v>
      </c>
      <c r="O15" s="402">
        <f t="shared" ref="O15:O46" si="6">IF((H15)=0,"",(N15/H15))</f>
        <v>0.11607142857142846</v>
      </c>
      <c r="P15" s="52"/>
      <c r="Q15" s="397">
        <f>IFERROR(VLOOKUP($C15,'Proposed Rates'!$B:$J,Q$11,FALSE),0)</f>
        <v>1.21</v>
      </c>
      <c r="R15" s="415">
        <f t="shared" ref="R15:R28" si="7">IF($D15="Monthly",1,IF($D15="per KW",$F$10,IF($D15="per kWh",$F$9,0)))</f>
        <v>1</v>
      </c>
      <c r="S15" s="400">
        <f t="shared" ref="S15:S28" si="8">R15*Q15</f>
        <v>1.21</v>
      </c>
      <c r="T15" s="128"/>
      <c r="U15" s="401">
        <f t="shared" ref="U15:U46" si="9">S15-L15</f>
        <v>-4.0000000000000036E-2</v>
      </c>
      <c r="V15" s="402">
        <f t="shared" ref="V15:V46" si="10">IF((L15)=0,"",(U15/L15))</f>
        <v>-3.2000000000000028E-2</v>
      </c>
      <c r="W15" s="52"/>
      <c r="X15" s="397">
        <f>IFERROR(VLOOKUP($C15,'Proposed Rates'!$B:$J,X$11,FALSE),0)</f>
        <v>1.27</v>
      </c>
      <c r="Y15" s="415">
        <f t="shared" ref="Y15:Y28" si="11">IF($D15="Monthly",1,IF($D15="per KW",$F$10,IF($D15="per kWh",$F$9,0)))</f>
        <v>1</v>
      </c>
      <c r="Z15" s="400">
        <f t="shared" ref="Z15:Z28" si="12">Y15*X15</f>
        <v>1.27</v>
      </c>
      <c r="AA15" s="128"/>
      <c r="AB15" s="401">
        <f t="shared" ref="AB15:AB46" si="13">Z15-S15</f>
        <v>6.0000000000000053E-2</v>
      </c>
      <c r="AC15" s="402">
        <f t="shared" ref="AC15:AC46" si="14">IF((S15)=0,"",(AB15/S15))</f>
        <v>4.9586776859504175E-2</v>
      </c>
      <c r="AD15" s="52"/>
      <c r="AE15" s="397">
        <f>IFERROR(VLOOKUP($C15,'Proposed Rates'!$B:$J,AE$11,FALSE),0)</f>
        <v>1.29</v>
      </c>
      <c r="AF15" s="415">
        <f t="shared" ref="AF15:AF28" si="15">IF($D15="Monthly",1,IF($D15="per KW",$F$10,IF($D15="per kWh",$F$9,0)))</f>
        <v>1</v>
      </c>
      <c r="AG15" s="400">
        <f t="shared" ref="AG15:AG28" si="16">AF15*AE15</f>
        <v>1.29</v>
      </c>
      <c r="AH15" s="128"/>
      <c r="AI15" s="401">
        <f t="shared" ref="AI15:AI46" si="17">AG15-Z15</f>
        <v>2.0000000000000018E-2</v>
      </c>
      <c r="AJ15" s="402">
        <f t="shared" ref="AJ15:AJ46" si="18">IF((Z15)=0,"",(AI15/Z15))</f>
        <v>1.5748031496063006E-2</v>
      </c>
      <c r="AK15" s="52"/>
      <c r="AL15" s="397">
        <f>IFERROR(VLOOKUP($C15,'Proposed Rates'!$B:$J,AL$11,FALSE),0)</f>
        <v>1.35</v>
      </c>
      <c r="AM15" s="415">
        <f t="shared" ref="AM15:AM28" si="19">IF($D15="Monthly",1,IF($D15="per KW",$F$10,IF($D15="per kWh",$F$9,0)))</f>
        <v>1</v>
      </c>
      <c r="AN15" s="400">
        <f t="shared" ref="AN15:AN28" si="20">AM15*AL15</f>
        <v>1.35</v>
      </c>
      <c r="AO15" s="128"/>
      <c r="AP15" s="401">
        <f t="shared" ref="AP15:AP46" si="21">AN15-AG15</f>
        <v>6.0000000000000053E-2</v>
      </c>
      <c r="AQ15" s="402">
        <f t="shared" ref="AQ15:AQ46" si="22">IF((AG15)=0,"",(AP15/AG15))</f>
        <v>4.6511627906976785E-2</v>
      </c>
      <c r="AR15" s="403"/>
      <c r="AS15" s="403"/>
    </row>
    <row r="16" spans="1:48" ht="12.75" customHeight="1">
      <c r="A16" s="52"/>
      <c r="B16" s="320" t="s">
        <v>307</v>
      </c>
      <c r="C16" s="395" t="str">
        <f t="shared" si="0"/>
        <v>Street Light.Smart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c r="AS16" s="403"/>
    </row>
    <row r="17" spans="1:45" ht="12.75" customHeight="1">
      <c r="A17" s="52"/>
      <c r="B17" s="404" t="str">
        <f>'Proposed Rates'!C115</f>
        <v>Rate Rider Calculation for PILs</v>
      </c>
      <c r="C17" s="395" t="str">
        <f t="shared" si="0"/>
        <v>Street Light.Rate Rider Calculation for PILs</v>
      </c>
      <c r="D17" s="396" t="s">
        <v>377</v>
      </c>
      <c r="E17" s="320"/>
      <c r="F17" s="397">
        <f>IFERROR(VLOOKUP($C17,'Proposed Rates'!$B:$J,F$11,FALSE),0)</f>
        <v>0</v>
      </c>
      <c r="G17" s="415">
        <f t="shared" si="1"/>
        <v>1</v>
      </c>
      <c r="H17" s="400">
        <f t="shared" si="2"/>
        <v>0</v>
      </c>
      <c r="I17" s="128"/>
      <c r="J17" s="397">
        <f>IFERROR(VLOOKUP($C17,'Proposed Rates'!$B:$J,J$11,FALSE),0)</f>
        <v>0</v>
      </c>
      <c r="K17" s="415">
        <f t="shared" si="3"/>
        <v>1</v>
      </c>
      <c r="L17" s="400">
        <f t="shared" si="4"/>
        <v>0</v>
      </c>
      <c r="M17" s="128"/>
      <c r="N17" s="401">
        <f t="shared" si="5"/>
        <v>0</v>
      </c>
      <c r="O17" s="402" t="str">
        <f t="shared" si="6"/>
        <v/>
      </c>
      <c r="P17" s="52"/>
      <c r="Q17" s="397">
        <f>IFERROR(VLOOKUP($C17,'Proposed Rates'!$B:$J,Q$11,FALSE),0)</f>
        <v>0</v>
      </c>
      <c r="R17" s="415">
        <f t="shared" si="7"/>
        <v>1</v>
      </c>
      <c r="S17" s="400">
        <f t="shared" si="8"/>
        <v>0</v>
      </c>
      <c r="T17" s="128"/>
      <c r="U17" s="401">
        <f t="shared" si="9"/>
        <v>0</v>
      </c>
      <c r="V17" s="402" t="str">
        <f t="shared" si="10"/>
        <v/>
      </c>
      <c r="W17" s="52"/>
      <c r="X17" s="397">
        <f>IFERROR(VLOOKUP($C17,'Proposed Rates'!$B:$J,X$11,FALSE),0)</f>
        <v>0</v>
      </c>
      <c r="Y17" s="415">
        <f t="shared" si="11"/>
        <v>1</v>
      </c>
      <c r="Z17" s="400">
        <f t="shared" si="12"/>
        <v>0</v>
      </c>
      <c r="AA17" s="128"/>
      <c r="AB17" s="401">
        <f t="shared" si="13"/>
        <v>0</v>
      </c>
      <c r="AC17" s="402" t="str">
        <f t="shared" si="14"/>
        <v/>
      </c>
      <c r="AD17" s="52"/>
      <c r="AE17" s="397">
        <f>IFERROR(VLOOKUP($C17,'Proposed Rates'!$B:$J,AE$11,FALSE),0)</f>
        <v>0</v>
      </c>
      <c r="AF17" s="415">
        <f t="shared" si="15"/>
        <v>1</v>
      </c>
      <c r="AG17" s="400">
        <f t="shared" si="16"/>
        <v>0</v>
      </c>
      <c r="AH17" s="128"/>
      <c r="AI17" s="401">
        <f t="shared" si="17"/>
        <v>0</v>
      </c>
      <c r="AJ17" s="402" t="str">
        <f t="shared" si="18"/>
        <v/>
      </c>
      <c r="AK17" s="52"/>
      <c r="AL17" s="397">
        <f>IFERROR(VLOOKUP($C17,'Proposed Rates'!$B:$J,AL$11,FALSE),0)</f>
        <v>0</v>
      </c>
      <c r="AM17" s="415">
        <f t="shared" si="19"/>
        <v>1</v>
      </c>
      <c r="AN17" s="400">
        <f t="shared" si="20"/>
        <v>0</v>
      </c>
      <c r="AO17" s="128"/>
      <c r="AP17" s="401">
        <f t="shared" si="21"/>
        <v>0</v>
      </c>
      <c r="AQ17" s="402" t="str">
        <f t="shared" si="22"/>
        <v/>
      </c>
      <c r="AR17" s="403"/>
      <c r="AS17" s="403"/>
    </row>
    <row r="18" spans="1:45" ht="12.75" customHeight="1">
      <c r="A18" s="52"/>
      <c r="B18" s="404" t="str">
        <f>'Proposed Rates'!C128</f>
        <v>Rate Rider Calculation for Generic</v>
      </c>
      <c r="C18" s="395" t="str">
        <f t="shared" si="0"/>
        <v>Street Light.Rate Rider Calculation for Generic</v>
      </c>
      <c r="D18" s="396" t="s">
        <v>377</v>
      </c>
      <c r="E18" s="320"/>
      <c r="F18" s="397">
        <f>IFERROR(VLOOKUP($C18,'Proposed Rates'!$B:$J,F$11,FALSE),0)</f>
        <v>0</v>
      </c>
      <c r="G18" s="415">
        <f t="shared" si="1"/>
        <v>1</v>
      </c>
      <c r="H18" s="400">
        <f t="shared" si="2"/>
        <v>0</v>
      </c>
      <c r="I18" s="128"/>
      <c r="J18" s="397">
        <f>IFERROR(VLOOKUP($C18,'Proposed Rates'!$B:$J,J$11,FALSE),0)</f>
        <v>0</v>
      </c>
      <c r="K18" s="415">
        <f t="shared" si="3"/>
        <v>1</v>
      </c>
      <c r="L18" s="400">
        <f t="shared" si="4"/>
        <v>0</v>
      </c>
      <c r="M18" s="128"/>
      <c r="N18" s="401">
        <f t="shared" si="5"/>
        <v>0</v>
      </c>
      <c r="O18" s="402" t="str">
        <f t="shared" si="6"/>
        <v/>
      </c>
      <c r="P18" s="52"/>
      <c r="Q18" s="397">
        <f>IFERROR(VLOOKUP($C18,'Proposed Rates'!$B:$J,Q$11,FALSE),0)</f>
        <v>0</v>
      </c>
      <c r="R18" s="415">
        <f t="shared" si="7"/>
        <v>1</v>
      </c>
      <c r="S18" s="400">
        <f t="shared" si="8"/>
        <v>0</v>
      </c>
      <c r="T18" s="128"/>
      <c r="U18" s="401">
        <f t="shared" si="9"/>
        <v>0</v>
      </c>
      <c r="V18" s="402" t="str">
        <f t="shared" si="10"/>
        <v/>
      </c>
      <c r="W18" s="52"/>
      <c r="X18" s="397">
        <f>IFERROR(VLOOKUP($C18,'Proposed Rates'!$B:$J,X$11,FALSE),0)</f>
        <v>0</v>
      </c>
      <c r="Y18" s="415">
        <f t="shared" si="11"/>
        <v>1</v>
      </c>
      <c r="Z18" s="400">
        <f t="shared" si="12"/>
        <v>0</v>
      </c>
      <c r="AA18" s="128"/>
      <c r="AB18" s="401">
        <f t="shared" si="13"/>
        <v>0</v>
      </c>
      <c r="AC18" s="402" t="str">
        <f t="shared" si="14"/>
        <v/>
      </c>
      <c r="AD18" s="52"/>
      <c r="AE18" s="397">
        <f>IFERROR(VLOOKUP($C18,'Proposed Rates'!$B:$J,AE$11,FALSE),0)</f>
        <v>0</v>
      </c>
      <c r="AF18" s="415">
        <f t="shared" si="15"/>
        <v>1</v>
      </c>
      <c r="AG18" s="400">
        <f t="shared" si="16"/>
        <v>0</v>
      </c>
      <c r="AH18" s="128"/>
      <c r="AI18" s="401">
        <f t="shared" si="17"/>
        <v>0</v>
      </c>
      <c r="AJ18" s="402" t="str">
        <f t="shared" si="18"/>
        <v/>
      </c>
      <c r="AK18" s="52"/>
      <c r="AL18" s="397">
        <f>IFERROR(VLOOKUP($C18,'Proposed Rates'!$B:$J,AL$11,FALSE),0)</f>
        <v>0</v>
      </c>
      <c r="AM18" s="415">
        <f t="shared" si="19"/>
        <v>1</v>
      </c>
      <c r="AN18" s="400">
        <f t="shared" si="20"/>
        <v>0</v>
      </c>
      <c r="AO18" s="128"/>
      <c r="AP18" s="401">
        <f t="shared" si="21"/>
        <v>0</v>
      </c>
      <c r="AQ18" s="402" t="str">
        <f t="shared" si="22"/>
        <v/>
      </c>
      <c r="AR18" s="403"/>
      <c r="AS18" s="403"/>
    </row>
    <row r="19" spans="1:45" ht="12.75" customHeight="1">
      <c r="A19" s="52"/>
      <c r="B19" s="320" t="s">
        <v>59</v>
      </c>
      <c r="C19" s="395" t="str">
        <f t="shared" si="0"/>
        <v>Street Light.Distribution Volumetric Rate</v>
      </c>
      <c r="D19" s="396" t="s">
        <v>377</v>
      </c>
      <c r="E19" s="320"/>
      <c r="F19" s="414">
        <f>IFERROR(VLOOKUP($C19,'Proposed Rates'!$B:$J,F$11,FALSE),0)</f>
        <v>7.8163999999999998</v>
      </c>
      <c r="G19" s="415">
        <f t="shared" si="1"/>
        <v>1</v>
      </c>
      <c r="H19" s="400">
        <f t="shared" si="2"/>
        <v>7.8163999999999998</v>
      </c>
      <c r="I19" s="128"/>
      <c r="J19" s="414">
        <f>IFERROR(VLOOKUP($C19,'Proposed Rates'!$B:$J,J$11,FALSE),0)</f>
        <v>8.6377000000000006</v>
      </c>
      <c r="K19" s="415">
        <f t="shared" si="3"/>
        <v>1</v>
      </c>
      <c r="L19" s="400">
        <f t="shared" si="4"/>
        <v>8.6377000000000006</v>
      </c>
      <c r="M19" s="128"/>
      <c r="N19" s="401">
        <f t="shared" si="5"/>
        <v>0.82130000000000081</v>
      </c>
      <c r="O19" s="402">
        <f t="shared" si="6"/>
        <v>0.10507394708561496</v>
      </c>
      <c r="P19" s="52"/>
      <c r="Q19" s="414">
        <f>IFERROR(VLOOKUP($C19,'Proposed Rates'!$B:$J,Q$11,FALSE),0)</f>
        <v>8.4458000000000002</v>
      </c>
      <c r="R19" s="415">
        <f t="shared" si="7"/>
        <v>1</v>
      </c>
      <c r="S19" s="400">
        <f t="shared" si="8"/>
        <v>8.4458000000000002</v>
      </c>
      <c r="T19" s="128"/>
      <c r="U19" s="401">
        <f t="shared" si="9"/>
        <v>-0.1919000000000004</v>
      </c>
      <c r="V19" s="402">
        <f t="shared" si="10"/>
        <v>-2.2216562279310511E-2</v>
      </c>
      <c r="W19" s="52"/>
      <c r="X19" s="414">
        <f>IFERROR(VLOOKUP($C19,'Proposed Rates'!$B:$J,X$11,FALSE),0)</f>
        <v>8.9296000000000006</v>
      </c>
      <c r="Y19" s="415">
        <f t="shared" si="11"/>
        <v>1</v>
      </c>
      <c r="Z19" s="400">
        <f t="shared" si="12"/>
        <v>8.9296000000000006</v>
      </c>
      <c r="AA19" s="128"/>
      <c r="AB19" s="401">
        <f t="shared" si="13"/>
        <v>0.48380000000000045</v>
      </c>
      <c r="AC19" s="402">
        <f t="shared" si="14"/>
        <v>5.7282909848682236E-2</v>
      </c>
      <c r="AD19" s="52"/>
      <c r="AE19" s="414">
        <f>IFERROR(VLOOKUP($C19,'Proposed Rates'!$B:$J,AE$11,FALSE),0)</f>
        <v>9.0349000000000004</v>
      </c>
      <c r="AF19" s="415">
        <f t="shared" si="15"/>
        <v>1</v>
      </c>
      <c r="AG19" s="400">
        <f t="shared" si="16"/>
        <v>9.0349000000000004</v>
      </c>
      <c r="AH19" s="128"/>
      <c r="AI19" s="401">
        <f t="shared" si="17"/>
        <v>0.10529999999999973</v>
      </c>
      <c r="AJ19" s="402">
        <f t="shared" si="18"/>
        <v>1.1792241533775278E-2</v>
      </c>
      <c r="AK19" s="52"/>
      <c r="AL19" s="414">
        <f>IFERROR(VLOOKUP($C19,'Proposed Rates'!$B:$J,AL$11,FALSE),0)</f>
        <v>9.4875000000000007</v>
      </c>
      <c r="AM19" s="415">
        <f t="shared" si="19"/>
        <v>1</v>
      </c>
      <c r="AN19" s="400">
        <f t="shared" si="20"/>
        <v>9.4875000000000007</v>
      </c>
      <c r="AO19" s="128"/>
      <c r="AP19" s="401">
        <f t="shared" si="21"/>
        <v>0.45260000000000034</v>
      </c>
      <c r="AQ19" s="402">
        <f t="shared" si="22"/>
        <v>5.0094633034123266E-2</v>
      </c>
      <c r="AR19" s="403"/>
      <c r="AS19" s="403"/>
    </row>
    <row r="20" spans="1:45" ht="12.75" customHeight="1">
      <c r="A20" s="52"/>
      <c r="B20" s="320" t="s">
        <v>309</v>
      </c>
      <c r="C20" s="395" t="str">
        <f t="shared" si="0"/>
        <v>Street Light.Smart Meter Disposition Rider</v>
      </c>
      <c r="D20" s="396" t="s">
        <v>308</v>
      </c>
      <c r="E20" s="320"/>
      <c r="F20" s="397">
        <f>IFERROR(VLOOKUP($C20,'Proposed Rates'!$B:$J,F$11,FALSE),0)</f>
        <v>0</v>
      </c>
      <c r="G20" s="415">
        <f t="shared" si="1"/>
        <v>150</v>
      </c>
      <c r="H20" s="400">
        <f t="shared" si="2"/>
        <v>0</v>
      </c>
      <c r="I20" s="128"/>
      <c r="J20" s="397">
        <f>IFERROR(VLOOKUP($C20,'Proposed Rates'!$B:$J,J$11,FALSE),0)</f>
        <v>0</v>
      </c>
      <c r="K20" s="415">
        <f t="shared" si="3"/>
        <v>150</v>
      </c>
      <c r="L20" s="400">
        <f t="shared" si="4"/>
        <v>0</v>
      </c>
      <c r="M20" s="128"/>
      <c r="N20" s="401">
        <f t="shared" si="5"/>
        <v>0</v>
      </c>
      <c r="O20" s="402" t="str">
        <f t="shared" si="6"/>
        <v/>
      </c>
      <c r="P20" s="52"/>
      <c r="Q20" s="397">
        <f>IFERROR(VLOOKUP($C20,'Proposed Rates'!$B:$J,Q$11,FALSE),0)</f>
        <v>0</v>
      </c>
      <c r="R20" s="415">
        <f t="shared" si="7"/>
        <v>150</v>
      </c>
      <c r="S20" s="400">
        <f t="shared" si="8"/>
        <v>0</v>
      </c>
      <c r="T20" s="128"/>
      <c r="U20" s="401">
        <f t="shared" si="9"/>
        <v>0</v>
      </c>
      <c r="V20" s="402" t="str">
        <f t="shared" si="10"/>
        <v/>
      </c>
      <c r="W20" s="52"/>
      <c r="X20" s="397">
        <f>IFERROR(VLOOKUP($C20,'Proposed Rates'!$B:$J,X$11,FALSE),0)</f>
        <v>0</v>
      </c>
      <c r="Y20" s="415">
        <f t="shared" si="11"/>
        <v>150</v>
      </c>
      <c r="Z20" s="400">
        <f t="shared" si="12"/>
        <v>0</v>
      </c>
      <c r="AA20" s="128"/>
      <c r="AB20" s="401">
        <f t="shared" si="13"/>
        <v>0</v>
      </c>
      <c r="AC20" s="402" t="str">
        <f t="shared" si="14"/>
        <v/>
      </c>
      <c r="AD20" s="52"/>
      <c r="AE20" s="397">
        <f>IFERROR(VLOOKUP($C20,'Proposed Rates'!$B:$J,AE$11,FALSE),0)</f>
        <v>0</v>
      </c>
      <c r="AF20" s="415">
        <f t="shared" si="15"/>
        <v>150</v>
      </c>
      <c r="AG20" s="400">
        <f t="shared" si="16"/>
        <v>0</v>
      </c>
      <c r="AH20" s="128"/>
      <c r="AI20" s="401">
        <f t="shared" si="17"/>
        <v>0</v>
      </c>
      <c r="AJ20" s="402" t="str">
        <f t="shared" si="18"/>
        <v/>
      </c>
      <c r="AK20" s="52"/>
      <c r="AL20" s="397">
        <f>IFERROR(VLOOKUP($C20,'Proposed Rates'!$B:$J,AL$11,FALSE),0)</f>
        <v>0</v>
      </c>
      <c r="AM20" s="415">
        <f t="shared" si="19"/>
        <v>150</v>
      </c>
      <c r="AN20" s="400">
        <f t="shared" si="20"/>
        <v>0</v>
      </c>
      <c r="AO20" s="128"/>
      <c r="AP20" s="401">
        <f t="shared" si="21"/>
        <v>0</v>
      </c>
      <c r="AQ20" s="402" t="str">
        <f t="shared" si="22"/>
        <v/>
      </c>
      <c r="AR20" s="403"/>
      <c r="AS20" s="403"/>
    </row>
    <row r="21" spans="1:45" ht="12.75" customHeight="1">
      <c r="A21" s="52"/>
      <c r="B21" s="320" t="s">
        <v>241</v>
      </c>
      <c r="C21" s="395" t="str">
        <f t="shared" si="0"/>
        <v>Street Light.LRAM Rate Rider</v>
      </c>
      <c r="D21" s="396" t="s">
        <v>377</v>
      </c>
      <c r="E21" s="320"/>
      <c r="F21" s="414">
        <f>'Proposed Rates'!E82+'Proposed Rates'!E95</f>
        <v>4.8925000000000001</v>
      </c>
      <c r="G21" s="415">
        <f t="shared" si="1"/>
        <v>1</v>
      </c>
      <c r="H21" s="400">
        <f t="shared" si="2"/>
        <v>4.8925000000000001</v>
      </c>
      <c r="I21" s="128"/>
      <c r="J21" s="414">
        <f>'Proposed Rates'!F82+'Proposed Rates'!F95</f>
        <v>4.2885999999999997</v>
      </c>
      <c r="K21" s="415">
        <f t="shared" si="3"/>
        <v>1</v>
      </c>
      <c r="L21" s="400">
        <f t="shared" si="4"/>
        <v>4.2885999999999997</v>
      </c>
      <c r="M21" s="128"/>
      <c r="N21" s="401">
        <f t="shared" si="5"/>
        <v>-0.60390000000000033</v>
      </c>
      <c r="O21" s="402">
        <f t="shared" si="6"/>
        <v>-0.12343382728666333</v>
      </c>
      <c r="P21" s="52"/>
      <c r="Q21" s="414">
        <f>'Proposed Rates'!G82+'Proposed Rates'!G95</f>
        <v>0</v>
      </c>
      <c r="R21" s="415">
        <f t="shared" si="7"/>
        <v>1</v>
      </c>
      <c r="S21" s="400">
        <f t="shared" si="8"/>
        <v>0</v>
      </c>
      <c r="T21" s="128"/>
      <c r="U21" s="401">
        <f t="shared" si="9"/>
        <v>-4.2885999999999997</v>
      </c>
      <c r="V21" s="402">
        <f t="shared" si="10"/>
        <v>-1</v>
      </c>
      <c r="W21" s="52"/>
      <c r="X21" s="414">
        <f>IFERROR(VLOOKUP($C21,'Proposed Rates'!$B:$J,X$11,FALSE),0)</f>
        <v>0</v>
      </c>
      <c r="Y21" s="415">
        <f t="shared" si="11"/>
        <v>1</v>
      </c>
      <c r="Z21" s="400">
        <f t="shared" si="12"/>
        <v>0</v>
      </c>
      <c r="AA21" s="128"/>
      <c r="AB21" s="401">
        <f t="shared" si="13"/>
        <v>0</v>
      </c>
      <c r="AC21" s="402" t="str">
        <f t="shared" si="14"/>
        <v/>
      </c>
      <c r="AD21" s="52"/>
      <c r="AE21" s="414">
        <f>IFERROR(VLOOKUP($C21,'Proposed Rates'!$B:$J,AE$11,FALSE),0)</f>
        <v>0</v>
      </c>
      <c r="AF21" s="415">
        <f t="shared" si="15"/>
        <v>1</v>
      </c>
      <c r="AG21" s="400">
        <f t="shared" si="16"/>
        <v>0</v>
      </c>
      <c r="AH21" s="128"/>
      <c r="AI21" s="401">
        <f t="shared" si="17"/>
        <v>0</v>
      </c>
      <c r="AJ21" s="402" t="str">
        <f t="shared" si="18"/>
        <v/>
      </c>
      <c r="AK21" s="52"/>
      <c r="AL21" s="414">
        <f>IFERROR(VLOOKUP($C21,'Proposed Rates'!$B:$J,AL$11,FALSE),0)</f>
        <v>0</v>
      </c>
      <c r="AM21" s="415">
        <f t="shared" si="19"/>
        <v>1</v>
      </c>
      <c r="AN21" s="400">
        <f t="shared" si="20"/>
        <v>0</v>
      </c>
      <c r="AO21" s="128"/>
      <c r="AP21" s="401">
        <f t="shared" si="21"/>
        <v>0</v>
      </c>
      <c r="AQ21" s="402" t="str">
        <f t="shared" si="22"/>
        <v/>
      </c>
      <c r="AR21" s="403"/>
      <c r="AS21" s="403"/>
    </row>
    <row r="22" spans="1:45" ht="12.75" customHeight="1">
      <c r="A22" s="52"/>
      <c r="B22" s="404" t="s">
        <v>237</v>
      </c>
      <c r="C22" s="395" t="str">
        <f t="shared" si="0"/>
        <v>Street Light.Deferral/Variance Account Disposition Rate Rider Group 2</v>
      </c>
      <c r="D22" s="396" t="s">
        <v>377</v>
      </c>
      <c r="E22" s="320"/>
      <c r="F22" s="397">
        <f>IFERROR(VLOOKUP($C22,'Proposed Rates'!$B:$J,F$11,FALSE),0)</f>
        <v>0</v>
      </c>
      <c r="G22" s="415">
        <f t="shared" si="1"/>
        <v>1</v>
      </c>
      <c r="H22" s="400">
        <f t="shared" si="2"/>
        <v>0</v>
      </c>
      <c r="I22" s="128"/>
      <c r="J22" s="397">
        <f>IFERROR(VLOOKUP($C22,'Proposed Rates'!$B:$J,J$11,FALSE),0)</f>
        <v>-0.33589999999999998</v>
      </c>
      <c r="K22" s="415">
        <f t="shared" si="3"/>
        <v>1</v>
      </c>
      <c r="L22" s="400">
        <f t="shared" si="4"/>
        <v>-0.33589999999999998</v>
      </c>
      <c r="M22" s="128"/>
      <c r="N22" s="401">
        <f t="shared" si="5"/>
        <v>-0.33589999999999998</v>
      </c>
      <c r="O22" s="402" t="str">
        <f t="shared" si="6"/>
        <v/>
      </c>
      <c r="P22" s="52"/>
      <c r="Q22" s="397">
        <f>IFERROR(VLOOKUP($C22,'Proposed Rates'!$B:$J,Q$11,FALSE),0)</f>
        <v>0</v>
      </c>
      <c r="R22" s="415">
        <f t="shared" si="7"/>
        <v>1</v>
      </c>
      <c r="S22" s="400">
        <f t="shared" si="8"/>
        <v>0</v>
      </c>
      <c r="T22" s="128"/>
      <c r="U22" s="401">
        <f t="shared" si="9"/>
        <v>0.33589999999999998</v>
      </c>
      <c r="V22" s="402">
        <f t="shared" si="10"/>
        <v>-1</v>
      </c>
      <c r="W22" s="52"/>
      <c r="X22" s="397">
        <f>IFERROR(VLOOKUP($C22,'Proposed Rates'!$B:$J,X$11,FALSE),0)</f>
        <v>0</v>
      </c>
      <c r="Y22" s="415">
        <f t="shared" si="11"/>
        <v>1</v>
      </c>
      <c r="Z22" s="400">
        <f t="shared" si="12"/>
        <v>0</v>
      </c>
      <c r="AA22" s="128"/>
      <c r="AB22" s="401">
        <f t="shared" si="13"/>
        <v>0</v>
      </c>
      <c r="AC22" s="402" t="str">
        <f t="shared" si="14"/>
        <v/>
      </c>
      <c r="AD22" s="52"/>
      <c r="AE22" s="397">
        <f>IFERROR(VLOOKUP($C22,'Proposed Rates'!$B:$J,AE$11,FALSE),0)</f>
        <v>0</v>
      </c>
      <c r="AF22" s="415">
        <f t="shared" si="15"/>
        <v>1</v>
      </c>
      <c r="AG22" s="400">
        <f t="shared" si="16"/>
        <v>0</v>
      </c>
      <c r="AH22" s="128"/>
      <c r="AI22" s="401">
        <f t="shared" si="17"/>
        <v>0</v>
      </c>
      <c r="AJ22" s="402" t="str">
        <f t="shared" si="18"/>
        <v/>
      </c>
      <c r="AK22" s="52"/>
      <c r="AL22" s="397">
        <f>IFERROR(VLOOKUP($C22,'Proposed Rates'!$B:$J,AL$11,FALSE),0)</f>
        <v>0</v>
      </c>
      <c r="AM22" s="415">
        <f t="shared" si="19"/>
        <v>1</v>
      </c>
      <c r="AN22" s="400">
        <f t="shared" si="20"/>
        <v>0</v>
      </c>
      <c r="AO22" s="128"/>
      <c r="AP22" s="401">
        <f t="shared" si="21"/>
        <v>0</v>
      </c>
      <c r="AQ22" s="402" t="str">
        <f t="shared" si="22"/>
        <v/>
      </c>
      <c r="AR22" s="403"/>
      <c r="AS22" s="403"/>
    </row>
    <row r="23" spans="1:45" ht="12.75" customHeight="1">
      <c r="A23" s="52"/>
      <c r="B23" s="404"/>
      <c r="C23" s="395" t="str">
        <f t="shared" si="0"/>
        <v>Street Light.</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c r="AS23" s="403"/>
    </row>
    <row r="24" spans="1:45" ht="12.75" customHeight="1">
      <c r="A24" s="52"/>
      <c r="B24" s="404"/>
      <c r="C24" s="395" t="str">
        <f t="shared" si="0"/>
        <v>Street Light.</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c r="AS24" s="403"/>
    </row>
    <row r="25" spans="1:45" ht="12.75" customHeight="1">
      <c r="A25" s="52"/>
      <c r="B25" s="404"/>
      <c r="C25" s="395" t="str">
        <f t="shared" si="0"/>
        <v>Street Light.</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c r="AS25" s="403"/>
    </row>
    <row r="26" spans="1:45" ht="12.75" customHeight="1">
      <c r="A26" s="52"/>
      <c r="B26" s="404"/>
      <c r="C26" s="395" t="str">
        <f t="shared" si="0"/>
        <v>Street Light.</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c r="AS26" s="403"/>
    </row>
    <row r="27" spans="1:45" ht="12.75" customHeight="1">
      <c r="A27" s="52"/>
      <c r="B27" s="404"/>
      <c r="C27" s="395" t="str">
        <f t="shared" si="0"/>
        <v>Street Light.</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c r="AS27" s="403"/>
    </row>
    <row r="28" spans="1:45" ht="12.75" customHeight="1">
      <c r="A28" s="52"/>
      <c r="B28" s="404"/>
      <c r="C28" s="395" t="str">
        <f t="shared" si="0"/>
        <v>Street Light.</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c r="AS28" s="403"/>
    </row>
    <row r="29" spans="1:45" ht="12.75" customHeight="1">
      <c r="A29" s="306"/>
      <c r="B29" s="405" t="s">
        <v>310</v>
      </c>
      <c r="C29" s="557"/>
      <c r="D29" s="406"/>
      <c r="E29" s="406"/>
      <c r="F29" s="407"/>
      <c r="G29" s="500"/>
      <c r="H29" s="409">
        <f>SUM(H15:H28)</f>
        <v>13.828899999999999</v>
      </c>
      <c r="I29" s="410"/>
      <c r="J29" s="407"/>
      <c r="K29" s="500"/>
      <c r="L29" s="409">
        <f>SUM(L15:L28)</f>
        <v>13.840400000000001</v>
      </c>
      <c r="M29" s="410"/>
      <c r="N29" s="411">
        <f t="shared" si="5"/>
        <v>1.150000000000162E-2</v>
      </c>
      <c r="O29" s="412">
        <f t="shared" si="6"/>
        <v>8.3159181135170697E-4</v>
      </c>
      <c r="P29" s="306"/>
      <c r="Q29" s="407"/>
      <c r="R29" s="500"/>
      <c r="S29" s="409">
        <f>SUM(S15:S28)</f>
        <v>9.6557999999999993</v>
      </c>
      <c r="T29" s="410"/>
      <c r="U29" s="411">
        <f t="shared" si="9"/>
        <v>-4.1846000000000014</v>
      </c>
      <c r="V29" s="412">
        <f t="shared" si="10"/>
        <v>-0.30234675298401786</v>
      </c>
      <c r="W29" s="306"/>
      <c r="X29" s="407"/>
      <c r="Y29" s="500"/>
      <c r="Z29" s="409">
        <f>SUM(Z15:Z28)</f>
        <v>10.1996</v>
      </c>
      <c r="AA29" s="410"/>
      <c r="AB29" s="411">
        <f t="shared" si="13"/>
        <v>0.54380000000000095</v>
      </c>
      <c r="AC29" s="412">
        <f t="shared" si="14"/>
        <v>5.6318482155802832E-2</v>
      </c>
      <c r="AD29" s="306"/>
      <c r="AE29" s="407"/>
      <c r="AF29" s="500"/>
      <c r="AG29" s="409">
        <f>SUM(AG15:AG28)</f>
        <v>10.3249</v>
      </c>
      <c r="AH29" s="410"/>
      <c r="AI29" s="411">
        <f t="shared" si="17"/>
        <v>0.1252999999999993</v>
      </c>
      <c r="AJ29" s="412">
        <f t="shared" si="18"/>
        <v>1.2284795482175703E-2</v>
      </c>
      <c r="AK29" s="306"/>
      <c r="AL29" s="407"/>
      <c r="AM29" s="500"/>
      <c r="AN29" s="409">
        <f>SUM(AN15:AN28)</f>
        <v>10.8375</v>
      </c>
      <c r="AO29" s="410"/>
      <c r="AP29" s="411">
        <f t="shared" si="21"/>
        <v>0.51260000000000083</v>
      </c>
      <c r="AQ29" s="412">
        <f t="shared" si="22"/>
        <v>4.9646969946440245E-2</v>
      </c>
      <c r="AR29" s="413"/>
      <c r="AS29" s="413"/>
    </row>
    <row r="30" spans="1:45" ht="12.75" customHeight="1">
      <c r="A30" s="52"/>
      <c r="B30" s="404" t="s">
        <v>234</v>
      </c>
      <c r="C30" s="395" t="str">
        <f t="shared" ref="C30:C38" si="23">D$6&amp;"."&amp;B30</f>
        <v>Street Light.DVA Disposition Rate Rider Group 1 -2025</v>
      </c>
      <c r="D30" s="396" t="s">
        <v>377</v>
      </c>
      <c r="E30" s="320"/>
      <c r="F30" s="414">
        <f>IFERROR(VLOOKUP($C30,'Proposed Rates'!$B:$J,F$11,FALSE),0)</f>
        <v>4.1000000000000002E-2</v>
      </c>
      <c r="G30" s="415">
        <f t="shared" ref="G30:G36" si="24">IF($D30="Monthly",1,IF($D30="per KW",$F$10,IF($D30="per kWh",$F$9,0)))</f>
        <v>1</v>
      </c>
      <c r="H30" s="400">
        <f t="shared" ref="H30:H38" si="25">G30*F30</f>
        <v>4.1000000000000002E-2</v>
      </c>
      <c r="I30" s="128"/>
      <c r="J30" s="567">
        <f>IFERROR(VLOOKUP($C30,'Proposed Rates'!$B:$J,J$11,FALSE),0)</f>
        <v>-0.2215</v>
      </c>
      <c r="K30" s="415">
        <f t="shared" ref="K30:K36" si="26">IF($D30="Monthly",1,IF($D30="per KW",$F$10,IF($D30="per kWh",$F$9,0)))</f>
        <v>1</v>
      </c>
      <c r="L30" s="400">
        <f t="shared" ref="L30:L38" si="27">K30*J30</f>
        <v>-0.2215</v>
      </c>
      <c r="M30" s="128"/>
      <c r="N30" s="401">
        <f t="shared" si="5"/>
        <v>-0.26250000000000001</v>
      </c>
      <c r="O30" s="402">
        <f t="shared" si="6"/>
        <v>-6.4024390243902438</v>
      </c>
      <c r="P30" s="52"/>
      <c r="Q30" s="567">
        <f>IFERROR(VLOOKUP($C30,'Proposed Rates'!$B:$J,Q$11,FALSE),0)</f>
        <v>0</v>
      </c>
      <c r="R30" s="415">
        <f t="shared" ref="R30:R36" si="28">IF($D30="Monthly",1,IF($D30="per KW",$F$10,IF($D30="per kWh",$F$9,0)))</f>
        <v>1</v>
      </c>
      <c r="S30" s="400">
        <f t="shared" ref="S30:S38" si="29">R30*Q30</f>
        <v>0</v>
      </c>
      <c r="T30" s="128"/>
      <c r="U30" s="401">
        <f t="shared" si="9"/>
        <v>0.2215</v>
      </c>
      <c r="V30" s="402">
        <f t="shared" si="10"/>
        <v>-1</v>
      </c>
      <c r="W30" s="52"/>
      <c r="X30" s="567">
        <f>IFERROR(VLOOKUP($C30,'Proposed Rates'!$B:$J,X$11,FALSE),0)</f>
        <v>0</v>
      </c>
      <c r="Y30" s="415">
        <f t="shared" ref="Y30:Y36" si="30">IF($D30="Monthly",1,IF($D30="per KW",$F$10,IF($D30="per kWh",$F$9,0)))</f>
        <v>1</v>
      </c>
      <c r="Z30" s="400">
        <f t="shared" ref="Z30:Z38" si="31">Y30*X30</f>
        <v>0</v>
      </c>
      <c r="AA30" s="128"/>
      <c r="AB30" s="401">
        <f t="shared" si="13"/>
        <v>0</v>
      </c>
      <c r="AC30" s="402" t="str">
        <f t="shared" si="14"/>
        <v/>
      </c>
      <c r="AD30" s="52"/>
      <c r="AE30" s="567">
        <f>IFERROR(VLOOKUP($C30,'Proposed Rates'!$B:$J,AE$11,FALSE),0)</f>
        <v>0</v>
      </c>
      <c r="AF30" s="415">
        <f t="shared" ref="AF30:AF36" si="32">IF($D30="Monthly",1,IF($D30="per KW",$F$10,IF($D30="per kWh",$F$9,0)))</f>
        <v>1</v>
      </c>
      <c r="AG30" s="400">
        <f t="shared" ref="AG30:AG38" si="33">AF30*AE30</f>
        <v>0</v>
      </c>
      <c r="AH30" s="128"/>
      <c r="AI30" s="401">
        <f t="shared" si="17"/>
        <v>0</v>
      </c>
      <c r="AJ30" s="402" t="str">
        <f t="shared" si="18"/>
        <v/>
      </c>
      <c r="AK30" s="52"/>
      <c r="AL30" s="567">
        <f>IFERROR(VLOOKUP($C30,'Proposed Rates'!$B:$J,AL$11,FALSE),0)</f>
        <v>0</v>
      </c>
      <c r="AM30" s="415">
        <f t="shared" ref="AM30:AM36" si="34">IF($D30="Monthly",1,IF($D30="per KW",$F$10,IF($D30="per kWh",$F$9,0)))</f>
        <v>1</v>
      </c>
      <c r="AN30" s="400">
        <f t="shared" ref="AN30:AN38" si="35">AM30*AL30</f>
        <v>0</v>
      </c>
      <c r="AO30" s="128"/>
      <c r="AP30" s="401">
        <f t="shared" si="21"/>
        <v>0</v>
      </c>
      <c r="AQ30" s="402" t="str">
        <f t="shared" si="22"/>
        <v/>
      </c>
      <c r="AR30" s="403"/>
      <c r="AS30" s="403"/>
    </row>
    <row r="31" spans="1:45" ht="12.75" customHeight="1">
      <c r="A31" s="52"/>
      <c r="B31" s="404" t="s">
        <v>236</v>
      </c>
      <c r="C31" s="395" t="str">
        <f t="shared" si="23"/>
        <v>Street Light.DVA Disposition Rate Rider Group 1 - 2024</v>
      </c>
      <c r="D31" s="396" t="s">
        <v>377</v>
      </c>
      <c r="E31" s="320"/>
      <c r="F31" s="397">
        <f>IFERROR(VLOOKUP($C31,'Proposed Rates'!$B:$J,F$11,FALSE),0)</f>
        <v>0</v>
      </c>
      <c r="G31" s="415">
        <f t="shared" si="24"/>
        <v>1</v>
      </c>
      <c r="H31" s="400">
        <f t="shared" si="25"/>
        <v>0</v>
      </c>
      <c r="I31" s="128"/>
      <c r="J31" s="397">
        <f>IFERROR(VLOOKUP($C31,'Proposed Rates'!$B:$J,J$11,FALSE),0)</f>
        <v>0</v>
      </c>
      <c r="K31" s="415">
        <f t="shared" si="26"/>
        <v>1</v>
      </c>
      <c r="L31" s="400">
        <f t="shared" si="27"/>
        <v>0</v>
      </c>
      <c r="M31" s="128"/>
      <c r="N31" s="401">
        <f t="shared" si="5"/>
        <v>0</v>
      </c>
      <c r="O31" s="402" t="str">
        <f t="shared" si="6"/>
        <v/>
      </c>
      <c r="P31" s="52"/>
      <c r="Q31" s="397">
        <f>IFERROR(VLOOKUP($C31,'Proposed Rates'!$B:$J,Q$11,FALSE),0)</f>
        <v>0</v>
      </c>
      <c r="R31" s="415">
        <f t="shared" si="28"/>
        <v>1</v>
      </c>
      <c r="S31" s="400">
        <f t="shared" si="29"/>
        <v>0</v>
      </c>
      <c r="T31" s="128"/>
      <c r="U31" s="401">
        <f t="shared" si="9"/>
        <v>0</v>
      </c>
      <c r="V31" s="402" t="str">
        <f t="shared" si="10"/>
        <v/>
      </c>
      <c r="W31" s="52"/>
      <c r="X31" s="397">
        <f>IFERROR(VLOOKUP($C31,'Proposed Rates'!$B:$J,X$11,FALSE),0)</f>
        <v>0</v>
      </c>
      <c r="Y31" s="415">
        <f t="shared" si="30"/>
        <v>1</v>
      </c>
      <c r="Z31" s="400">
        <f t="shared" si="31"/>
        <v>0</v>
      </c>
      <c r="AA31" s="128"/>
      <c r="AB31" s="401">
        <f t="shared" si="13"/>
        <v>0</v>
      </c>
      <c r="AC31" s="402" t="str">
        <f t="shared" si="14"/>
        <v/>
      </c>
      <c r="AD31" s="52"/>
      <c r="AE31" s="397">
        <f>IFERROR(VLOOKUP($C31,'Proposed Rates'!$B:$J,AE$11,FALSE),0)</f>
        <v>0</v>
      </c>
      <c r="AF31" s="415">
        <f t="shared" si="32"/>
        <v>1</v>
      </c>
      <c r="AG31" s="400">
        <f t="shared" si="33"/>
        <v>0</v>
      </c>
      <c r="AH31" s="128"/>
      <c r="AI31" s="401">
        <f t="shared" si="17"/>
        <v>0</v>
      </c>
      <c r="AJ31" s="402" t="str">
        <f t="shared" si="18"/>
        <v/>
      </c>
      <c r="AK31" s="52"/>
      <c r="AL31" s="397">
        <f>IFERROR(VLOOKUP($C31,'Proposed Rates'!$B:$J,AL$11,FALSE),0)</f>
        <v>0</v>
      </c>
      <c r="AM31" s="415">
        <f t="shared" si="34"/>
        <v>1</v>
      </c>
      <c r="AN31" s="400">
        <f t="shared" si="35"/>
        <v>0</v>
      </c>
      <c r="AO31" s="128"/>
      <c r="AP31" s="401">
        <f t="shared" si="21"/>
        <v>0</v>
      </c>
      <c r="AQ31" s="402" t="str">
        <f t="shared" si="22"/>
        <v/>
      </c>
      <c r="AR31" s="403"/>
      <c r="AS31" s="403"/>
    </row>
    <row r="32" spans="1:45" ht="12.75" customHeight="1">
      <c r="A32" s="52"/>
      <c r="B32" s="404" t="s">
        <v>244</v>
      </c>
      <c r="C32" s="395" t="str">
        <f t="shared" si="23"/>
        <v>Street Light.CBR Class B Rate Riders</v>
      </c>
      <c r="D32" s="396" t="s">
        <v>308</v>
      </c>
      <c r="E32" s="320"/>
      <c r="F32" s="414">
        <f>IFERROR(VLOOKUP($C32,'Proposed Rates'!$B:$J,F$11,FALSE),0)</f>
        <v>2.0000000000000001E-4</v>
      </c>
      <c r="G32" s="415">
        <f t="shared" si="24"/>
        <v>150</v>
      </c>
      <c r="H32" s="400">
        <f t="shared" si="25"/>
        <v>3.0000000000000002E-2</v>
      </c>
      <c r="I32" s="485"/>
      <c r="J32" s="414">
        <f>IFERROR(VLOOKUP($C32,'Proposed Rates'!$B:$J,J$11,FALSE),0)</f>
        <v>4.0000000000000002E-4</v>
      </c>
      <c r="K32" s="415">
        <f t="shared" si="26"/>
        <v>150</v>
      </c>
      <c r="L32" s="400">
        <f t="shared" si="27"/>
        <v>6.0000000000000005E-2</v>
      </c>
      <c r="M32" s="417"/>
      <c r="N32" s="401">
        <f t="shared" si="5"/>
        <v>3.0000000000000002E-2</v>
      </c>
      <c r="O32" s="402">
        <f t="shared" si="6"/>
        <v>1</v>
      </c>
      <c r="P32" s="52"/>
      <c r="Q32" s="414">
        <f>IFERROR(VLOOKUP($C32,'Proposed Rates'!$B:$J,Q$11,FALSE),0)</f>
        <v>0</v>
      </c>
      <c r="R32" s="415">
        <f t="shared" si="28"/>
        <v>150</v>
      </c>
      <c r="S32" s="400">
        <f t="shared" si="29"/>
        <v>0</v>
      </c>
      <c r="T32" s="128"/>
      <c r="U32" s="401">
        <f t="shared" si="9"/>
        <v>-6.0000000000000005E-2</v>
      </c>
      <c r="V32" s="402">
        <f t="shared" si="10"/>
        <v>-1</v>
      </c>
      <c r="W32" s="52"/>
      <c r="X32" s="414">
        <f>IFERROR(VLOOKUP($C32,'Proposed Rates'!$B:$J,X$11,FALSE),0)</f>
        <v>0</v>
      </c>
      <c r="Y32" s="415">
        <f t="shared" si="30"/>
        <v>150</v>
      </c>
      <c r="Z32" s="400">
        <f t="shared" si="31"/>
        <v>0</v>
      </c>
      <c r="AA32" s="128"/>
      <c r="AB32" s="401">
        <f t="shared" si="13"/>
        <v>0</v>
      </c>
      <c r="AC32" s="402" t="str">
        <f t="shared" si="14"/>
        <v/>
      </c>
      <c r="AD32" s="52"/>
      <c r="AE32" s="414">
        <f>IFERROR(VLOOKUP($C32,'Proposed Rates'!$B:$J,AE$11,FALSE),0)</f>
        <v>0</v>
      </c>
      <c r="AF32" s="415">
        <f t="shared" si="32"/>
        <v>150</v>
      </c>
      <c r="AG32" s="400">
        <f t="shared" si="33"/>
        <v>0</v>
      </c>
      <c r="AH32" s="128"/>
      <c r="AI32" s="401">
        <f t="shared" si="17"/>
        <v>0</v>
      </c>
      <c r="AJ32" s="402" t="str">
        <f t="shared" si="18"/>
        <v/>
      </c>
      <c r="AK32" s="52"/>
      <c r="AL32" s="414">
        <f>IFERROR(VLOOKUP($C32,'Proposed Rates'!$B:$J,AL$11,FALSE),0)</f>
        <v>0</v>
      </c>
      <c r="AM32" s="415">
        <f t="shared" si="34"/>
        <v>150</v>
      </c>
      <c r="AN32" s="400">
        <f t="shared" si="35"/>
        <v>0</v>
      </c>
      <c r="AO32" s="128"/>
      <c r="AP32" s="401">
        <f t="shared" si="21"/>
        <v>0</v>
      </c>
      <c r="AQ32" s="402" t="str">
        <f t="shared" si="22"/>
        <v/>
      </c>
      <c r="AR32" s="403"/>
      <c r="AS32" s="403"/>
    </row>
    <row r="33" spans="1:45" ht="12.75" customHeight="1">
      <c r="A33" s="52"/>
      <c r="B33" s="404" t="s">
        <v>249</v>
      </c>
      <c r="C33" s="395" t="str">
        <f t="shared" si="23"/>
        <v>Street Light.GA Rate Riders</v>
      </c>
      <c r="D33" s="396" t="s">
        <v>308</v>
      </c>
      <c r="E33" s="320"/>
      <c r="F33" s="414">
        <f>IFERROR(VLOOKUP($C33,'Proposed Rates'!$B:$J,F$11,FALSE),0)</f>
        <v>3.8999999999999998E-3</v>
      </c>
      <c r="G33" s="415">
        <f t="shared" si="24"/>
        <v>150</v>
      </c>
      <c r="H33" s="400">
        <f t="shared" si="25"/>
        <v>0.58499999999999996</v>
      </c>
      <c r="I33" s="485"/>
      <c r="J33" s="414">
        <f>IFERROR(VLOOKUP($C33,'Proposed Rates'!$B:$J,J$11,FALSE),0)</f>
        <v>4.4999999999999997E-3</v>
      </c>
      <c r="K33" s="415">
        <f t="shared" si="26"/>
        <v>150</v>
      </c>
      <c r="L33" s="400">
        <f t="shared" si="27"/>
        <v>0.67499999999999993</v>
      </c>
      <c r="M33" s="417"/>
      <c r="N33" s="401">
        <f t="shared" si="5"/>
        <v>8.9999999999999969E-2</v>
      </c>
      <c r="O33" s="402">
        <f t="shared" si="6"/>
        <v>0.1538461538461538</v>
      </c>
      <c r="P33" s="52"/>
      <c r="Q33" s="414">
        <f>IFERROR(VLOOKUP($C33,'Proposed Rates'!$B:$J,Q$11,FALSE),0)</f>
        <v>0</v>
      </c>
      <c r="R33" s="415">
        <f t="shared" si="28"/>
        <v>150</v>
      </c>
      <c r="S33" s="400">
        <f t="shared" si="29"/>
        <v>0</v>
      </c>
      <c r="T33" s="128"/>
      <c r="U33" s="401">
        <f t="shared" si="9"/>
        <v>-0.67499999999999993</v>
      </c>
      <c r="V33" s="402">
        <f t="shared" si="10"/>
        <v>-1</v>
      </c>
      <c r="W33" s="52"/>
      <c r="X33" s="414">
        <f>IFERROR(VLOOKUP($C33,'Proposed Rates'!$B:$J,X$11,FALSE),0)</f>
        <v>0</v>
      </c>
      <c r="Y33" s="415">
        <f t="shared" si="30"/>
        <v>150</v>
      </c>
      <c r="Z33" s="400">
        <f t="shared" si="31"/>
        <v>0</v>
      </c>
      <c r="AA33" s="128"/>
      <c r="AB33" s="401">
        <f t="shared" si="13"/>
        <v>0</v>
      </c>
      <c r="AC33" s="402" t="str">
        <f t="shared" si="14"/>
        <v/>
      </c>
      <c r="AD33" s="52"/>
      <c r="AE33" s="414">
        <f>IFERROR(VLOOKUP($C33,'Proposed Rates'!$B:$J,AE$11,FALSE),0)</f>
        <v>0</v>
      </c>
      <c r="AF33" s="415">
        <f t="shared" si="32"/>
        <v>150</v>
      </c>
      <c r="AG33" s="400">
        <f t="shared" si="33"/>
        <v>0</v>
      </c>
      <c r="AH33" s="128"/>
      <c r="AI33" s="401">
        <f t="shared" si="17"/>
        <v>0</v>
      </c>
      <c r="AJ33" s="402" t="str">
        <f t="shared" si="18"/>
        <v/>
      </c>
      <c r="AK33" s="52"/>
      <c r="AL33" s="414">
        <f>IFERROR(VLOOKUP($C33,'Proposed Rates'!$B:$J,AL$11,FALSE),0)</f>
        <v>0</v>
      </c>
      <c r="AM33" s="415">
        <f t="shared" si="34"/>
        <v>150</v>
      </c>
      <c r="AN33" s="400">
        <f t="shared" si="35"/>
        <v>0</v>
      </c>
      <c r="AO33" s="128"/>
      <c r="AP33" s="401">
        <f t="shared" si="21"/>
        <v>0</v>
      </c>
      <c r="AQ33" s="402" t="str">
        <f t="shared" si="22"/>
        <v/>
      </c>
      <c r="AR33" s="403"/>
      <c r="AS33" s="403"/>
    </row>
    <row r="34" spans="1:45" ht="12.75" customHeight="1">
      <c r="A34" s="52"/>
      <c r="B34" s="404" t="s">
        <v>252</v>
      </c>
      <c r="C34" s="395" t="str">
        <f t="shared" si="23"/>
        <v>Street Light.Total Deferral/Variance Account Rate RidersYr2</v>
      </c>
      <c r="D34" s="396" t="s">
        <v>377</v>
      </c>
      <c r="E34" s="320"/>
      <c r="F34" s="397">
        <f>IFERROR(VLOOKUP($C34,'Proposed Rates'!$B:$J,F$11,FALSE),0)</f>
        <v>0</v>
      </c>
      <c r="G34" s="415">
        <f t="shared" si="24"/>
        <v>1</v>
      </c>
      <c r="H34" s="400">
        <f t="shared" si="25"/>
        <v>0</v>
      </c>
      <c r="I34" s="485"/>
      <c r="J34" s="397">
        <f>IFERROR(VLOOKUP($C34,'Proposed Rates'!$B:$J,J$11,FALSE),0)</f>
        <v>0</v>
      </c>
      <c r="K34" s="415">
        <f t="shared" si="26"/>
        <v>1</v>
      </c>
      <c r="L34" s="400">
        <f t="shared" si="27"/>
        <v>0</v>
      </c>
      <c r="M34" s="417"/>
      <c r="N34" s="401">
        <f t="shared" si="5"/>
        <v>0</v>
      </c>
      <c r="O34" s="402" t="str">
        <f t="shared" si="6"/>
        <v/>
      </c>
      <c r="P34" s="52"/>
      <c r="Q34" s="397">
        <f>IFERROR(VLOOKUP($C34,'Proposed Rates'!$B:$J,Q$11,FALSE),0)</f>
        <v>0</v>
      </c>
      <c r="R34" s="415">
        <f t="shared" si="28"/>
        <v>1</v>
      </c>
      <c r="S34" s="400">
        <f t="shared" si="29"/>
        <v>0</v>
      </c>
      <c r="T34" s="128"/>
      <c r="U34" s="401">
        <f t="shared" si="9"/>
        <v>0</v>
      </c>
      <c r="V34" s="402" t="str">
        <f t="shared" si="10"/>
        <v/>
      </c>
      <c r="W34" s="52"/>
      <c r="X34" s="397">
        <f>IFERROR(VLOOKUP($C34,'Proposed Rates'!$B:$J,X$11,FALSE),0)</f>
        <v>0</v>
      </c>
      <c r="Y34" s="415">
        <f t="shared" si="30"/>
        <v>1</v>
      </c>
      <c r="Z34" s="400">
        <f t="shared" si="31"/>
        <v>0</v>
      </c>
      <c r="AA34" s="128"/>
      <c r="AB34" s="401">
        <f t="shared" si="13"/>
        <v>0</v>
      </c>
      <c r="AC34" s="402" t="str">
        <f t="shared" si="14"/>
        <v/>
      </c>
      <c r="AD34" s="52"/>
      <c r="AE34" s="397">
        <f>IFERROR(VLOOKUP($C34,'Proposed Rates'!$B:$J,AE$11,FALSE),0)</f>
        <v>0</v>
      </c>
      <c r="AF34" s="415">
        <f t="shared" si="32"/>
        <v>1</v>
      </c>
      <c r="AG34" s="400">
        <f t="shared" si="33"/>
        <v>0</v>
      </c>
      <c r="AH34" s="128"/>
      <c r="AI34" s="401">
        <f t="shared" si="17"/>
        <v>0</v>
      </c>
      <c r="AJ34" s="402" t="str">
        <f t="shared" si="18"/>
        <v/>
      </c>
      <c r="AK34" s="52"/>
      <c r="AL34" s="397">
        <f>IFERROR(VLOOKUP($C34,'Proposed Rates'!$B:$J,AL$11,FALSE),0)</f>
        <v>0</v>
      </c>
      <c r="AM34" s="415">
        <f t="shared" si="34"/>
        <v>1</v>
      </c>
      <c r="AN34" s="400">
        <f t="shared" si="35"/>
        <v>0</v>
      </c>
      <c r="AO34" s="128"/>
      <c r="AP34" s="401">
        <f t="shared" si="21"/>
        <v>0</v>
      </c>
      <c r="AQ34" s="402" t="str">
        <f t="shared" si="22"/>
        <v/>
      </c>
      <c r="AR34" s="403"/>
      <c r="AS34" s="403"/>
    </row>
    <row r="35" spans="1:45" ht="12.75" customHeight="1">
      <c r="A35" s="52"/>
      <c r="B35" s="404" t="s">
        <v>254</v>
      </c>
      <c r="C35" s="395" t="str">
        <f t="shared" si="23"/>
        <v>Street Light.Total Deferral/Variance Account Rate Riders</v>
      </c>
      <c r="D35" s="396" t="s">
        <v>377</v>
      </c>
      <c r="E35" s="320"/>
      <c r="F35" s="397">
        <f>IFERROR(VLOOKUP($C35,'Proposed Rates'!$B:$J,F$11,FALSE),0)</f>
        <v>0</v>
      </c>
      <c r="G35" s="415">
        <f t="shared" si="24"/>
        <v>1</v>
      </c>
      <c r="H35" s="400">
        <f t="shared" si="25"/>
        <v>0</v>
      </c>
      <c r="I35" s="128"/>
      <c r="J35" s="397">
        <f>IFERROR(VLOOKUP($C35,'Proposed Rates'!$B:$J,J$11,FALSE),0)</f>
        <v>0</v>
      </c>
      <c r="K35" s="415">
        <f t="shared" si="26"/>
        <v>1</v>
      </c>
      <c r="L35" s="400">
        <f t="shared" si="27"/>
        <v>0</v>
      </c>
      <c r="M35" s="128"/>
      <c r="N35" s="401">
        <f t="shared" si="5"/>
        <v>0</v>
      </c>
      <c r="O35" s="402" t="str">
        <f t="shared" si="6"/>
        <v/>
      </c>
      <c r="P35" s="52"/>
      <c r="Q35" s="397">
        <f>IFERROR(VLOOKUP($C35,'Proposed Rates'!$B:$J,Q$11,FALSE),0)</f>
        <v>0</v>
      </c>
      <c r="R35" s="415">
        <f t="shared" si="28"/>
        <v>1</v>
      </c>
      <c r="S35" s="400">
        <f t="shared" si="29"/>
        <v>0</v>
      </c>
      <c r="T35" s="128"/>
      <c r="U35" s="401">
        <f t="shared" si="9"/>
        <v>0</v>
      </c>
      <c r="V35" s="402" t="str">
        <f t="shared" si="10"/>
        <v/>
      </c>
      <c r="W35" s="52"/>
      <c r="X35" s="397">
        <f>IFERROR(VLOOKUP($C35,'Proposed Rates'!$B:$J,X$11,FALSE),0)</f>
        <v>0</v>
      </c>
      <c r="Y35" s="415">
        <f t="shared" si="30"/>
        <v>1</v>
      </c>
      <c r="Z35" s="400">
        <f t="shared" si="31"/>
        <v>0</v>
      </c>
      <c r="AA35" s="128"/>
      <c r="AB35" s="401">
        <f t="shared" si="13"/>
        <v>0</v>
      </c>
      <c r="AC35" s="402" t="str">
        <f t="shared" si="14"/>
        <v/>
      </c>
      <c r="AD35" s="52"/>
      <c r="AE35" s="397">
        <f>IFERROR(VLOOKUP($C35,'Proposed Rates'!$B:$J,AE$11,FALSE),0)</f>
        <v>0</v>
      </c>
      <c r="AF35" s="415">
        <f t="shared" si="32"/>
        <v>1</v>
      </c>
      <c r="AG35" s="400">
        <f t="shared" si="33"/>
        <v>0</v>
      </c>
      <c r="AH35" s="128"/>
      <c r="AI35" s="401">
        <f t="shared" si="17"/>
        <v>0</v>
      </c>
      <c r="AJ35" s="402" t="str">
        <f t="shared" si="18"/>
        <v/>
      </c>
      <c r="AK35" s="52"/>
      <c r="AL35" s="397">
        <f>IFERROR(VLOOKUP($C35,'Proposed Rates'!$B:$J,AL$11,FALSE),0)</f>
        <v>0</v>
      </c>
      <c r="AM35" s="415">
        <f t="shared" si="34"/>
        <v>1</v>
      </c>
      <c r="AN35" s="400">
        <f t="shared" si="35"/>
        <v>0</v>
      </c>
      <c r="AO35" s="128"/>
      <c r="AP35" s="401">
        <f t="shared" si="21"/>
        <v>0</v>
      </c>
      <c r="AQ35" s="402" t="str">
        <f t="shared" si="22"/>
        <v/>
      </c>
      <c r="AR35" s="403"/>
      <c r="AS35" s="403"/>
    </row>
    <row r="36" spans="1:45" ht="12.75" customHeight="1">
      <c r="A36" s="52"/>
      <c r="B36" s="320" t="s">
        <v>269</v>
      </c>
      <c r="C36" s="395" t="str">
        <f t="shared" si="23"/>
        <v>Street Light.Low Voltage Service Charge</v>
      </c>
      <c r="D36" s="396" t="s">
        <v>377</v>
      </c>
      <c r="E36" s="320"/>
      <c r="F36" s="418">
        <f>IFERROR(VLOOKUP($C36,'Proposed Rates'!$B:$J,F$11,FALSE),0)</f>
        <v>1.5640000000000001E-2</v>
      </c>
      <c r="G36" s="415">
        <f t="shared" si="24"/>
        <v>1</v>
      </c>
      <c r="H36" s="400">
        <f t="shared" si="25"/>
        <v>1.5640000000000001E-2</v>
      </c>
      <c r="I36" s="128"/>
      <c r="J36" s="418">
        <f>IFERROR(VLOOKUP($C36,'Proposed Rates'!$B:$J,J$11,FALSE),0)</f>
        <v>1.0999999999999999E-2</v>
      </c>
      <c r="K36" s="415">
        <f t="shared" si="26"/>
        <v>1</v>
      </c>
      <c r="L36" s="400">
        <f t="shared" si="27"/>
        <v>1.0999999999999999E-2</v>
      </c>
      <c r="M36" s="128"/>
      <c r="N36" s="401">
        <f t="shared" si="5"/>
        <v>-4.6400000000000018E-3</v>
      </c>
      <c r="O36" s="402">
        <f t="shared" si="6"/>
        <v>-0.29667519181585689</v>
      </c>
      <c r="P36" s="52"/>
      <c r="Q36" s="418">
        <f>IFERROR(VLOOKUP($C36,'Proposed Rates'!$B:$J,Q$11,FALSE),0)</f>
        <v>1.128E-2</v>
      </c>
      <c r="R36" s="415">
        <f t="shared" si="28"/>
        <v>1</v>
      </c>
      <c r="S36" s="400">
        <f t="shared" si="29"/>
        <v>1.128E-2</v>
      </c>
      <c r="T36" s="128"/>
      <c r="U36" s="401">
        <f t="shared" si="9"/>
        <v>2.8000000000000073E-4</v>
      </c>
      <c r="V36" s="402">
        <f t="shared" si="10"/>
        <v>2.5454545454545521E-2</v>
      </c>
      <c r="W36" s="52"/>
      <c r="X36" s="418">
        <f>IFERROR(VLOOKUP($C36,'Proposed Rates'!$B:$J,X$11,FALSE),0)</f>
        <v>1.1429999999999999E-2</v>
      </c>
      <c r="Y36" s="415">
        <f t="shared" si="30"/>
        <v>1</v>
      </c>
      <c r="Z36" s="400">
        <f t="shared" si="31"/>
        <v>1.1429999999999999E-2</v>
      </c>
      <c r="AA36" s="128"/>
      <c r="AB36" s="401">
        <f t="shared" si="13"/>
        <v>1.4999999999999909E-4</v>
      </c>
      <c r="AC36" s="402">
        <f t="shared" si="14"/>
        <v>1.329787234042545E-2</v>
      </c>
      <c r="AD36" s="52"/>
      <c r="AE36" s="418">
        <f>IFERROR(VLOOKUP($C36,'Proposed Rates'!$B:$J,AE$11,FALSE),0)</f>
        <v>1.162E-2</v>
      </c>
      <c r="AF36" s="415">
        <f t="shared" si="32"/>
        <v>1</v>
      </c>
      <c r="AG36" s="400">
        <f t="shared" si="33"/>
        <v>1.162E-2</v>
      </c>
      <c r="AH36" s="128"/>
      <c r="AI36" s="401">
        <f t="shared" si="17"/>
        <v>1.9000000000000093E-4</v>
      </c>
      <c r="AJ36" s="402">
        <f t="shared" si="18"/>
        <v>1.662292213473324E-2</v>
      </c>
      <c r="AK36" s="52"/>
      <c r="AL36" s="418">
        <f>IFERROR(VLOOKUP($C36,'Proposed Rates'!$B:$J,AL$11,FALSE),0)</f>
        <v>1.1820000000000001E-2</v>
      </c>
      <c r="AM36" s="415">
        <f t="shared" si="34"/>
        <v>1</v>
      </c>
      <c r="AN36" s="400">
        <f t="shared" si="35"/>
        <v>1.1820000000000001E-2</v>
      </c>
      <c r="AO36" s="128"/>
      <c r="AP36" s="401">
        <f t="shared" si="21"/>
        <v>2.0000000000000052E-4</v>
      </c>
      <c r="AQ36" s="402">
        <f t="shared" si="22"/>
        <v>1.7211703958691954E-2</v>
      </c>
      <c r="AR36" s="403"/>
      <c r="AS36" s="403"/>
    </row>
    <row r="37" spans="1:45" ht="12.75" customHeight="1">
      <c r="A37" s="52"/>
      <c r="B37" s="320" t="s">
        <v>312</v>
      </c>
      <c r="C37" s="395" t="str">
        <f t="shared" si="23"/>
        <v>Street Light.Line Losses on Cost of Power</v>
      </c>
      <c r="D37" s="396" t="s">
        <v>308</v>
      </c>
      <c r="E37" s="320"/>
      <c r="F37" s="420">
        <f>F46</f>
        <v>0.1045</v>
      </c>
      <c r="G37" s="507">
        <f>$F$9*(1+F$65)-$F$9</f>
        <v>5.0700000000000216</v>
      </c>
      <c r="H37" s="400">
        <f t="shared" si="25"/>
        <v>0.52981500000000226</v>
      </c>
      <c r="I37" s="128"/>
      <c r="J37" s="420">
        <f>J46</f>
        <v>0.1045</v>
      </c>
      <c r="K37" s="507">
        <f>$F$9*(1+J$65)-$F$9</f>
        <v>4.9799999999999898</v>
      </c>
      <c r="L37" s="400">
        <f t="shared" si="27"/>
        <v>0.52040999999999893</v>
      </c>
      <c r="M37" s="128"/>
      <c r="N37" s="401">
        <f t="shared" si="5"/>
        <v>-9.4050000000033274E-3</v>
      </c>
      <c r="O37" s="402">
        <f t="shared" si="6"/>
        <v>-1.7751479289947032E-2</v>
      </c>
      <c r="P37" s="52"/>
      <c r="Q37" s="420">
        <f>Q46</f>
        <v>0.1045</v>
      </c>
      <c r="R37" s="507">
        <f>$F$9*(1+Q$65)-$F$9</f>
        <v>4.9799999999999898</v>
      </c>
      <c r="S37" s="400">
        <f t="shared" si="29"/>
        <v>0.52040999999999893</v>
      </c>
      <c r="T37" s="128"/>
      <c r="U37" s="401">
        <f t="shared" si="9"/>
        <v>0</v>
      </c>
      <c r="V37" s="402">
        <f t="shared" si="10"/>
        <v>0</v>
      </c>
      <c r="W37" s="52"/>
      <c r="X37" s="420">
        <f>X46</f>
        <v>0.1045</v>
      </c>
      <c r="Y37" s="507">
        <f>$F$9*(1+X$65)-$F$9</f>
        <v>4.9799999999999898</v>
      </c>
      <c r="Z37" s="400">
        <f t="shared" si="31"/>
        <v>0.52040999999999893</v>
      </c>
      <c r="AA37" s="128"/>
      <c r="AB37" s="401">
        <f t="shared" si="13"/>
        <v>0</v>
      </c>
      <c r="AC37" s="402">
        <f t="shared" si="14"/>
        <v>0</v>
      </c>
      <c r="AD37" s="52"/>
      <c r="AE37" s="420">
        <f>AE46</f>
        <v>0.1045</v>
      </c>
      <c r="AF37" s="507">
        <f>$F$9*(1+AE$65)-$F$9</f>
        <v>4.9799999999999898</v>
      </c>
      <c r="AG37" s="400">
        <f t="shared" si="33"/>
        <v>0.52040999999999893</v>
      </c>
      <c r="AH37" s="128"/>
      <c r="AI37" s="401">
        <f t="shared" si="17"/>
        <v>0</v>
      </c>
      <c r="AJ37" s="402">
        <f t="shared" si="18"/>
        <v>0</v>
      </c>
      <c r="AK37" s="52"/>
      <c r="AL37" s="420">
        <f>AL46</f>
        <v>0.1045</v>
      </c>
      <c r="AM37" s="507">
        <f>$F$9*(1+AL$65)-$F$9</f>
        <v>4.9799999999999898</v>
      </c>
      <c r="AN37" s="400">
        <f t="shared" si="35"/>
        <v>0.52040999999999893</v>
      </c>
      <c r="AO37" s="128"/>
      <c r="AP37" s="401">
        <f t="shared" si="21"/>
        <v>0</v>
      </c>
      <c r="AQ37" s="402">
        <f t="shared" si="22"/>
        <v>0</v>
      </c>
      <c r="AR37" s="403"/>
      <c r="AS37" s="403"/>
    </row>
    <row r="38" spans="1:45" ht="12.75" customHeight="1">
      <c r="A38" s="52"/>
      <c r="B38" s="320" t="s">
        <v>271</v>
      </c>
      <c r="C38" s="395" t="str">
        <f t="shared" si="23"/>
        <v>Street Light.Smart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5"/>
        <v>0</v>
      </c>
      <c r="O38" s="402" t="str">
        <f t="shared" si="6"/>
        <v/>
      </c>
      <c r="P38" s="52"/>
      <c r="Q38" s="414">
        <f>IFERROR(VLOOKUP($C38,'Proposed Rates'!$B:$J,Q$11,FALSE),0)</f>
        <v>0</v>
      </c>
      <c r="R38" s="415">
        <f>IF($D38="Monthly",1,IF($D38="per KW",$F$10,IF($D38="per kWh",$F$9,0)))</f>
        <v>1</v>
      </c>
      <c r="S38" s="400">
        <f t="shared" si="29"/>
        <v>0</v>
      </c>
      <c r="T38" s="128"/>
      <c r="U38" s="401">
        <f t="shared" si="9"/>
        <v>0</v>
      </c>
      <c r="V38" s="402" t="str">
        <f t="shared" si="10"/>
        <v/>
      </c>
      <c r="W38" s="52"/>
      <c r="X38" s="414">
        <f>IFERROR(VLOOKUP($C38,'Proposed Rates'!$B:$J,X$11,FALSE),0)</f>
        <v>0</v>
      </c>
      <c r="Y38" s="415">
        <f>IF($D38="Monthly",1,IF($D38="per KW",$F$10,IF($D38="per kWh",$F$9,0)))</f>
        <v>1</v>
      </c>
      <c r="Z38" s="400">
        <f t="shared" si="31"/>
        <v>0</v>
      </c>
      <c r="AA38" s="128"/>
      <c r="AB38" s="401">
        <f t="shared" si="13"/>
        <v>0</v>
      </c>
      <c r="AC38" s="402" t="str">
        <f t="shared" si="14"/>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21"/>
        <v>0</v>
      </c>
      <c r="AQ38" s="402" t="str">
        <f t="shared" si="22"/>
        <v/>
      </c>
      <c r="AR38" s="403"/>
      <c r="AS38" s="403"/>
    </row>
    <row r="39" spans="1:45" ht="12.75" customHeight="1">
      <c r="A39" s="52"/>
      <c r="B39" s="405" t="s">
        <v>313</v>
      </c>
      <c r="C39" s="559"/>
      <c r="D39" s="422"/>
      <c r="E39" s="422"/>
      <c r="F39" s="423"/>
      <c r="G39" s="501"/>
      <c r="H39" s="409">
        <f>SUM(H30:H38)+H29</f>
        <v>15.030355000000002</v>
      </c>
      <c r="I39" s="425"/>
      <c r="J39" s="423"/>
      <c r="K39" s="501"/>
      <c r="L39" s="409">
        <f>SUM(L30:L38)+L29</f>
        <v>14.88531</v>
      </c>
      <c r="M39" s="425"/>
      <c r="N39" s="411">
        <f t="shared" si="5"/>
        <v>-0.14504500000000142</v>
      </c>
      <c r="O39" s="412">
        <f t="shared" si="6"/>
        <v>-9.6501380040592121E-3</v>
      </c>
      <c r="P39" s="52"/>
      <c r="Q39" s="423"/>
      <c r="R39" s="501"/>
      <c r="S39" s="409">
        <f>SUM(S30:S38)+S29</f>
        <v>10.187489999999999</v>
      </c>
      <c r="T39" s="425"/>
      <c r="U39" s="411">
        <f t="shared" si="9"/>
        <v>-4.6978200000000019</v>
      </c>
      <c r="V39" s="412">
        <f t="shared" si="10"/>
        <v>-0.31560108590281305</v>
      </c>
      <c r="W39" s="52"/>
      <c r="X39" s="423"/>
      <c r="Y39" s="501"/>
      <c r="Z39" s="409">
        <f>SUM(Z30:Z38)+Z29</f>
        <v>10.731439999999999</v>
      </c>
      <c r="AA39" s="425"/>
      <c r="AB39" s="411">
        <f t="shared" si="13"/>
        <v>0.5439500000000006</v>
      </c>
      <c r="AC39" s="412">
        <f t="shared" si="14"/>
        <v>5.3393917441882217E-2</v>
      </c>
      <c r="AD39" s="52"/>
      <c r="AE39" s="423"/>
      <c r="AF39" s="501"/>
      <c r="AG39" s="409">
        <f>SUM(AG30:AG38)+AG29</f>
        <v>10.856929999999998</v>
      </c>
      <c r="AH39" s="425"/>
      <c r="AI39" s="411">
        <f t="shared" si="17"/>
        <v>0.12548999999999921</v>
      </c>
      <c r="AJ39" s="412">
        <f t="shared" si="18"/>
        <v>1.169367764251575E-2</v>
      </c>
      <c r="AK39" s="52"/>
      <c r="AL39" s="423"/>
      <c r="AM39" s="501"/>
      <c r="AN39" s="409">
        <f>SUM(AN30:AN38)+AN29</f>
        <v>11.369729999999999</v>
      </c>
      <c r="AO39" s="425"/>
      <c r="AP39" s="411">
        <f t="shared" si="21"/>
        <v>0.51280000000000037</v>
      </c>
      <c r="AQ39" s="412">
        <f t="shared" si="22"/>
        <v>4.7232504953057676E-2</v>
      </c>
      <c r="AR39" s="413"/>
      <c r="AS39" s="413"/>
    </row>
    <row r="40" spans="1:45" ht="12.75" customHeight="1">
      <c r="A40" s="52"/>
      <c r="B40" s="128" t="s">
        <v>255</v>
      </c>
      <c r="C40" s="395" t="str">
        <f t="shared" ref="C40:C41" si="36">D$6&amp;"."&amp;B40</f>
        <v>Street Light.RTSR - Network</v>
      </c>
      <c r="D40" s="426" t="s">
        <v>377</v>
      </c>
      <c r="E40" s="128"/>
      <c r="F40" s="414">
        <f>IFERROR(VLOOKUP($C40,'Proposed Rates'!$B:$J,F$11,FALSE),0)</f>
        <v>3.597</v>
      </c>
      <c r="G40" s="415">
        <f t="shared" ref="G40:G41" si="37">IF($D40="Monthly",1,IF($D40="per KW",$F$10,IF($D40="per kWh",$F$9,0)))</f>
        <v>1</v>
      </c>
      <c r="H40" s="400">
        <f t="shared" ref="H40:H41" si="38">G40*F40</f>
        <v>3.597</v>
      </c>
      <c r="I40" s="128"/>
      <c r="J40" s="414">
        <f>IFERROR(VLOOKUP($C40,'Proposed Rates'!$B:$J,J$11,FALSE),0)</f>
        <v>2.1576</v>
      </c>
      <c r="K40" s="415">
        <f t="shared" ref="K40:K41" si="39">IF($D40="Monthly",1,IF($D40="per KW",$F$10,IF($D40="per kWh",$F$9,0)))</f>
        <v>1</v>
      </c>
      <c r="L40" s="400">
        <f t="shared" ref="L40:L41" si="40">K40*J40</f>
        <v>2.1576</v>
      </c>
      <c r="M40" s="128"/>
      <c r="N40" s="401">
        <f t="shared" si="5"/>
        <v>-1.4394</v>
      </c>
      <c r="O40" s="402">
        <f t="shared" si="6"/>
        <v>-0.40016680567139284</v>
      </c>
      <c r="P40" s="52"/>
      <c r="Q40" s="414">
        <f>IFERROR(VLOOKUP($C40,'Proposed Rates'!$B:$J,Q$11,FALSE),0)</f>
        <v>2.1576</v>
      </c>
      <c r="R40" s="415">
        <f t="shared" ref="R40:R41" si="41">IF($D40="Monthly",1,IF($D40="per KW",$F$10,IF($D40="per kWh",$F$9,0)))</f>
        <v>1</v>
      </c>
      <c r="S40" s="400">
        <f t="shared" ref="S40:S41" si="42">R40*Q40</f>
        <v>2.1576</v>
      </c>
      <c r="T40" s="128"/>
      <c r="U40" s="401">
        <f t="shared" si="9"/>
        <v>0</v>
      </c>
      <c r="V40" s="402">
        <f t="shared" si="10"/>
        <v>0</v>
      </c>
      <c r="W40" s="52"/>
      <c r="X40" s="414">
        <f>IFERROR(VLOOKUP($C40,'Proposed Rates'!$B:$J,X$11,FALSE),0)</f>
        <v>2.1576</v>
      </c>
      <c r="Y40" s="415">
        <f t="shared" ref="Y40:Y41" si="43">IF($D40="Monthly",1,IF($D40="per KW",$F$10,IF($D40="per kWh",$F$9,0)))</f>
        <v>1</v>
      </c>
      <c r="Z40" s="400">
        <f t="shared" ref="Z40:Z41" si="44">Y40*X40</f>
        <v>2.1576</v>
      </c>
      <c r="AA40" s="128"/>
      <c r="AB40" s="401">
        <f t="shared" si="13"/>
        <v>0</v>
      </c>
      <c r="AC40" s="402">
        <f t="shared" si="14"/>
        <v>0</v>
      </c>
      <c r="AD40" s="52"/>
      <c r="AE40" s="414">
        <f>IFERROR(VLOOKUP($C40,'Proposed Rates'!$B:$J,AE$11,FALSE),0)</f>
        <v>2.1576</v>
      </c>
      <c r="AF40" s="415">
        <f t="shared" ref="AF40:AF41" si="45">IF($D40="Monthly",1,IF($D40="per KW",$F$10,IF($D40="per kWh",$F$9,0)))</f>
        <v>1</v>
      </c>
      <c r="AG40" s="400">
        <f t="shared" ref="AG40:AG41" si="46">AF40*AE40</f>
        <v>2.1576</v>
      </c>
      <c r="AH40" s="128"/>
      <c r="AI40" s="401">
        <f t="shared" si="17"/>
        <v>0</v>
      </c>
      <c r="AJ40" s="402">
        <f t="shared" si="18"/>
        <v>0</v>
      </c>
      <c r="AK40" s="52"/>
      <c r="AL40" s="414">
        <f>IFERROR(VLOOKUP($C40,'Proposed Rates'!$B:$J,AL$11,FALSE),0)</f>
        <v>2.1576</v>
      </c>
      <c r="AM40" s="415">
        <f t="shared" ref="AM40:AM41" si="47">IF($D40="Monthly",1,IF($D40="per KW",$F$10,IF($D40="per kWh",$F$9,0)))</f>
        <v>1</v>
      </c>
      <c r="AN40" s="400">
        <f t="shared" ref="AN40:AN41" si="48">AM40*AL40</f>
        <v>2.1576</v>
      </c>
      <c r="AO40" s="128"/>
      <c r="AP40" s="401">
        <f t="shared" si="21"/>
        <v>0</v>
      </c>
      <c r="AQ40" s="402">
        <f t="shared" si="22"/>
        <v>0</v>
      </c>
      <c r="AR40" s="403"/>
      <c r="AS40" s="403"/>
    </row>
    <row r="41" spans="1:45" ht="12.75" customHeight="1">
      <c r="A41" s="52"/>
      <c r="B41" s="128" t="s">
        <v>256</v>
      </c>
      <c r="C41" s="395" t="str">
        <f t="shared" si="36"/>
        <v>Street Light.RTSR - Line and Transformation Connection</v>
      </c>
      <c r="D41" s="426" t="s">
        <v>377</v>
      </c>
      <c r="E41" s="128"/>
      <c r="F41" s="414">
        <f>IFERROR(VLOOKUP($C41,'Proposed Rates'!$B:$J,F$11,FALSE),0)</f>
        <v>2.1377000000000002</v>
      </c>
      <c r="G41" s="415">
        <f t="shared" si="37"/>
        <v>1</v>
      </c>
      <c r="H41" s="400">
        <f t="shared" si="38"/>
        <v>2.1377000000000002</v>
      </c>
      <c r="I41" s="128"/>
      <c r="J41" s="414">
        <f>IFERROR(VLOOKUP($C41,'Proposed Rates'!$B:$J,J$11,FALSE),0)</f>
        <v>1.2213000000000001</v>
      </c>
      <c r="K41" s="415">
        <f t="shared" si="39"/>
        <v>1</v>
      </c>
      <c r="L41" s="400">
        <f t="shared" si="40"/>
        <v>1.2213000000000001</v>
      </c>
      <c r="M41" s="128"/>
      <c r="N41" s="401">
        <f t="shared" si="5"/>
        <v>-0.9164000000000001</v>
      </c>
      <c r="O41" s="402">
        <f t="shared" si="6"/>
        <v>-0.4286850353183328</v>
      </c>
      <c r="P41" s="52"/>
      <c r="Q41" s="414">
        <f>IFERROR(VLOOKUP($C41,'Proposed Rates'!$B:$J,Q$11,FALSE),0)</f>
        <v>1.2213000000000001</v>
      </c>
      <c r="R41" s="415">
        <f t="shared" si="41"/>
        <v>1</v>
      </c>
      <c r="S41" s="400">
        <f t="shared" si="42"/>
        <v>1.2213000000000001</v>
      </c>
      <c r="T41" s="128"/>
      <c r="U41" s="401">
        <f t="shared" si="9"/>
        <v>0</v>
      </c>
      <c r="V41" s="402">
        <f t="shared" si="10"/>
        <v>0</v>
      </c>
      <c r="W41" s="52"/>
      <c r="X41" s="414">
        <f>IFERROR(VLOOKUP($C41,'Proposed Rates'!$B:$J,X$11,FALSE),0)</f>
        <v>1.2213000000000001</v>
      </c>
      <c r="Y41" s="415">
        <f t="shared" si="43"/>
        <v>1</v>
      </c>
      <c r="Z41" s="400">
        <f t="shared" si="44"/>
        <v>1.2213000000000001</v>
      </c>
      <c r="AA41" s="128"/>
      <c r="AB41" s="401">
        <f t="shared" si="13"/>
        <v>0</v>
      </c>
      <c r="AC41" s="402">
        <f t="shared" si="14"/>
        <v>0</v>
      </c>
      <c r="AD41" s="52"/>
      <c r="AE41" s="414">
        <f>IFERROR(VLOOKUP($C41,'Proposed Rates'!$B:$J,AE$11,FALSE),0)</f>
        <v>1.2213000000000001</v>
      </c>
      <c r="AF41" s="415">
        <f t="shared" si="45"/>
        <v>1</v>
      </c>
      <c r="AG41" s="400">
        <f t="shared" si="46"/>
        <v>1.2213000000000001</v>
      </c>
      <c r="AH41" s="128"/>
      <c r="AI41" s="401">
        <f t="shared" si="17"/>
        <v>0</v>
      </c>
      <c r="AJ41" s="402">
        <f t="shared" si="18"/>
        <v>0</v>
      </c>
      <c r="AK41" s="52"/>
      <c r="AL41" s="414">
        <f>IFERROR(VLOOKUP($C41,'Proposed Rates'!$B:$J,AL$11,FALSE),0)</f>
        <v>1.2213000000000001</v>
      </c>
      <c r="AM41" s="415">
        <f t="shared" si="47"/>
        <v>1</v>
      </c>
      <c r="AN41" s="400">
        <f t="shared" si="48"/>
        <v>1.2213000000000001</v>
      </c>
      <c r="AO41" s="128"/>
      <c r="AP41" s="401">
        <f t="shared" si="21"/>
        <v>0</v>
      </c>
      <c r="AQ41" s="402">
        <f t="shared" si="22"/>
        <v>0</v>
      </c>
      <c r="AR41" s="403"/>
      <c r="AS41" s="403"/>
    </row>
    <row r="42" spans="1:45" ht="12.75" customHeight="1">
      <c r="A42" s="52"/>
      <c r="B42" s="405" t="s">
        <v>314</v>
      </c>
      <c r="C42" s="560"/>
      <c r="D42" s="427"/>
      <c r="E42" s="427"/>
      <c r="F42" s="428"/>
      <c r="G42" s="501"/>
      <c r="H42" s="409">
        <f>SUM(H39:H41)</f>
        <v>20.765055</v>
      </c>
      <c r="I42" s="410"/>
      <c r="J42" s="428"/>
      <c r="K42" s="501"/>
      <c r="L42" s="409">
        <f>SUM(L39:L41)</f>
        <v>18.264209999999999</v>
      </c>
      <c r="M42" s="410"/>
      <c r="N42" s="411">
        <f t="shared" si="5"/>
        <v>-2.5008450000000018</v>
      </c>
      <c r="O42" s="412">
        <f t="shared" si="6"/>
        <v>-0.12043526973562081</v>
      </c>
      <c r="P42" s="52"/>
      <c r="Q42" s="428"/>
      <c r="R42" s="501"/>
      <c r="S42" s="409">
        <f>SUM(S39:S41)</f>
        <v>13.566389999999998</v>
      </c>
      <c r="T42" s="410"/>
      <c r="U42" s="411">
        <f t="shared" si="9"/>
        <v>-4.6978200000000001</v>
      </c>
      <c r="V42" s="412">
        <f t="shared" si="10"/>
        <v>-0.25721451954396057</v>
      </c>
      <c r="W42" s="52"/>
      <c r="X42" s="428"/>
      <c r="Y42" s="501"/>
      <c r="Z42" s="409">
        <f>SUM(Z39:Z41)</f>
        <v>14.110339999999999</v>
      </c>
      <c r="AA42" s="410"/>
      <c r="AB42" s="411">
        <f t="shared" si="13"/>
        <v>0.5439500000000006</v>
      </c>
      <c r="AC42" s="412">
        <f t="shared" si="14"/>
        <v>4.0095412265164179E-2</v>
      </c>
      <c r="AD42" s="52"/>
      <c r="AE42" s="428"/>
      <c r="AF42" s="501"/>
      <c r="AG42" s="409">
        <f>SUM(AG39:AG41)</f>
        <v>14.235829999999998</v>
      </c>
      <c r="AH42" s="410"/>
      <c r="AI42" s="411">
        <f t="shared" si="17"/>
        <v>0.12548999999999921</v>
      </c>
      <c r="AJ42" s="412">
        <f t="shared" si="18"/>
        <v>8.8934781160481761E-3</v>
      </c>
      <c r="AK42" s="52"/>
      <c r="AL42" s="428"/>
      <c r="AM42" s="501"/>
      <c r="AN42" s="409">
        <f>SUM(AN39:AN41)</f>
        <v>14.748629999999999</v>
      </c>
      <c r="AO42" s="410"/>
      <c r="AP42" s="411">
        <f t="shared" si="21"/>
        <v>0.51280000000000037</v>
      </c>
      <c r="AQ42" s="412">
        <f t="shared" si="22"/>
        <v>3.6021784469187988E-2</v>
      </c>
      <c r="AR42" s="413"/>
      <c r="AS42" s="413"/>
    </row>
    <row r="43" spans="1:45" ht="12.75" customHeight="1">
      <c r="A43" s="52"/>
      <c r="B43" s="320" t="s">
        <v>257</v>
      </c>
      <c r="C43" s="395" t="str">
        <f t="shared" ref="C43:C45" si="49">D$6&amp;"."&amp;B43</f>
        <v>Street Light.Wholesale Market Service Charge (WMSC)</v>
      </c>
      <c r="D43" s="396" t="s">
        <v>308</v>
      </c>
      <c r="E43" s="320"/>
      <c r="F43" s="414">
        <f>IFERROR(VLOOKUP($C43,'Proposed Rates'!$B:$J,F$11,FALSE),0)</f>
        <v>4.4999999999999997E-3</v>
      </c>
      <c r="G43" s="574">
        <f t="shared" ref="G43:G44" si="50">$F$9+G$37</f>
        <v>155.07000000000002</v>
      </c>
      <c r="H43" s="400">
        <f t="shared" ref="H43:H46" si="51">G43*F43</f>
        <v>0.69781500000000007</v>
      </c>
      <c r="I43" s="128"/>
      <c r="J43" s="414">
        <f>IFERROR(VLOOKUP($C43,'Proposed Rates'!$B:$J,J$11,FALSE),0)</f>
        <v>4.4999999999999997E-3</v>
      </c>
      <c r="K43" s="574">
        <f t="shared" ref="K43:K44" si="52">$F$9+K$37</f>
        <v>154.97999999999999</v>
      </c>
      <c r="L43" s="400">
        <f t="shared" ref="L43:L46" si="53">K43*J43</f>
        <v>0.69740999999999986</v>
      </c>
      <c r="M43" s="128"/>
      <c r="N43" s="401">
        <f t="shared" si="5"/>
        <v>-4.0500000000021075E-4</v>
      </c>
      <c r="O43" s="402">
        <f t="shared" si="6"/>
        <v>-5.8038305281515976E-4</v>
      </c>
      <c r="P43" s="52"/>
      <c r="Q43" s="414">
        <f>IFERROR(VLOOKUP($C43,'Proposed Rates'!$B:$J,Q$11,FALSE),0)</f>
        <v>4.4999999999999997E-3</v>
      </c>
      <c r="R43" s="574">
        <f t="shared" ref="R43:R44" si="54">$F$9+R$37</f>
        <v>154.97999999999999</v>
      </c>
      <c r="S43" s="400">
        <f t="shared" ref="S43:S46" si="55">R43*Q43</f>
        <v>0.69740999999999986</v>
      </c>
      <c r="T43" s="128"/>
      <c r="U43" s="401">
        <f t="shared" si="9"/>
        <v>0</v>
      </c>
      <c r="V43" s="402">
        <f t="shared" si="10"/>
        <v>0</v>
      </c>
      <c r="W43" s="52"/>
      <c r="X43" s="414">
        <f>IFERROR(VLOOKUP($C43,'Proposed Rates'!$B:$J,X$11,FALSE),0)</f>
        <v>4.4999999999999997E-3</v>
      </c>
      <c r="Y43" s="574">
        <f t="shared" ref="Y43:Y44" si="56">$F$9+Y$37</f>
        <v>154.97999999999999</v>
      </c>
      <c r="Z43" s="400">
        <f t="shared" ref="Z43:Z46" si="57">Y43*X43</f>
        <v>0.69740999999999986</v>
      </c>
      <c r="AA43" s="128"/>
      <c r="AB43" s="401">
        <f t="shared" si="13"/>
        <v>0</v>
      </c>
      <c r="AC43" s="402">
        <f t="shared" si="14"/>
        <v>0</v>
      </c>
      <c r="AD43" s="52"/>
      <c r="AE43" s="414">
        <f>IFERROR(VLOOKUP($C43,'Proposed Rates'!$B:$J,AE$11,FALSE),0)</f>
        <v>4.4999999999999997E-3</v>
      </c>
      <c r="AF43" s="574">
        <f t="shared" ref="AF43:AF44" si="58">$F$9+AF$37</f>
        <v>154.97999999999999</v>
      </c>
      <c r="AG43" s="400">
        <f t="shared" ref="AG43:AG46" si="59">AF43*AE43</f>
        <v>0.69740999999999986</v>
      </c>
      <c r="AH43" s="128"/>
      <c r="AI43" s="401">
        <f t="shared" si="17"/>
        <v>0</v>
      </c>
      <c r="AJ43" s="402">
        <f t="shared" si="18"/>
        <v>0</v>
      </c>
      <c r="AK43" s="52"/>
      <c r="AL43" s="414">
        <f>IFERROR(VLOOKUP($C43,'Proposed Rates'!$B:$J,AL$11,FALSE),0)</f>
        <v>4.4999999999999997E-3</v>
      </c>
      <c r="AM43" s="574">
        <f t="shared" ref="AM43:AM44" si="60">$F$9+AM$37</f>
        <v>154.97999999999999</v>
      </c>
      <c r="AN43" s="400">
        <f t="shared" ref="AN43:AN46" si="61">AM43*AL43</f>
        <v>0.69740999999999986</v>
      </c>
      <c r="AO43" s="128"/>
      <c r="AP43" s="401">
        <f t="shared" si="21"/>
        <v>0</v>
      </c>
      <c r="AQ43" s="402">
        <f t="shared" si="22"/>
        <v>0</v>
      </c>
      <c r="AR43" s="403"/>
      <c r="AS43" s="403"/>
    </row>
    <row r="44" spans="1:45" ht="12.75" customHeight="1">
      <c r="A44" s="52"/>
      <c r="B44" s="320" t="s">
        <v>258</v>
      </c>
      <c r="C44" s="395" t="str">
        <f t="shared" si="49"/>
        <v>Street Light.Rural and Remote Rate Protection (RRRP)</v>
      </c>
      <c r="D44" s="396" t="s">
        <v>308</v>
      </c>
      <c r="E44" s="320"/>
      <c r="F44" s="414">
        <f>IFERROR(VLOOKUP($C44,'Proposed Rates'!$B:$J,F$11,FALSE),0)</f>
        <v>1.5E-3</v>
      </c>
      <c r="G44" s="574">
        <f t="shared" si="50"/>
        <v>155.07000000000002</v>
      </c>
      <c r="H44" s="400">
        <f t="shared" si="51"/>
        <v>0.23260500000000003</v>
      </c>
      <c r="I44" s="128"/>
      <c r="J44" s="414">
        <f>IFERROR(VLOOKUP($C44,'Proposed Rates'!$B:$J,J$11,FALSE),0)</f>
        <v>1.5E-3</v>
      </c>
      <c r="K44" s="574">
        <f t="shared" si="52"/>
        <v>154.97999999999999</v>
      </c>
      <c r="L44" s="400">
        <f t="shared" si="53"/>
        <v>0.23246999999999998</v>
      </c>
      <c r="M44" s="128"/>
      <c r="N44" s="401">
        <f t="shared" si="5"/>
        <v>-1.3500000000005175E-4</v>
      </c>
      <c r="O44" s="402">
        <f t="shared" si="6"/>
        <v>-5.8038305281508018E-4</v>
      </c>
      <c r="P44" s="52"/>
      <c r="Q44" s="414">
        <f>IFERROR(VLOOKUP($C44,'Proposed Rates'!$B:$J,Q$11,FALSE),0)</f>
        <v>1.5E-3</v>
      </c>
      <c r="R44" s="574">
        <f t="shared" si="54"/>
        <v>154.97999999999999</v>
      </c>
      <c r="S44" s="400">
        <f t="shared" si="55"/>
        <v>0.23246999999999998</v>
      </c>
      <c r="T44" s="128"/>
      <c r="U44" s="401">
        <f t="shared" si="9"/>
        <v>0</v>
      </c>
      <c r="V44" s="402">
        <f t="shared" si="10"/>
        <v>0</v>
      </c>
      <c r="W44" s="52"/>
      <c r="X44" s="414">
        <f>IFERROR(VLOOKUP($C44,'Proposed Rates'!$B:$J,X$11,FALSE),0)</f>
        <v>1.5E-3</v>
      </c>
      <c r="Y44" s="574">
        <f t="shared" si="56"/>
        <v>154.97999999999999</v>
      </c>
      <c r="Z44" s="400">
        <f t="shared" si="57"/>
        <v>0.23246999999999998</v>
      </c>
      <c r="AA44" s="128"/>
      <c r="AB44" s="401">
        <f t="shared" si="13"/>
        <v>0</v>
      </c>
      <c r="AC44" s="402">
        <f t="shared" si="14"/>
        <v>0</v>
      </c>
      <c r="AD44" s="52"/>
      <c r="AE44" s="414">
        <f>IFERROR(VLOOKUP($C44,'Proposed Rates'!$B:$J,AE$11,FALSE),0)</f>
        <v>1.5E-3</v>
      </c>
      <c r="AF44" s="574">
        <f t="shared" si="58"/>
        <v>154.97999999999999</v>
      </c>
      <c r="AG44" s="400">
        <f t="shared" si="59"/>
        <v>0.23246999999999998</v>
      </c>
      <c r="AH44" s="128"/>
      <c r="AI44" s="401">
        <f t="shared" si="17"/>
        <v>0</v>
      </c>
      <c r="AJ44" s="402">
        <f t="shared" si="18"/>
        <v>0</v>
      </c>
      <c r="AK44" s="52"/>
      <c r="AL44" s="414">
        <f>IFERROR(VLOOKUP($C44,'Proposed Rates'!$B:$J,AL$11,FALSE),0)</f>
        <v>1.5E-3</v>
      </c>
      <c r="AM44" s="574">
        <f t="shared" si="60"/>
        <v>154.97999999999999</v>
      </c>
      <c r="AN44" s="400">
        <f t="shared" si="61"/>
        <v>0.23246999999999998</v>
      </c>
      <c r="AO44" s="128"/>
      <c r="AP44" s="401">
        <f t="shared" si="21"/>
        <v>0</v>
      </c>
      <c r="AQ44" s="402">
        <f t="shared" si="22"/>
        <v>0</v>
      </c>
      <c r="AR44" s="403"/>
      <c r="AS44" s="403"/>
    </row>
    <row r="45" spans="1:45" ht="12.75" customHeight="1">
      <c r="A45" s="52"/>
      <c r="B45" s="320" t="s">
        <v>260</v>
      </c>
      <c r="C45" s="395" t="str">
        <f t="shared" si="49"/>
        <v>Street Light.Standard Supply Service Charge</v>
      </c>
      <c r="D45" s="396" t="s">
        <v>306</v>
      </c>
      <c r="E45" s="320"/>
      <c r="F45" s="414">
        <f>IFERROR(VLOOKUP($C45,'Proposed Rates'!$B:$J,F$11,FALSE),0)</f>
        <v>0.25</v>
      </c>
      <c r="G45" s="417">
        <v>1</v>
      </c>
      <c r="H45" s="400">
        <f t="shared" si="51"/>
        <v>0.25</v>
      </c>
      <c r="I45" s="128"/>
      <c r="J45" s="414">
        <f>IFERROR(VLOOKUP($C45,'Proposed Rates'!$B:$J,J$11,FALSE),0)</f>
        <v>1.51</v>
      </c>
      <c r="K45" s="417">
        <v>1</v>
      </c>
      <c r="L45" s="400">
        <f t="shared" si="53"/>
        <v>1.51</v>
      </c>
      <c r="M45" s="128"/>
      <c r="N45" s="401">
        <f t="shared" si="5"/>
        <v>1.26</v>
      </c>
      <c r="O45" s="402">
        <f t="shared" si="6"/>
        <v>5.04</v>
      </c>
      <c r="P45" s="52"/>
      <c r="Q45" s="414">
        <f>IFERROR(VLOOKUP($C45,'Proposed Rates'!$B:$J,Q$11,FALSE),0)</f>
        <v>1.54</v>
      </c>
      <c r="R45" s="417">
        <v>1</v>
      </c>
      <c r="S45" s="400">
        <f t="shared" si="55"/>
        <v>1.54</v>
      </c>
      <c r="T45" s="128"/>
      <c r="U45" s="401">
        <f t="shared" si="9"/>
        <v>3.0000000000000027E-2</v>
      </c>
      <c r="V45" s="402">
        <f t="shared" si="10"/>
        <v>1.986754966887419E-2</v>
      </c>
      <c r="W45" s="52"/>
      <c r="X45" s="414">
        <f>IFERROR(VLOOKUP($C45,'Proposed Rates'!$B:$J,X$11,FALSE),0)</f>
        <v>1.57</v>
      </c>
      <c r="Y45" s="417">
        <v>1</v>
      </c>
      <c r="Z45" s="400">
        <f t="shared" si="57"/>
        <v>1.57</v>
      </c>
      <c r="AA45" s="128"/>
      <c r="AB45" s="401">
        <f t="shared" si="13"/>
        <v>3.0000000000000027E-2</v>
      </c>
      <c r="AC45" s="402">
        <f t="shared" si="14"/>
        <v>1.9480519480519497E-2</v>
      </c>
      <c r="AD45" s="52"/>
      <c r="AE45" s="414">
        <f>IFERROR(VLOOKUP($C45,'Proposed Rates'!$B:$J,AE$11,FALSE),0)</f>
        <v>1.6</v>
      </c>
      <c r="AF45" s="417">
        <v>1</v>
      </c>
      <c r="AG45" s="400">
        <f t="shared" si="59"/>
        <v>1.6</v>
      </c>
      <c r="AH45" s="128"/>
      <c r="AI45" s="401">
        <f t="shared" si="17"/>
        <v>3.0000000000000027E-2</v>
      </c>
      <c r="AJ45" s="402">
        <f t="shared" si="18"/>
        <v>1.9108280254777087E-2</v>
      </c>
      <c r="AK45" s="52"/>
      <c r="AL45" s="414">
        <f>IFERROR(VLOOKUP($C45,'Proposed Rates'!$B:$J,AL$11,FALSE),0)</f>
        <v>1.63</v>
      </c>
      <c r="AM45" s="417">
        <v>1</v>
      </c>
      <c r="AN45" s="400">
        <f t="shared" si="61"/>
        <v>1.63</v>
      </c>
      <c r="AO45" s="128"/>
      <c r="AP45" s="401">
        <f t="shared" si="21"/>
        <v>2.9999999999999805E-2</v>
      </c>
      <c r="AQ45" s="402">
        <f t="shared" si="22"/>
        <v>1.8749999999999878E-2</v>
      </c>
      <c r="AR45" s="403"/>
      <c r="AS45" s="403"/>
    </row>
    <row r="46" spans="1:45" ht="15.75" customHeight="1">
      <c r="A46" s="52"/>
      <c r="B46" s="320" t="s">
        <v>267</v>
      </c>
      <c r="C46" s="395" t="str">
        <f>B46</f>
        <v>Average IESO Wholesale Market Price</v>
      </c>
      <c r="D46" s="396" t="s">
        <v>308</v>
      </c>
      <c r="E46" s="320"/>
      <c r="F46" s="414">
        <f>IFERROR(VLOOKUP($C46,'Proposed Rates'!$B:$J,F$11,FALSE),0)</f>
        <v>0.1045</v>
      </c>
      <c r="G46" s="575">
        <f>$F$9</f>
        <v>150</v>
      </c>
      <c r="H46" s="400">
        <f t="shared" si="51"/>
        <v>15.674999999999999</v>
      </c>
      <c r="I46" s="128"/>
      <c r="J46" s="414">
        <f>IFERROR(VLOOKUP($C46,'Proposed Rates'!$B:$J,J$11,FALSE),0)</f>
        <v>0.1045</v>
      </c>
      <c r="K46" s="575">
        <f>$F$9</f>
        <v>150</v>
      </c>
      <c r="L46" s="400">
        <f t="shared" si="53"/>
        <v>15.674999999999999</v>
      </c>
      <c r="M46" s="128"/>
      <c r="N46" s="401">
        <f t="shared" si="5"/>
        <v>0</v>
      </c>
      <c r="O46" s="402">
        <f t="shared" si="6"/>
        <v>0</v>
      </c>
      <c r="P46" s="52"/>
      <c r="Q46" s="414">
        <f>IFERROR(VLOOKUP($C46,'Proposed Rates'!$B:$J,Q$11,FALSE),0)</f>
        <v>0.1045</v>
      </c>
      <c r="R46" s="575">
        <f>$F$9</f>
        <v>150</v>
      </c>
      <c r="S46" s="400">
        <f t="shared" si="55"/>
        <v>15.674999999999999</v>
      </c>
      <c r="T46" s="128"/>
      <c r="U46" s="401">
        <f t="shared" si="9"/>
        <v>0</v>
      </c>
      <c r="V46" s="402">
        <f t="shared" si="10"/>
        <v>0</v>
      </c>
      <c r="W46" s="52"/>
      <c r="X46" s="414">
        <f>IFERROR(VLOOKUP($C46,'Proposed Rates'!$B:$J,X$11,FALSE),0)</f>
        <v>0.1045</v>
      </c>
      <c r="Y46" s="575">
        <f>$F$9</f>
        <v>150</v>
      </c>
      <c r="Z46" s="400">
        <f t="shared" si="57"/>
        <v>15.674999999999999</v>
      </c>
      <c r="AA46" s="128"/>
      <c r="AB46" s="401">
        <f t="shared" si="13"/>
        <v>0</v>
      </c>
      <c r="AC46" s="402">
        <f t="shared" si="14"/>
        <v>0</v>
      </c>
      <c r="AD46" s="52"/>
      <c r="AE46" s="414">
        <f>IFERROR(VLOOKUP($C46,'Proposed Rates'!$B:$J,AE$11,FALSE),0)</f>
        <v>0.1045</v>
      </c>
      <c r="AF46" s="575">
        <f>$F$9</f>
        <v>150</v>
      </c>
      <c r="AG46" s="400">
        <f t="shared" si="59"/>
        <v>15.674999999999999</v>
      </c>
      <c r="AH46" s="128"/>
      <c r="AI46" s="401">
        <f t="shared" si="17"/>
        <v>0</v>
      </c>
      <c r="AJ46" s="402">
        <f t="shared" si="18"/>
        <v>0</v>
      </c>
      <c r="AK46" s="52"/>
      <c r="AL46" s="414">
        <f>IFERROR(VLOOKUP($C46,'Proposed Rates'!$B:$J,AL$11,FALSE),0)</f>
        <v>0.1045</v>
      </c>
      <c r="AM46" s="575">
        <f>$F$9</f>
        <v>150</v>
      </c>
      <c r="AN46" s="400">
        <f t="shared" si="61"/>
        <v>15.674999999999999</v>
      </c>
      <c r="AO46" s="128"/>
      <c r="AP46" s="401">
        <f t="shared" si="21"/>
        <v>0</v>
      </c>
      <c r="AQ46" s="402">
        <f t="shared" si="22"/>
        <v>0</v>
      </c>
      <c r="AR46" s="403"/>
      <c r="AS46" s="403"/>
    </row>
    <row r="47" spans="1:45" ht="15.75" customHeight="1">
      <c r="A47" s="52"/>
      <c r="B47" s="320"/>
      <c r="C47" s="395" t="str">
        <f t="shared" ref="C47:C50" si="62">D$6&amp;"."&amp;B47</f>
        <v>Street Light.</v>
      </c>
      <c r="D47" s="396"/>
      <c r="E47" s="320"/>
      <c r="F47" s="430"/>
      <c r="G47" s="575"/>
      <c r="H47" s="400"/>
      <c r="I47" s="128"/>
      <c r="J47" s="430"/>
      <c r="K47" s="575"/>
      <c r="L47" s="400"/>
      <c r="M47" s="128"/>
      <c r="N47" s="401"/>
      <c r="O47" s="402"/>
      <c r="P47" s="52"/>
      <c r="Q47" s="430"/>
      <c r="R47" s="575"/>
      <c r="S47" s="400"/>
      <c r="T47" s="128"/>
      <c r="U47" s="401"/>
      <c r="V47" s="402"/>
      <c r="W47" s="52"/>
      <c r="X47" s="430"/>
      <c r="Y47" s="575"/>
      <c r="Z47" s="400"/>
      <c r="AA47" s="128"/>
      <c r="AB47" s="401"/>
      <c r="AC47" s="402"/>
      <c r="AD47" s="52"/>
      <c r="AE47" s="430"/>
      <c r="AF47" s="575"/>
      <c r="AG47" s="400"/>
      <c r="AH47" s="128"/>
      <c r="AI47" s="401"/>
      <c r="AJ47" s="402"/>
      <c r="AK47" s="52"/>
      <c r="AL47" s="430"/>
      <c r="AM47" s="575"/>
      <c r="AN47" s="400"/>
      <c r="AO47" s="128"/>
      <c r="AP47" s="401"/>
      <c r="AQ47" s="402"/>
      <c r="AR47" s="403"/>
      <c r="AS47" s="403"/>
    </row>
    <row r="48" spans="1:45" ht="15.75" customHeight="1">
      <c r="A48" s="52"/>
      <c r="B48" s="320"/>
      <c r="C48" s="395" t="str">
        <f t="shared" si="62"/>
        <v>Street Light.</v>
      </c>
      <c r="D48" s="396"/>
      <c r="E48" s="320"/>
      <c r="F48" s="430"/>
      <c r="G48" s="575"/>
      <c r="H48" s="400"/>
      <c r="I48" s="128"/>
      <c r="J48" s="430"/>
      <c r="K48" s="575"/>
      <c r="L48" s="400"/>
      <c r="M48" s="128"/>
      <c r="N48" s="401"/>
      <c r="O48" s="402"/>
      <c r="P48" s="52"/>
      <c r="Q48" s="430"/>
      <c r="R48" s="575"/>
      <c r="S48" s="400"/>
      <c r="T48" s="128"/>
      <c r="U48" s="401"/>
      <c r="V48" s="402"/>
      <c r="W48" s="52"/>
      <c r="X48" s="430"/>
      <c r="Y48" s="575"/>
      <c r="Z48" s="400"/>
      <c r="AA48" s="128"/>
      <c r="AB48" s="401"/>
      <c r="AC48" s="402"/>
      <c r="AD48" s="52"/>
      <c r="AE48" s="430"/>
      <c r="AF48" s="575"/>
      <c r="AG48" s="400"/>
      <c r="AH48" s="128"/>
      <c r="AI48" s="401"/>
      <c r="AJ48" s="402"/>
      <c r="AK48" s="52"/>
      <c r="AL48" s="430"/>
      <c r="AM48" s="575"/>
      <c r="AN48" s="400"/>
      <c r="AO48" s="128"/>
      <c r="AP48" s="401"/>
      <c r="AQ48" s="402"/>
      <c r="AR48" s="403"/>
      <c r="AS48" s="403"/>
    </row>
    <row r="49" spans="1:45" ht="15.75" customHeight="1">
      <c r="A49" s="52"/>
      <c r="B49" s="320"/>
      <c r="C49" s="395" t="str">
        <f t="shared" si="62"/>
        <v>Street Light.</v>
      </c>
      <c r="D49" s="396"/>
      <c r="E49" s="320"/>
      <c r="F49" s="430"/>
      <c r="G49" s="575"/>
      <c r="H49" s="400"/>
      <c r="I49" s="128"/>
      <c r="J49" s="430"/>
      <c r="K49" s="575"/>
      <c r="L49" s="400"/>
      <c r="M49" s="128"/>
      <c r="N49" s="401"/>
      <c r="O49" s="402"/>
      <c r="P49" s="52"/>
      <c r="Q49" s="430"/>
      <c r="R49" s="575"/>
      <c r="S49" s="400"/>
      <c r="T49" s="128"/>
      <c r="U49" s="401"/>
      <c r="V49" s="402"/>
      <c r="W49" s="52"/>
      <c r="X49" s="430"/>
      <c r="Y49" s="575"/>
      <c r="Z49" s="400"/>
      <c r="AA49" s="128"/>
      <c r="AB49" s="401"/>
      <c r="AC49" s="402"/>
      <c r="AD49" s="52"/>
      <c r="AE49" s="430"/>
      <c r="AF49" s="575"/>
      <c r="AG49" s="400"/>
      <c r="AH49" s="128"/>
      <c r="AI49" s="401"/>
      <c r="AJ49" s="402"/>
      <c r="AK49" s="52"/>
      <c r="AL49" s="430"/>
      <c r="AM49" s="575"/>
      <c r="AN49" s="400"/>
      <c r="AO49" s="128"/>
      <c r="AP49" s="401"/>
      <c r="AQ49" s="402"/>
      <c r="AR49" s="403"/>
      <c r="AS49" s="403"/>
    </row>
    <row r="50" spans="1:45" ht="15.75" customHeight="1">
      <c r="A50" s="52"/>
      <c r="B50" s="320"/>
      <c r="C50" s="395" t="str">
        <f t="shared" si="62"/>
        <v>Street Light.</v>
      </c>
      <c r="D50" s="396"/>
      <c r="E50" s="320"/>
      <c r="F50" s="430"/>
      <c r="G50" s="575"/>
      <c r="H50" s="400"/>
      <c r="I50" s="128"/>
      <c r="J50" s="430"/>
      <c r="K50" s="575"/>
      <c r="L50" s="400"/>
      <c r="M50" s="128"/>
      <c r="N50" s="401"/>
      <c r="O50" s="402"/>
      <c r="P50" s="52"/>
      <c r="Q50" s="430"/>
      <c r="R50" s="575"/>
      <c r="S50" s="400"/>
      <c r="T50" s="128"/>
      <c r="U50" s="401"/>
      <c r="V50" s="402"/>
      <c r="W50" s="52"/>
      <c r="X50" s="430"/>
      <c r="Y50" s="575"/>
      <c r="Z50" s="400"/>
      <c r="AA50" s="128"/>
      <c r="AB50" s="401"/>
      <c r="AC50" s="402"/>
      <c r="AD50" s="52"/>
      <c r="AE50" s="430"/>
      <c r="AF50" s="575"/>
      <c r="AG50" s="400"/>
      <c r="AH50" s="128"/>
      <c r="AI50" s="401"/>
      <c r="AJ50" s="402"/>
      <c r="AK50" s="52"/>
      <c r="AL50" s="430"/>
      <c r="AM50" s="575"/>
      <c r="AN50" s="400"/>
      <c r="AO50" s="128"/>
      <c r="AP50" s="401"/>
      <c r="AQ50" s="402"/>
      <c r="AR50" s="403"/>
      <c r="AS50" s="403"/>
    </row>
    <row r="51" spans="1:45" ht="15.7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443"/>
    </row>
    <row r="52" spans="1:45" ht="12.75" customHeight="1">
      <c r="A52" s="52"/>
      <c r="B52" s="444" t="s">
        <v>315</v>
      </c>
      <c r="C52" s="562"/>
      <c r="D52" s="320"/>
      <c r="E52" s="320"/>
      <c r="F52" s="445"/>
      <c r="G52" s="489"/>
      <c r="H52" s="447">
        <f>SUM(H43:H48,H42)</f>
        <v>37.620474999999999</v>
      </c>
      <c r="I52" s="482"/>
      <c r="J52" s="446"/>
      <c r="K52" s="446"/>
      <c r="L52" s="447">
        <f>SUM(L43:L48,L42)</f>
        <v>36.379089999999998</v>
      </c>
      <c r="M52" s="449"/>
      <c r="N52" s="448">
        <f t="shared" ref="N52:N56" si="63">L52-H52</f>
        <v>-1.2413850000000011</v>
      </c>
      <c r="O52" s="450">
        <f t="shared" ref="O52:O56" si="64">IF((H52)=0,"",(N52/H52))</f>
        <v>-3.2997589743351222E-2</v>
      </c>
      <c r="P52" s="52"/>
      <c r="Q52" s="446"/>
      <c r="R52" s="446"/>
      <c r="S52" s="447">
        <f>SUM(S43:S48,S42)</f>
        <v>31.711269999999999</v>
      </c>
      <c r="T52" s="449"/>
      <c r="U52" s="448">
        <f t="shared" ref="U52:U56" si="65">S52-L52</f>
        <v>-4.667819999999999</v>
      </c>
      <c r="V52" s="450">
        <f t="shared" ref="V52:V56" si="66">IF((L52)=0,"",(U52/L52))</f>
        <v>-0.1283105212362376</v>
      </c>
      <c r="W52" s="52"/>
      <c r="X52" s="446"/>
      <c r="Y52" s="446"/>
      <c r="Z52" s="447">
        <f>SUM(Z43:Z48,Z42)</f>
        <v>32.285219999999995</v>
      </c>
      <c r="AA52" s="449"/>
      <c r="AB52" s="448">
        <f t="shared" ref="AB52:AB56" si="67">Z52-S52</f>
        <v>0.57394999999999641</v>
      </c>
      <c r="AC52" s="450">
        <f t="shared" ref="AC52:AC56" si="68">IF((S52)=0,"",(AB52/S52))</f>
        <v>1.8099243581225111E-2</v>
      </c>
      <c r="AD52" s="52"/>
      <c r="AE52" s="446"/>
      <c r="AF52" s="446"/>
      <c r="AG52" s="447">
        <f>SUM(AG43:AG48,AG42)</f>
        <v>32.440709999999996</v>
      </c>
      <c r="AH52" s="449"/>
      <c r="AI52" s="448">
        <f t="shared" ref="AI52:AI56" si="69">AG52-Z52</f>
        <v>0.15549000000000035</v>
      </c>
      <c r="AJ52" s="450">
        <f t="shared" ref="AJ52:AJ56" si="70">IF((Z52)=0,"",(AI52/Z52))</f>
        <v>4.8161356806613173E-3</v>
      </c>
      <c r="AK52" s="52"/>
      <c r="AL52" s="446"/>
      <c r="AM52" s="446"/>
      <c r="AN52" s="447">
        <f>SUM(AN43:AN48,AN42)</f>
        <v>32.983509999999995</v>
      </c>
      <c r="AO52" s="449"/>
      <c r="AP52" s="448">
        <f t="shared" ref="AP52:AP56" si="71">AN52-AG52</f>
        <v>0.54279999999999973</v>
      </c>
      <c r="AQ52" s="450">
        <f t="shared" ref="AQ52:AQ56" si="72">IF((AG52)=0,"",(AP52/AG52))</f>
        <v>1.6732062892581567E-2</v>
      </c>
      <c r="AR52" s="451"/>
      <c r="AS52" s="451"/>
    </row>
    <row r="53" spans="1:45" ht="12.75" customHeight="1">
      <c r="A53" s="52"/>
      <c r="B53" s="452" t="s">
        <v>316</v>
      </c>
      <c r="C53" s="562"/>
      <c r="D53" s="320"/>
      <c r="E53" s="320"/>
      <c r="F53" s="445">
        <v>0.13</v>
      </c>
      <c r="G53" s="128"/>
      <c r="H53" s="490">
        <f>H52*F53</f>
        <v>4.8906617500000005</v>
      </c>
      <c r="I53" s="417"/>
      <c r="J53" s="453">
        <v>0.13</v>
      </c>
      <c r="K53" s="417"/>
      <c r="L53" s="400">
        <f>L52*J53</f>
        <v>4.7292816999999996</v>
      </c>
      <c r="M53" s="128"/>
      <c r="N53" s="401">
        <f t="shared" si="63"/>
        <v>-0.16138005000000089</v>
      </c>
      <c r="O53" s="402">
        <f t="shared" si="64"/>
        <v>-3.2997589743351374E-2</v>
      </c>
      <c r="P53" s="52"/>
      <c r="Q53" s="453">
        <v>0.13</v>
      </c>
      <c r="R53" s="417"/>
      <c r="S53" s="400">
        <f>S52*Q53</f>
        <v>4.1224651000000003</v>
      </c>
      <c r="T53" s="128"/>
      <c r="U53" s="401">
        <f t="shared" si="65"/>
        <v>-0.60681659999999926</v>
      </c>
      <c r="V53" s="402">
        <f t="shared" si="66"/>
        <v>-0.12831052123623748</v>
      </c>
      <c r="W53" s="52"/>
      <c r="X53" s="453">
        <v>0.13</v>
      </c>
      <c r="Y53" s="417"/>
      <c r="Z53" s="400">
        <f>Z52*X53</f>
        <v>4.1970785999999993</v>
      </c>
      <c r="AA53" s="128"/>
      <c r="AB53" s="401">
        <f t="shared" si="67"/>
        <v>7.4613499999999E-2</v>
      </c>
      <c r="AC53" s="402">
        <f t="shared" si="68"/>
        <v>1.8099243581224979E-2</v>
      </c>
      <c r="AD53" s="52"/>
      <c r="AE53" s="453">
        <v>0.13</v>
      </c>
      <c r="AF53" s="417"/>
      <c r="AG53" s="400">
        <f>AG52*AE53</f>
        <v>4.2172922999999995</v>
      </c>
      <c r="AH53" s="128"/>
      <c r="AI53" s="401">
        <f t="shared" si="69"/>
        <v>2.0213700000000223E-2</v>
      </c>
      <c r="AJ53" s="402">
        <f t="shared" si="70"/>
        <v>4.8161356806613598E-3</v>
      </c>
      <c r="AK53" s="52"/>
      <c r="AL53" s="453">
        <v>0.13</v>
      </c>
      <c r="AM53" s="417"/>
      <c r="AN53" s="400">
        <f>AN52*AL53</f>
        <v>4.2878562999999996</v>
      </c>
      <c r="AO53" s="128"/>
      <c r="AP53" s="401">
        <f t="shared" si="71"/>
        <v>7.0564000000000071E-2</v>
      </c>
      <c r="AQ53" s="402">
        <f t="shared" si="72"/>
        <v>1.6732062892581594E-2</v>
      </c>
      <c r="AR53" s="403"/>
      <c r="AS53" s="403"/>
    </row>
    <row r="54" spans="1:45" ht="12.75" customHeight="1">
      <c r="A54" s="52"/>
      <c r="B54" s="454" t="s">
        <v>416</v>
      </c>
      <c r="C54" s="562"/>
      <c r="D54" s="320"/>
      <c r="E54" s="320"/>
      <c r="F54" s="455"/>
      <c r="G54" s="128"/>
      <c r="H54" s="490">
        <f>H52+H53</f>
        <v>42.511136749999999</v>
      </c>
      <c r="I54" s="417"/>
      <c r="J54" s="417"/>
      <c r="K54" s="417"/>
      <c r="L54" s="400">
        <f>L52+L53</f>
        <v>41.108371699999999</v>
      </c>
      <c r="M54" s="128"/>
      <c r="N54" s="401">
        <f t="shared" si="63"/>
        <v>-1.4027650499999993</v>
      </c>
      <c r="O54" s="402">
        <f t="shared" si="64"/>
        <v>-3.299758974335118E-2</v>
      </c>
      <c r="P54" s="52"/>
      <c r="Q54" s="417"/>
      <c r="R54" s="417"/>
      <c r="S54" s="400">
        <f>S52+S53</f>
        <v>35.833735099999998</v>
      </c>
      <c r="T54" s="128"/>
      <c r="U54" s="401">
        <f t="shared" si="65"/>
        <v>-5.2746366000000009</v>
      </c>
      <c r="V54" s="402">
        <f t="shared" si="66"/>
        <v>-0.12831052123623765</v>
      </c>
      <c r="W54" s="52"/>
      <c r="X54" s="417"/>
      <c r="Y54" s="417"/>
      <c r="Z54" s="400">
        <f>Z52+Z53</f>
        <v>36.482298599999993</v>
      </c>
      <c r="AA54" s="128"/>
      <c r="AB54" s="401">
        <f t="shared" si="67"/>
        <v>0.64856349999999452</v>
      </c>
      <c r="AC54" s="402">
        <f t="shared" si="68"/>
        <v>1.8099243581225073E-2</v>
      </c>
      <c r="AD54" s="52"/>
      <c r="AE54" s="417"/>
      <c r="AF54" s="417"/>
      <c r="AG54" s="400">
        <f>AG52+AG53</f>
        <v>36.658002299999993</v>
      </c>
      <c r="AH54" s="128"/>
      <c r="AI54" s="401">
        <f t="shared" si="69"/>
        <v>0.17570369999999969</v>
      </c>
      <c r="AJ54" s="402">
        <f t="shared" si="70"/>
        <v>4.8161356806612982E-3</v>
      </c>
      <c r="AK54" s="52"/>
      <c r="AL54" s="417"/>
      <c r="AM54" s="417"/>
      <c r="AN54" s="400">
        <f>AN52+AN53</f>
        <v>37.271366299999997</v>
      </c>
      <c r="AO54" s="128"/>
      <c r="AP54" s="401">
        <f t="shared" si="71"/>
        <v>0.61336400000000424</v>
      </c>
      <c r="AQ54" s="402">
        <f t="shared" si="72"/>
        <v>1.6732062892581692E-2</v>
      </c>
      <c r="AR54" s="403"/>
      <c r="AS54" s="403"/>
    </row>
    <row r="55" spans="1:45" ht="15.75" customHeight="1">
      <c r="A55" s="52"/>
      <c r="B55" s="628"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c r="AS55" s="460"/>
    </row>
    <row r="56" spans="1:45" ht="13.5" customHeight="1">
      <c r="A56" s="52"/>
      <c r="B56" s="627" t="s">
        <v>318</v>
      </c>
      <c r="C56" s="613"/>
      <c r="D56" s="613"/>
      <c r="E56" s="461"/>
      <c r="F56" s="462"/>
      <c r="G56" s="493"/>
      <c r="H56" s="494">
        <f>H54-H55</f>
        <v>42.511136749999999</v>
      </c>
      <c r="I56" s="463"/>
      <c r="J56" s="463"/>
      <c r="K56" s="463"/>
      <c r="L56" s="464">
        <f>L54-L55</f>
        <v>41.108371699999999</v>
      </c>
      <c r="M56" s="465"/>
      <c r="N56" s="466">
        <f t="shared" si="63"/>
        <v>-1.4027650499999993</v>
      </c>
      <c r="O56" s="467">
        <f t="shared" si="64"/>
        <v>-3.299758974335118E-2</v>
      </c>
      <c r="P56" s="52"/>
      <c r="Q56" s="463"/>
      <c r="R56" s="463"/>
      <c r="S56" s="464">
        <f>S54-S55</f>
        <v>35.833735099999998</v>
      </c>
      <c r="T56" s="465"/>
      <c r="U56" s="466">
        <f t="shared" si="65"/>
        <v>-5.2746366000000009</v>
      </c>
      <c r="V56" s="467">
        <f t="shared" si="66"/>
        <v>-0.12831052123623765</v>
      </c>
      <c r="W56" s="52"/>
      <c r="X56" s="463"/>
      <c r="Y56" s="463"/>
      <c r="Z56" s="464">
        <f>Z54-Z55</f>
        <v>36.482298599999993</v>
      </c>
      <c r="AA56" s="465"/>
      <c r="AB56" s="466">
        <f t="shared" si="67"/>
        <v>0.64856349999999452</v>
      </c>
      <c r="AC56" s="467">
        <f t="shared" si="68"/>
        <v>1.8099243581225073E-2</v>
      </c>
      <c r="AD56" s="52"/>
      <c r="AE56" s="463"/>
      <c r="AF56" s="463"/>
      <c r="AG56" s="464">
        <f>AG54-AG55</f>
        <v>36.658002299999993</v>
      </c>
      <c r="AH56" s="465"/>
      <c r="AI56" s="466">
        <f t="shared" si="69"/>
        <v>0.17570369999999969</v>
      </c>
      <c r="AJ56" s="467">
        <f t="shared" si="70"/>
        <v>4.8161356806612982E-3</v>
      </c>
      <c r="AK56" s="52"/>
      <c r="AL56" s="463"/>
      <c r="AM56" s="463"/>
      <c r="AN56" s="464">
        <f>AN54-AN55</f>
        <v>37.271366299999997</v>
      </c>
      <c r="AO56" s="465"/>
      <c r="AP56" s="466">
        <f t="shared" si="71"/>
        <v>0.61336400000000424</v>
      </c>
      <c r="AQ56" s="467">
        <f t="shared" si="72"/>
        <v>1.6732062892581692E-2</v>
      </c>
      <c r="AR56" s="468"/>
      <c r="AS56" s="468"/>
    </row>
    <row r="57" spans="1:45"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443"/>
    </row>
    <row r="58" spans="1:45" ht="12.75" customHeight="1">
      <c r="A58" s="52"/>
      <c r="B58" s="514" t="s">
        <v>319</v>
      </c>
      <c r="C58" s="563"/>
      <c r="D58" s="515"/>
      <c r="E58" s="515"/>
      <c r="F58" s="516"/>
      <c r="G58" s="517"/>
      <c r="H58" s="518">
        <f>SUM(H49:H50,H42,H43:H45)</f>
        <v>21.945474999999998</v>
      </c>
      <c r="I58" s="519"/>
      <c r="J58" s="520"/>
      <c r="K58" s="520"/>
      <c r="L58" s="518">
        <f>SUM(L49:L50,L42,L43:L45)</f>
        <v>20.704090000000001</v>
      </c>
      <c r="M58" s="521"/>
      <c r="N58" s="522">
        <f t="shared" ref="N58:N62" si="73">L58-H58</f>
        <v>-1.2413849999999975</v>
      </c>
      <c r="O58" s="523">
        <f t="shared" ref="O58:O62" si="74">IF((H58)=0,"",(N58/H58))</f>
        <v>-5.6566786547112675E-2</v>
      </c>
      <c r="P58" s="513"/>
      <c r="Q58" s="520"/>
      <c r="R58" s="520"/>
      <c r="S58" s="518">
        <f>SUM(S49:S50,S42,S43:S45)</f>
        <v>16.036269999999998</v>
      </c>
      <c r="T58" s="521"/>
      <c r="U58" s="522">
        <f t="shared" ref="U58:U62" si="75">S58-L58</f>
        <v>-4.6678200000000025</v>
      </c>
      <c r="V58" s="523">
        <f t="shared" ref="V58:V62" si="76">IF((L58)=0,"",(U58/L58))</f>
        <v>-0.22545400449862815</v>
      </c>
      <c r="W58" s="513"/>
      <c r="X58" s="520"/>
      <c r="Y58" s="520"/>
      <c r="Z58" s="518">
        <f>SUM(Z49:Z50,Z42,Z43:Z45)</f>
        <v>16.610219999999998</v>
      </c>
      <c r="AA58" s="521"/>
      <c r="AB58" s="522">
        <f t="shared" ref="AB58:AB62" si="77">Z58-S58</f>
        <v>0.57394999999999996</v>
      </c>
      <c r="AC58" s="523">
        <f t="shared" ref="AC58:AC62" si="78">IF((S58)=0,"",(AB58/S58))</f>
        <v>3.5790741862041488E-2</v>
      </c>
      <c r="AD58" s="513"/>
      <c r="AE58" s="520"/>
      <c r="AF58" s="520"/>
      <c r="AG58" s="518">
        <f>SUM(AG49:AG50,AG42,AG43:AG45)</f>
        <v>16.765709999999999</v>
      </c>
      <c r="AH58" s="521"/>
      <c r="AI58" s="522">
        <f t="shared" ref="AI58:AI62" si="79">AG58-Z58</f>
        <v>0.15549000000000035</v>
      </c>
      <c r="AJ58" s="523">
        <f t="shared" ref="AJ58:AJ62" si="80">IF((Z58)=0,"",(AI58/Z58))</f>
        <v>9.3611041876627988E-3</v>
      </c>
      <c r="AK58" s="513"/>
      <c r="AL58" s="520"/>
      <c r="AM58" s="520"/>
      <c r="AN58" s="518">
        <f>SUM(AN49:AN50,AN42,AN43:AN45)</f>
        <v>17.308509999999998</v>
      </c>
      <c r="AO58" s="521"/>
      <c r="AP58" s="522">
        <f t="shared" ref="AP58:AP62" si="81">AN58-AG58</f>
        <v>0.54279999999999973</v>
      </c>
      <c r="AQ58" s="523">
        <f t="shared" ref="AQ58:AQ62" si="82">IF((AG58)=0,"",(AP58/AG58))</f>
        <v>3.2375604731323622E-2</v>
      </c>
      <c r="AR58" s="451"/>
      <c r="AS58" s="451"/>
    </row>
    <row r="59" spans="1:45" ht="12.75" customHeight="1">
      <c r="A59" s="52"/>
      <c r="B59" s="525" t="s">
        <v>316</v>
      </c>
      <c r="C59" s="563"/>
      <c r="D59" s="515"/>
      <c r="E59" s="515"/>
      <c r="F59" s="516">
        <v>0.13</v>
      </c>
      <c r="G59" s="517"/>
      <c r="H59" s="526">
        <f>H58*F59</f>
        <v>2.8529117500000001</v>
      </c>
      <c r="I59" s="527"/>
      <c r="J59" s="516">
        <v>0.13</v>
      </c>
      <c r="K59" s="528"/>
      <c r="L59" s="529">
        <f>L58*J59</f>
        <v>2.6915317000000001</v>
      </c>
      <c r="M59" s="530"/>
      <c r="N59" s="531">
        <f t="shared" si="73"/>
        <v>-0.16138005</v>
      </c>
      <c r="O59" s="532">
        <f t="shared" si="74"/>
        <v>-5.6566786547112786E-2</v>
      </c>
      <c r="P59" s="513"/>
      <c r="Q59" s="516">
        <v>0.13</v>
      </c>
      <c r="R59" s="528"/>
      <c r="S59" s="529">
        <f>S58*Q59</f>
        <v>2.0847150999999999</v>
      </c>
      <c r="T59" s="530"/>
      <c r="U59" s="531">
        <f t="shared" si="75"/>
        <v>-0.60681660000000015</v>
      </c>
      <c r="V59" s="532">
        <f t="shared" si="76"/>
        <v>-0.2254540044986281</v>
      </c>
      <c r="W59" s="513"/>
      <c r="X59" s="516">
        <v>0.13</v>
      </c>
      <c r="Y59" s="528"/>
      <c r="Z59" s="529">
        <f>Z58*X59</f>
        <v>2.1593285999999998</v>
      </c>
      <c r="AA59" s="530"/>
      <c r="AB59" s="531">
        <f t="shared" si="77"/>
        <v>7.4613499999999888E-2</v>
      </c>
      <c r="AC59" s="532">
        <f t="shared" si="78"/>
        <v>3.5790741862041432E-2</v>
      </c>
      <c r="AD59" s="513"/>
      <c r="AE59" s="516">
        <v>0.13</v>
      </c>
      <c r="AF59" s="528"/>
      <c r="AG59" s="529">
        <f>AG58*AE59</f>
        <v>2.1795423</v>
      </c>
      <c r="AH59" s="530"/>
      <c r="AI59" s="531">
        <f t="shared" si="79"/>
        <v>2.0213700000000223E-2</v>
      </c>
      <c r="AJ59" s="532">
        <f t="shared" si="80"/>
        <v>9.3611041876628803E-3</v>
      </c>
      <c r="AK59" s="513"/>
      <c r="AL59" s="516">
        <v>0.13</v>
      </c>
      <c r="AM59" s="528"/>
      <c r="AN59" s="529">
        <f>AN58*AL59</f>
        <v>2.2501062999999997</v>
      </c>
      <c r="AO59" s="530"/>
      <c r="AP59" s="531">
        <f t="shared" si="81"/>
        <v>7.0563999999999627E-2</v>
      </c>
      <c r="AQ59" s="532">
        <f t="shared" si="82"/>
        <v>3.2375604731323462E-2</v>
      </c>
      <c r="AR59" s="403"/>
      <c r="AS59" s="403"/>
    </row>
    <row r="60" spans="1:45" ht="12.75" customHeight="1">
      <c r="A60" s="52"/>
      <c r="B60" s="534" t="s">
        <v>417</v>
      </c>
      <c r="C60" s="563"/>
      <c r="D60" s="515"/>
      <c r="E60" s="515"/>
      <c r="F60" s="535"/>
      <c r="G60" s="530"/>
      <c r="H60" s="526">
        <f>H58+H59</f>
        <v>24.798386749999999</v>
      </c>
      <c r="I60" s="527"/>
      <c r="J60" s="527"/>
      <c r="K60" s="527"/>
      <c r="L60" s="529">
        <f>L58+L59</f>
        <v>23.3956217</v>
      </c>
      <c r="M60" s="530"/>
      <c r="N60" s="531">
        <f t="shared" si="73"/>
        <v>-1.4027650499999993</v>
      </c>
      <c r="O60" s="532">
        <f t="shared" si="74"/>
        <v>-5.6566786547112759E-2</v>
      </c>
      <c r="P60" s="513"/>
      <c r="Q60" s="527"/>
      <c r="R60" s="527"/>
      <c r="S60" s="529">
        <f>S58+S59</f>
        <v>18.120985099999999</v>
      </c>
      <c r="T60" s="530"/>
      <c r="U60" s="531">
        <f t="shared" si="75"/>
        <v>-5.2746366000000009</v>
      </c>
      <c r="V60" s="532">
        <f t="shared" si="76"/>
        <v>-0.2254540044986281</v>
      </c>
      <c r="W60" s="513"/>
      <c r="X60" s="527"/>
      <c r="Y60" s="527"/>
      <c r="Z60" s="529">
        <f>Z58+Z59</f>
        <v>18.769548599999997</v>
      </c>
      <c r="AA60" s="530"/>
      <c r="AB60" s="531">
        <f t="shared" si="77"/>
        <v>0.64856349999999807</v>
      </c>
      <c r="AC60" s="532">
        <f t="shared" si="78"/>
        <v>3.5790741862041384E-2</v>
      </c>
      <c r="AD60" s="513"/>
      <c r="AE60" s="527"/>
      <c r="AF60" s="527"/>
      <c r="AG60" s="529">
        <f>AG58+AG59</f>
        <v>18.9452523</v>
      </c>
      <c r="AH60" s="530"/>
      <c r="AI60" s="531">
        <f t="shared" si="79"/>
        <v>0.17570370000000324</v>
      </c>
      <c r="AJ60" s="532">
        <f t="shared" si="80"/>
        <v>9.3611041876629497E-3</v>
      </c>
      <c r="AK60" s="513"/>
      <c r="AL60" s="527"/>
      <c r="AM60" s="527"/>
      <c r="AN60" s="529">
        <f>AN58+AN59</f>
        <v>19.558616299999997</v>
      </c>
      <c r="AO60" s="530"/>
      <c r="AP60" s="531">
        <f t="shared" si="81"/>
        <v>0.61336399999999713</v>
      </c>
      <c r="AQ60" s="532">
        <f t="shared" si="82"/>
        <v>3.2375604731323483E-2</v>
      </c>
      <c r="AR60" s="403"/>
      <c r="AS60" s="403"/>
    </row>
    <row r="61" spans="1:45" ht="15.75" customHeight="1">
      <c r="A61" s="52"/>
      <c r="B61" s="636" t="s">
        <v>273</v>
      </c>
      <c r="C61" s="615"/>
      <c r="D61" s="615"/>
      <c r="E61" s="515"/>
      <c r="F61" s="535"/>
      <c r="G61" s="530"/>
      <c r="H61" s="536">
        <f>F61*H58</f>
        <v>0</v>
      </c>
      <c r="I61" s="527"/>
      <c r="J61" s="527"/>
      <c r="K61" s="527"/>
      <c r="L61" s="537">
        <f>J61*L58</f>
        <v>0</v>
      </c>
      <c r="M61" s="530"/>
      <c r="N61" s="538">
        <f t="shared" si="73"/>
        <v>0</v>
      </c>
      <c r="O61" s="539" t="str">
        <f t="shared" si="74"/>
        <v/>
      </c>
      <c r="P61" s="513"/>
      <c r="Q61" s="527"/>
      <c r="R61" s="527"/>
      <c r="S61" s="537">
        <f>Q61*S58</f>
        <v>0</v>
      </c>
      <c r="T61" s="530"/>
      <c r="U61" s="538">
        <f t="shared" si="75"/>
        <v>0</v>
      </c>
      <c r="V61" s="539" t="str">
        <f t="shared" si="76"/>
        <v/>
      </c>
      <c r="W61" s="513"/>
      <c r="X61" s="527"/>
      <c r="Y61" s="527"/>
      <c r="Z61" s="537">
        <f>X61*Z58</f>
        <v>0</v>
      </c>
      <c r="AA61" s="530"/>
      <c r="AB61" s="538">
        <f t="shared" si="77"/>
        <v>0</v>
      </c>
      <c r="AC61" s="539" t="str">
        <f t="shared" si="78"/>
        <v/>
      </c>
      <c r="AD61" s="513"/>
      <c r="AE61" s="527"/>
      <c r="AF61" s="527"/>
      <c r="AG61" s="537">
        <f>AE61*AG58</f>
        <v>0</v>
      </c>
      <c r="AH61" s="530"/>
      <c r="AI61" s="538">
        <f t="shared" si="79"/>
        <v>0</v>
      </c>
      <c r="AJ61" s="539" t="str">
        <f t="shared" si="80"/>
        <v/>
      </c>
      <c r="AK61" s="513"/>
      <c r="AL61" s="527"/>
      <c r="AM61" s="527"/>
      <c r="AN61" s="537">
        <f>AL61*AN58</f>
        <v>0</v>
      </c>
      <c r="AO61" s="530"/>
      <c r="AP61" s="538">
        <f t="shared" si="81"/>
        <v>0</v>
      </c>
      <c r="AQ61" s="539" t="str">
        <f t="shared" si="82"/>
        <v/>
      </c>
      <c r="AR61" s="460"/>
      <c r="AS61" s="460"/>
    </row>
    <row r="62" spans="1:45" ht="13.5" customHeight="1">
      <c r="A62" s="52"/>
      <c r="B62" s="635" t="s">
        <v>321</v>
      </c>
      <c r="C62" s="613"/>
      <c r="D62" s="613"/>
      <c r="E62" s="541"/>
      <c r="F62" s="542"/>
      <c r="G62" s="543"/>
      <c r="H62" s="544">
        <f>H60-H61</f>
        <v>24.798386749999999</v>
      </c>
      <c r="I62" s="545"/>
      <c r="J62" s="545"/>
      <c r="K62" s="545"/>
      <c r="L62" s="546">
        <f>L60-L61</f>
        <v>23.3956217</v>
      </c>
      <c r="M62" s="547"/>
      <c r="N62" s="548">
        <f t="shared" si="73"/>
        <v>-1.4027650499999993</v>
      </c>
      <c r="O62" s="549">
        <f t="shared" si="74"/>
        <v>-5.6566786547112759E-2</v>
      </c>
      <c r="P62" s="513"/>
      <c r="Q62" s="545"/>
      <c r="R62" s="545"/>
      <c r="S62" s="546">
        <f>S60-S61</f>
        <v>18.120985099999999</v>
      </c>
      <c r="T62" s="547"/>
      <c r="U62" s="548">
        <f t="shared" si="75"/>
        <v>-5.2746366000000009</v>
      </c>
      <c r="V62" s="549">
        <f t="shared" si="76"/>
        <v>-0.2254540044986281</v>
      </c>
      <c r="W62" s="513"/>
      <c r="X62" s="545"/>
      <c r="Y62" s="545"/>
      <c r="Z62" s="546">
        <f>Z60-Z61</f>
        <v>18.769548599999997</v>
      </c>
      <c r="AA62" s="547"/>
      <c r="AB62" s="548">
        <f t="shared" si="77"/>
        <v>0.64856349999999807</v>
      </c>
      <c r="AC62" s="549">
        <f t="shared" si="78"/>
        <v>3.5790741862041384E-2</v>
      </c>
      <c r="AD62" s="513"/>
      <c r="AE62" s="545"/>
      <c r="AF62" s="545"/>
      <c r="AG62" s="546">
        <f>AG60-AG61</f>
        <v>18.9452523</v>
      </c>
      <c r="AH62" s="547"/>
      <c r="AI62" s="548">
        <f t="shared" si="79"/>
        <v>0.17570370000000324</v>
      </c>
      <c r="AJ62" s="549">
        <f t="shared" si="80"/>
        <v>9.3611041876629497E-3</v>
      </c>
      <c r="AK62" s="513"/>
      <c r="AL62" s="545"/>
      <c r="AM62" s="545"/>
      <c r="AN62" s="546">
        <f>AN60-AN61</f>
        <v>19.558616299999997</v>
      </c>
      <c r="AO62" s="547"/>
      <c r="AP62" s="548">
        <f t="shared" si="81"/>
        <v>0.61336399999999713</v>
      </c>
      <c r="AQ62" s="549">
        <f t="shared" si="82"/>
        <v>3.2375604731323483E-2</v>
      </c>
      <c r="AR62" s="468"/>
      <c r="AS62" s="468"/>
    </row>
    <row r="63" spans="1:45"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443"/>
    </row>
    <row r="64" spans="1:45"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52"/>
    </row>
    <row r="65" spans="1:45" ht="12.75" customHeight="1">
      <c r="A65" s="52"/>
      <c r="B65" s="306" t="s">
        <v>322</v>
      </c>
      <c r="C65" s="555"/>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52"/>
    </row>
    <row r="66" spans="1:45"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row>
    <row r="67" spans="1:45" ht="15.75" customHeight="1">
      <c r="A67" s="479" t="s">
        <v>418</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row>
    <row r="68" spans="1:45"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row>
    <row r="69" spans="1:45"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row>
    <row r="70" spans="1:45"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row>
    <row r="71" spans="1:45"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row>
    <row r="72" spans="1:45"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row>
    <row r="73" spans="1:45"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row>
    <row r="74" spans="1:45"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row>
    <row r="75" spans="1:45"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row>
    <row r="76" spans="1:45"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row>
    <row r="77" spans="1:45"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row>
    <row r="78" spans="1:45"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row>
    <row r="79" spans="1:45"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row>
    <row r="80" spans="1:45"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row>
    <row r="81" spans="1:45"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row>
    <row r="82" spans="1:45"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row>
    <row r="83" spans="1:45"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row>
    <row r="84" spans="1:45"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row>
    <row r="85" spans="1:45"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row>
    <row r="86" spans="1:45"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row>
    <row r="87" spans="1:45"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row>
    <row r="88" spans="1:45"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row>
    <row r="89" spans="1:45"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row>
    <row r="90" spans="1:45"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row>
    <row r="91" spans="1:45"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row>
    <row r="92" spans="1:45"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row>
    <row r="93" spans="1:45"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row>
    <row r="94" spans="1:45"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row>
    <row r="95" spans="1:45"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row>
    <row r="96" spans="1:45"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row>
    <row r="97" spans="1:45"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row>
    <row r="98" spans="1:45"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row>
    <row r="99" spans="1:45"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row>
    <row r="100" spans="1:45"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row>
    <row r="101" spans="1:45"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row>
    <row r="102" spans="1:45"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row>
    <row r="103" spans="1:45"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row>
    <row r="104" spans="1:45"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row>
    <row r="105" spans="1:45"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row>
    <row r="106" spans="1:45"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row>
    <row r="107" spans="1:45"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row>
    <row r="108" spans="1:45"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row>
    <row r="109" spans="1:45"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row>
    <row r="110" spans="1:45"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row>
    <row r="111" spans="1:45"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row>
    <row r="112" spans="1:45"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row>
    <row r="113" spans="1:45"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row>
    <row r="114" spans="1:45"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row>
    <row r="115" spans="1:45"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row>
    <row r="116" spans="1:45"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row>
    <row r="117" spans="1:45"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row>
    <row r="118" spans="1:45"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row>
    <row r="119" spans="1:45"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row>
    <row r="120" spans="1:45"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row>
    <row r="121" spans="1:45"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row>
    <row r="122" spans="1:45"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row>
    <row r="123" spans="1:45"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row>
    <row r="124" spans="1:45"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row>
    <row r="125" spans="1:45"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row>
    <row r="126" spans="1:45"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row>
    <row r="127" spans="1:45"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row>
    <row r="128" spans="1:45"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row>
    <row r="129" spans="1:45"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row>
    <row r="130" spans="1:45"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row>
    <row r="131" spans="1:45"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row>
    <row r="132" spans="1:45"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row>
    <row r="133" spans="1:45"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row>
    <row r="134" spans="1:45"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row>
    <row r="135" spans="1:45"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row>
    <row r="136" spans="1:45"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row>
    <row r="137" spans="1:45"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row>
    <row r="138" spans="1:45"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row>
    <row r="139" spans="1:45"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row>
    <row r="140" spans="1:45"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row>
    <row r="141" spans="1:45"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row>
    <row r="142" spans="1:45"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row>
    <row r="143" spans="1:45"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row>
    <row r="144" spans="1:45"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row>
    <row r="145" spans="1:45"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row>
    <row r="146" spans="1:45"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row>
    <row r="147" spans="1:45"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row>
    <row r="148" spans="1:45"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row>
    <row r="149" spans="1:45"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row>
    <row r="150" spans="1:45"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row>
    <row r="151" spans="1:45"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row>
    <row r="152" spans="1:45"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row>
    <row r="153" spans="1:45"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row>
    <row r="154" spans="1:45"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row>
    <row r="155" spans="1:45"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row>
    <row r="156" spans="1:45"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row>
    <row r="157" spans="1:45"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row>
    <row r="158" spans="1:45"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row>
    <row r="159" spans="1:45"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row>
    <row r="160" spans="1:45"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row>
    <row r="161" spans="1:45"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row>
    <row r="162" spans="1:45"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row>
    <row r="163" spans="1:45"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row>
    <row r="164" spans="1:45"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row>
    <row r="165" spans="1:45"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row>
    <row r="166" spans="1:45"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row>
    <row r="167" spans="1:45"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row>
    <row r="168" spans="1:45"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row>
    <row r="169" spans="1:45"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row>
    <row r="170" spans="1:45"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row>
    <row r="171" spans="1:45"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row>
    <row r="172" spans="1:45"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row>
    <row r="173" spans="1:45"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row>
    <row r="174" spans="1:45"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row>
    <row r="175" spans="1:45"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row>
    <row r="176" spans="1:45"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row>
    <row r="177" spans="1:45"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row>
    <row r="178" spans="1:45"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row>
    <row r="179" spans="1:45"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row>
    <row r="180" spans="1:45"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row>
    <row r="181" spans="1:45"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row>
    <row r="182" spans="1:45"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row>
    <row r="183" spans="1:45"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row>
    <row r="184" spans="1:45"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row>
    <row r="185" spans="1:45"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row>
    <row r="186" spans="1:45"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row>
    <row r="187" spans="1:45"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row>
    <row r="188" spans="1:45"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row>
    <row r="189" spans="1:45"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row>
    <row r="190" spans="1:45"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row>
    <row r="191" spans="1:45"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row>
    <row r="192" spans="1:45"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500-000000000000}">
      <formula1>"TOU,non-TOU"</formula1>
    </dataValidation>
    <dataValidation type="list" allowBlank="1" showErrorMessage="1" sqref="E15:E28 E30:E38 E40:E41 E43:E51 E57 E63" xr:uid="{00000000-0002-0000-2500-000001000000}">
      <formula1>#REF!</formula1>
    </dataValidation>
    <dataValidation type="list" allowBlank="1" showInputMessage="1" showErrorMessage="1" prompt="Select Charge Unit - monthly, per kWh, per kW" sqref="D15:D28 D30:D38 D40:D41 D43:D51 D57 D63" xr:uid="{00000000-0002-0000-2500-000002000000}">
      <formula1>"Monthly,per kWh,per kW"</formula1>
    </dataValidation>
  </dataValidations>
  <pageMargins left="0.74803149606299213" right="0.74803149606299213" top="0.98425196850393704" bottom="0.98425196850393704"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S1000"/>
  <sheetViews>
    <sheetView showGridLines="0" workbookViewId="0">
      <pane ySplit="14" topLeftCell="A45" activePane="bottomLeft" state="frozen"/>
      <selection pane="bottomLeft" activeCell="R10" sqref="R10"/>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2.7109375" customWidth="1"/>
    <col min="6" max="6" width="10.7109375" customWidth="1"/>
    <col min="7" max="7" width="8.85546875" customWidth="1"/>
    <col min="8" max="8" width="11" customWidth="1"/>
    <col min="9" max="9" width="0.710937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710937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0.42578125"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2.1406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7109375" customWidth="1"/>
    <col min="38" max="38" width="10.42578125" customWidth="1"/>
    <col min="39" max="39" width="8.85546875" customWidth="1"/>
    <col min="40" max="40" width="11" customWidth="1"/>
    <col min="41" max="41" width="0.7109375" customWidth="1"/>
    <col min="42" max="42" width="9.42578125" customWidth="1"/>
    <col min="43" max="43" width="10" customWidth="1"/>
    <col min="44" max="44" width="1.28515625" customWidth="1"/>
    <col min="45" max="45" width="10.85546875" customWidth="1"/>
  </cols>
  <sheetData>
    <row r="1" spans="1:45" ht="7.5" customHeight="1">
      <c r="A1" s="52"/>
      <c r="B1" s="52"/>
      <c r="C1" s="555"/>
      <c r="D1" s="52"/>
      <c r="E1" s="52"/>
      <c r="F1" s="52"/>
      <c r="G1" s="52"/>
      <c r="H1" s="52"/>
      <c r="I1" s="52"/>
      <c r="J1" s="52"/>
      <c r="K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row>
    <row r="2" spans="1:45" ht="18.75" customHeight="1">
      <c r="A2" s="52"/>
      <c r="B2" s="52"/>
      <c r="C2" s="556"/>
      <c r="D2" s="379"/>
      <c r="E2" s="379"/>
      <c r="F2" s="379" t="s">
        <v>291</v>
      </c>
      <c r="G2" s="379"/>
      <c r="H2" s="379"/>
      <c r="I2" s="379"/>
      <c r="J2" s="128"/>
      <c r="K2" s="6"/>
      <c r="L2" s="379"/>
      <c r="M2" s="379"/>
      <c r="N2" s="379"/>
      <c r="O2" s="379"/>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row>
    <row r="3" spans="1:45" ht="18.75" customHeight="1">
      <c r="A3" s="52"/>
      <c r="B3" s="52"/>
      <c r="C3" s="556"/>
      <c r="D3" s="379"/>
      <c r="E3" s="379"/>
      <c r="F3" s="379" t="s">
        <v>293</v>
      </c>
      <c r="G3" s="379"/>
      <c r="H3" s="379"/>
      <c r="I3" s="379"/>
      <c r="J3" s="128"/>
      <c r="K3" s="6"/>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row>
    <row r="4" spans="1:45" ht="7.5" customHeight="1">
      <c r="A4" s="52"/>
      <c r="B4" s="52"/>
      <c r="C4" s="555"/>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row>
    <row r="5" spans="1:45" ht="7.5" customHeight="1">
      <c r="A5" s="52"/>
      <c r="B5" s="52"/>
      <c r="C5" s="555"/>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row>
    <row r="6" spans="1:45" ht="12.75" customHeight="1">
      <c r="A6" s="52"/>
      <c r="B6" s="319" t="s">
        <v>294</v>
      </c>
      <c r="C6" s="555"/>
      <c r="D6" s="381" t="s">
        <v>224</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row>
    <row r="7" spans="1:45" ht="15.75" customHeight="1">
      <c r="A7" s="52"/>
      <c r="B7" s="383"/>
      <c r="C7" s="555"/>
      <c r="D7" s="384"/>
      <c r="E7" s="384"/>
      <c r="F7" s="384"/>
      <c r="G7" s="384"/>
      <c r="H7" s="384"/>
      <c r="I7" s="384"/>
      <c r="J7" s="384"/>
      <c r="L7" s="576">
        <v>262</v>
      </c>
      <c r="M7" s="572" t="s">
        <v>419</v>
      </c>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row>
    <row r="8" spans="1:45" ht="12.75" customHeight="1">
      <c r="A8" s="52"/>
      <c r="B8" s="319" t="s">
        <v>295</v>
      </c>
      <c r="C8" s="555"/>
      <c r="D8" s="385" t="s">
        <v>296</v>
      </c>
      <c r="E8" s="384"/>
      <c r="F8" s="384"/>
      <c r="G8" s="384"/>
      <c r="H8" s="384"/>
      <c r="I8" s="384"/>
      <c r="J8" s="384"/>
      <c r="L8" s="576">
        <v>63264</v>
      </c>
      <c r="M8" s="572" t="s">
        <v>420</v>
      </c>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row>
    <row r="9" spans="1:45" ht="12.75" customHeight="1">
      <c r="A9" s="52"/>
      <c r="B9" s="383"/>
      <c r="C9" s="555"/>
      <c r="D9" s="306" t="s">
        <v>297</v>
      </c>
      <c r="E9" s="306"/>
      <c r="F9" s="386">
        <v>17860</v>
      </c>
      <c r="G9" s="306" t="s">
        <v>298</v>
      </c>
      <c r="H9" s="384"/>
      <c r="I9" s="384"/>
      <c r="J9" s="384"/>
      <c r="K9" s="384"/>
      <c r="L9" s="384"/>
      <c r="M9" s="384"/>
      <c r="N9" s="384"/>
      <c r="O9" s="384"/>
      <c r="P9" s="52"/>
      <c r="Q9" s="52"/>
      <c r="R9" s="128"/>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row>
    <row r="10" spans="1:45" ht="12.75" customHeight="1">
      <c r="A10" s="52"/>
      <c r="B10" s="52"/>
      <c r="C10" s="555"/>
      <c r="D10" s="52"/>
      <c r="E10" s="52"/>
      <c r="F10" s="386">
        <v>50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row>
    <row r="11" spans="1:45" ht="12.75" customHeight="1">
      <c r="A11" s="52"/>
      <c r="B11" s="52"/>
      <c r="C11" s="555"/>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c r="AS11" s="387"/>
    </row>
    <row r="12" spans="1:45" ht="12.75" customHeight="1">
      <c r="A12" s="52"/>
      <c r="B12" s="52"/>
      <c r="C12" s="555"/>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c r="AS12" s="566"/>
    </row>
    <row r="13" spans="1:45" ht="12.75" customHeight="1">
      <c r="A13" s="52"/>
      <c r="B13" s="52"/>
      <c r="C13" s="555"/>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c r="AS13" s="388"/>
    </row>
    <row r="14" spans="1:45" ht="12.75" customHeight="1">
      <c r="A14" s="52"/>
      <c r="B14" s="52"/>
      <c r="C14" s="555"/>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c r="AS14" s="388"/>
    </row>
    <row r="15" spans="1:45" ht="12.75" customHeight="1">
      <c r="A15" s="52"/>
      <c r="B15" s="320" t="s">
        <v>218</v>
      </c>
      <c r="C15" s="395" t="str">
        <f t="shared" ref="C15:C28" si="0">D$6&amp;"."&amp;B15</f>
        <v>Street Light.Monthly Service Charge</v>
      </c>
      <c r="D15" s="396" t="s">
        <v>306</v>
      </c>
      <c r="E15" s="320"/>
      <c r="F15" s="397">
        <f>IFERROR(VLOOKUP($C15,'Proposed Rates'!$B:$J,F$11,FALSE),0)</f>
        <v>1.1200000000000001</v>
      </c>
      <c r="G15" s="415">
        <f>L7</f>
        <v>262</v>
      </c>
      <c r="H15" s="400">
        <f t="shared" ref="H15:H28" si="1">G15*F15</f>
        <v>293.44000000000005</v>
      </c>
      <c r="I15" s="128"/>
      <c r="J15" s="397">
        <f>IFERROR(VLOOKUP($C15,'Proposed Rates'!$B:$J,J$11,FALSE),0)</f>
        <v>1.25</v>
      </c>
      <c r="K15" s="415">
        <f>G15</f>
        <v>262</v>
      </c>
      <c r="L15" s="400">
        <f t="shared" ref="L15:L28" si="2">K15*J15</f>
        <v>327.5</v>
      </c>
      <c r="M15" s="128"/>
      <c r="N15" s="401">
        <f t="shared" ref="N15:N34" si="3">L15-H15</f>
        <v>34.059999999999945</v>
      </c>
      <c r="O15" s="402">
        <f t="shared" ref="O15:O31" si="4">IF((H15)=0,"",(N15/H15))</f>
        <v>0.11607142857142837</v>
      </c>
      <c r="P15" s="52"/>
      <c r="Q15" s="397">
        <f>IFERROR(VLOOKUP($C15,'Proposed Rates'!$B:$J,Q$11,FALSE),0)</f>
        <v>1.21</v>
      </c>
      <c r="R15" s="415">
        <f>$L$7</f>
        <v>262</v>
      </c>
      <c r="S15" s="400">
        <f t="shared" ref="S15:S28" si="5">R15*Q15</f>
        <v>317.02</v>
      </c>
      <c r="T15" s="128"/>
      <c r="U15" s="401">
        <f t="shared" ref="U15:U31" si="6">S15-L15</f>
        <v>-10.480000000000018</v>
      </c>
      <c r="V15" s="402">
        <f t="shared" ref="V15:V31" si="7">IF((L15)=0,"",(U15/L15))</f>
        <v>-3.2000000000000056E-2</v>
      </c>
      <c r="W15" s="52"/>
      <c r="X15" s="397">
        <f>IFERROR(VLOOKUP($C15,'Proposed Rates'!$B:$J,X$11,FALSE),0)</f>
        <v>1.27</v>
      </c>
      <c r="Y15" s="415">
        <f>$L$7</f>
        <v>262</v>
      </c>
      <c r="Z15" s="400">
        <f t="shared" ref="Z15:Z28" si="8">Y15*X15</f>
        <v>332.74</v>
      </c>
      <c r="AA15" s="128"/>
      <c r="AB15" s="401">
        <f t="shared" ref="AB15:AB34" si="9">Z15-S15</f>
        <v>15.720000000000027</v>
      </c>
      <c r="AC15" s="402">
        <f t="shared" ref="AC15:AC34" si="10">IF((S15)=0,"",(AB15/S15))</f>
        <v>4.9586776859504224E-2</v>
      </c>
      <c r="AD15" s="52"/>
      <c r="AE15" s="397">
        <f>IFERROR(VLOOKUP($C15,'Proposed Rates'!$B:$J,AE$11,FALSE),0)</f>
        <v>1.29</v>
      </c>
      <c r="AF15" s="415">
        <f>$L$7</f>
        <v>262</v>
      </c>
      <c r="AG15" s="400">
        <f t="shared" ref="AG15:AG28" si="11">AF15*AE15</f>
        <v>337.98</v>
      </c>
      <c r="AH15" s="128"/>
      <c r="AI15" s="401">
        <f t="shared" ref="AI15:AI37" si="12">AG15-Z15</f>
        <v>5.2400000000000091</v>
      </c>
      <c r="AJ15" s="402">
        <f t="shared" ref="AJ15:AJ37" si="13">IF((Z15)=0,"",(AI15/Z15))</f>
        <v>1.574803149606302E-2</v>
      </c>
      <c r="AK15" s="52"/>
      <c r="AL15" s="397">
        <f>IFERROR(VLOOKUP($C15,'Proposed Rates'!$B:$J,AL$11,FALSE),0)</f>
        <v>1.35</v>
      </c>
      <c r="AM15" s="415">
        <f>$L$7</f>
        <v>262</v>
      </c>
      <c r="AN15" s="400">
        <f t="shared" ref="AN15:AN28" si="14">AM15*AL15</f>
        <v>353.70000000000005</v>
      </c>
      <c r="AO15" s="128"/>
      <c r="AP15" s="401">
        <f t="shared" ref="AP15:AP31" si="15">AN15-AG15</f>
        <v>15.720000000000027</v>
      </c>
      <c r="AQ15" s="402">
        <f t="shared" ref="AQ15:AQ31" si="16">IF((AG15)=0,"",(AP15/AG15))</f>
        <v>4.651162790697682E-2</v>
      </c>
      <c r="AR15" s="403"/>
      <c r="AS15" s="403"/>
    </row>
    <row r="16" spans="1:45" ht="12.75" customHeight="1">
      <c r="A16" s="52"/>
      <c r="B16" s="320" t="s">
        <v>307</v>
      </c>
      <c r="C16" s="395" t="str">
        <f t="shared" si="0"/>
        <v>Street Light.Smart Meter Rate Adder</v>
      </c>
      <c r="D16" s="396" t="s">
        <v>306</v>
      </c>
      <c r="E16" s="320"/>
      <c r="F16" s="397">
        <f>IFERROR(VLOOKUP($C16,'Proposed Rates'!$B:$J,F$11,FALSE),0)</f>
        <v>0</v>
      </c>
      <c r="G16" s="415">
        <f t="shared" ref="G16:G28" si="17">IF($D16="Monthly",1,IF($D16="per KW",$F$10,IF($D16="per kWh",$F$9,0)))</f>
        <v>1</v>
      </c>
      <c r="H16" s="400">
        <f t="shared" si="1"/>
        <v>0</v>
      </c>
      <c r="I16" s="128"/>
      <c r="J16" s="397">
        <f>IFERROR(VLOOKUP($C16,'Proposed Rates'!$B:$J,J$11,FALSE),0)</f>
        <v>0</v>
      </c>
      <c r="K16" s="415">
        <f t="shared" ref="K16:K28" si="18">IF($D16="Monthly",1,IF($D16="per KW",$F$10,IF($D16="per kWh",$F$9,0)))</f>
        <v>1</v>
      </c>
      <c r="L16" s="400">
        <f t="shared" si="2"/>
        <v>0</v>
      </c>
      <c r="M16" s="128"/>
      <c r="N16" s="401">
        <f t="shared" si="3"/>
        <v>0</v>
      </c>
      <c r="O16" s="402" t="str">
        <f t="shared" si="4"/>
        <v/>
      </c>
      <c r="P16" s="52"/>
      <c r="Q16" s="397">
        <f>IFERROR(VLOOKUP($C16,'Proposed Rates'!$B:$J,Q$11,FALSE),0)</f>
        <v>0</v>
      </c>
      <c r="R16" s="415">
        <f t="shared" ref="R16:R28" si="19">IF($D16="Monthly",1,IF($D16="per KW",$F$10,IF($D16="per kWh",$F$9,0)))</f>
        <v>1</v>
      </c>
      <c r="S16" s="400">
        <f t="shared" si="5"/>
        <v>0</v>
      </c>
      <c r="T16" s="128"/>
      <c r="U16" s="401">
        <f t="shared" si="6"/>
        <v>0</v>
      </c>
      <c r="V16" s="402" t="str">
        <f t="shared" si="7"/>
        <v/>
      </c>
      <c r="W16" s="52"/>
      <c r="X16" s="397">
        <f>IFERROR(VLOOKUP($C16,'Proposed Rates'!$B:$J,X$11,FALSE),0)</f>
        <v>0</v>
      </c>
      <c r="Y16" s="415">
        <f t="shared" ref="Y16:Y28" si="20">IF($D16="Monthly",1,IF($D16="per KW",$F$10,IF($D16="per kWh",$F$9,0)))</f>
        <v>1</v>
      </c>
      <c r="Z16" s="400">
        <f t="shared" si="8"/>
        <v>0</v>
      </c>
      <c r="AA16" s="128"/>
      <c r="AB16" s="401">
        <f t="shared" si="9"/>
        <v>0</v>
      </c>
      <c r="AC16" s="402" t="str">
        <f t="shared" si="10"/>
        <v/>
      </c>
      <c r="AD16" s="52"/>
      <c r="AE16" s="397">
        <f>IFERROR(VLOOKUP($C16,'Proposed Rates'!$B:$J,AE$11,FALSE),0)</f>
        <v>0</v>
      </c>
      <c r="AF16" s="415">
        <f t="shared" ref="AF16:AF28" si="21">IF($D16="Monthly",1,IF($D16="per KW",$F$10,IF($D16="per kWh",$F$9,0)))</f>
        <v>1</v>
      </c>
      <c r="AG16" s="400">
        <f t="shared" si="11"/>
        <v>0</v>
      </c>
      <c r="AH16" s="128"/>
      <c r="AI16" s="401">
        <f t="shared" si="12"/>
        <v>0</v>
      </c>
      <c r="AJ16" s="402" t="str">
        <f t="shared" si="13"/>
        <v/>
      </c>
      <c r="AK16" s="52"/>
      <c r="AL16" s="397">
        <f>IFERROR(VLOOKUP($C16,'Proposed Rates'!$B:$J,AL$11,FALSE),0)</f>
        <v>0</v>
      </c>
      <c r="AM16" s="415">
        <f t="shared" ref="AM16:AM28" si="22">IF($D16="Monthly",1,IF($D16="per KW",$F$10,IF($D16="per kWh",$F$9,0)))</f>
        <v>1</v>
      </c>
      <c r="AN16" s="400">
        <f t="shared" si="14"/>
        <v>0</v>
      </c>
      <c r="AO16" s="128"/>
      <c r="AP16" s="401">
        <f t="shared" si="15"/>
        <v>0</v>
      </c>
      <c r="AQ16" s="402" t="str">
        <f t="shared" si="16"/>
        <v/>
      </c>
      <c r="AR16" s="403"/>
      <c r="AS16" s="403"/>
    </row>
    <row r="17" spans="1:45" ht="12.75" customHeight="1">
      <c r="A17" s="52"/>
      <c r="B17" s="404" t="str">
        <f>'Proposed Rates'!C115</f>
        <v>Rate Rider Calculation for PILs</v>
      </c>
      <c r="C17" s="395" t="str">
        <f t="shared" si="0"/>
        <v>Street Light.Rate Rider Calculation for PILs</v>
      </c>
      <c r="D17" s="396" t="s">
        <v>377</v>
      </c>
      <c r="E17" s="320"/>
      <c r="F17" s="397">
        <f>IFERROR(VLOOKUP($C17,'Proposed Rates'!$B:$J,F$11,FALSE),0)</f>
        <v>0</v>
      </c>
      <c r="G17" s="415">
        <f t="shared" si="17"/>
        <v>50</v>
      </c>
      <c r="H17" s="400">
        <f t="shared" si="1"/>
        <v>0</v>
      </c>
      <c r="I17" s="128"/>
      <c r="J17" s="397">
        <f>IFERROR(VLOOKUP($C17,'Proposed Rates'!$B:$J,J$11,FALSE),0)</f>
        <v>0</v>
      </c>
      <c r="K17" s="415">
        <f t="shared" si="18"/>
        <v>50</v>
      </c>
      <c r="L17" s="400">
        <f t="shared" si="2"/>
        <v>0</v>
      </c>
      <c r="M17" s="128"/>
      <c r="N17" s="401">
        <f t="shared" si="3"/>
        <v>0</v>
      </c>
      <c r="O17" s="402" t="str">
        <f t="shared" si="4"/>
        <v/>
      </c>
      <c r="P17" s="52"/>
      <c r="Q17" s="397">
        <f>IFERROR(VLOOKUP($C17,'Proposed Rates'!$B:$J,Q$11,FALSE),0)</f>
        <v>0</v>
      </c>
      <c r="R17" s="415">
        <f t="shared" si="19"/>
        <v>50</v>
      </c>
      <c r="S17" s="400">
        <f t="shared" si="5"/>
        <v>0</v>
      </c>
      <c r="T17" s="128"/>
      <c r="U17" s="401">
        <f t="shared" si="6"/>
        <v>0</v>
      </c>
      <c r="V17" s="402" t="str">
        <f t="shared" si="7"/>
        <v/>
      </c>
      <c r="W17" s="52"/>
      <c r="X17" s="397">
        <f>IFERROR(VLOOKUP($C17,'Proposed Rates'!$B:$J,X$11,FALSE),0)</f>
        <v>0</v>
      </c>
      <c r="Y17" s="415">
        <f t="shared" si="20"/>
        <v>50</v>
      </c>
      <c r="Z17" s="400">
        <f t="shared" si="8"/>
        <v>0</v>
      </c>
      <c r="AA17" s="128"/>
      <c r="AB17" s="401">
        <f t="shared" si="9"/>
        <v>0</v>
      </c>
      <c r="AC17" s="402" t="str">
        <f t="shared" si="10"/>
        <v/>
      </c>
      <c r="AD17" s="52"/>
      <c r="AE17" s="397">
        <f>IFERROR(VLOOKUP($C17,'Proposed Rates'!$B:$J,AE$11,FALSE),0)</f>
        <v>0</v>
      </c>
      <c r="AF17" s="415">
        <f t="shared" si="21"/>
        <v>50</v>
      </c>
      <c r="AG17" s="400">
        <f t="shared" si="11"/>
        <v>0</v>
      </c>
      <c r="AH17" s="128"/>
      <c r="AI17" s="401">
        <f t="shared" si="12"/>
        <v>0</v>
      </c>
      <c r="AJ17" s="402" t="str">
        <f t="shared" si="13"/>
        <v/>
      </c>
      <c r="AK17" s="52"/>
      <c r="AL17" s="397">
        <f>IFERROR(VLOOKUP($C17,'Proposed Rates'!$B:$J,AL$11,FALSE),0)</f>
        <v>0</v>
      </c>
      <c r="AM17" s="415">
        <f t="shared" si="22"/>
        <v>50</v>
      </c>
      <c r="AN17" s="400">
        <f t="shared" si="14"/>
        <v>0</v>
      </c>
      <c r="AO17" s="128"/>
      <c r="AP17" s="401">
        <f t="shared" si="15"/>
        <v>0</v>
      </c>
      <c r="AQ17" s="402" t="str">
        <f t="shared" si="16"/>
        <v/>
      </c>
      <c r="AR17" s="403"/>
      <c r="AS17" s="403"/>
    </row>
    <row r="18" spans="1:45" ht="12.75" customHeight="1">
      <c r="A18" s="52"/>
      <c r="B18" s="404" t="str">
        <f>'Proposed Rates'!C128</f>
        <v>Rate Rider Calculation for Generic</v>
      </c>
      <c r="C18" s="395" t="str">
        <f t="shared" si="0"/>
        <v>Street Light.Rate Rider Calculation for Generic</v>
      </c>
      <c r="D18" s="396" t="s">
        <v>377</v>
      </c>
      <c r="E18" s="320"/>
      <c r="F18" s="397">
        <f>IFERROR(VLOOKUP($C18,'Proposed Rates'!$B:$J,F$11,FALSE),0)</f>
        <v>0</v>
      </c>
      <c r="G18" s="415">
        <f t="shared" si="17"/>
        <v>50</v>
      </c>
      <c r="H18" s="400">
        <f t="shared" si="1"/>
        <v>0</v>
      </c>
      <c r="I18" s="128"/>
      <c r="J18" s="397">
        <f>IFERROR(VLOOKUP($C18,'Proposed Rates'!$B:$J,J$11,FALSE),0)</f>
        <v>0</v>
      </c>
      <c r="K18" s="415">
        <f t="shared" si="18"/>
        <v>50</v>
      </c>
      <c r="L18" s="400">
        <f t="shared" si="2"/>
        <v>0</v>
      </c>
      <c r="M18" s="128"/>
      <c r="N18" s="401">
        <f t="shared" si="3"/>
        <v>0</v>
      </c>
      <c r="O18" s="402" t="str">
        <f t="shared" si="4"/>
        <v/>
      </c>
      <c r="P18" s="52"/>
      <c r="Q18" s="397">
        <f>IFERROR(VLOOKUP($C18,'Proposed Rates'!$B:$J,Q$11,FALSE),0)</f>
        <v>0</v>
      </c>
      <c r="R18" s="415">
        <f t="shared" si="19"/>
        <v>50</v>
      </c>
      <c r="S18" s="400">
        <f t="shared" si="5"/>
        <v>0</v>
      </c>
      <c r="T18" s="128"/>
      <c r="U18" s="401">
        <f t="shared" si="6"/>
        <v>0</v>
      </c>
      <c r="V18" s="402" t="str">
        <f t="shared" si="7"/>
        <v/>
      </c>
      <c r="W18" s="52"/>
      <c r="X18" s="397">
        <f>IFERROR(VLOOKUP($C18,'Proposed Rates'!$B:$J,X$11,FALSE),0)</f>
        <v>0</v>
      </c>
      <c r="Y18" s="415">
        <f t="shared" si="20"/>
        <v>50</v>
      </c>
      <c r="Z18" s="400">
        <f t="shared" si="8"/>
        <v>0</v>
      </c>
      <c r="AA18" s="128"/>
      <c r="AB18" s="401">
        <f t="shared" si="9"/>
        <v>0</v>
      </c>
      <c r="AC18" s="402" t="str">
        <f t="shared" si="10"/>
        <v/>
      </c>
      <c r="AD18" s="52"/>
      <c r="AE18" s="397">
        <f>IFERROR(VLOOKUP($C18,'Proposed Rates'!$B:$J,AE$11,FALSE),0)</f>
        <v>0</v>
      </c>
      <c r="AF18" s="415">
        <f t="shared" si="21"/>
        <v>50</v>
      </c>
      <c r="AG18" s="400">
        <f t="shared" si="11"/>
        <v>0</v>
      </c>
      <c r="AH18" s="128"/>
      <c r="AI18" s="401">
        <f t="shared" si="12"/>
        <v>0</v>
      </c>
      <c r="AJ18" s="402" t="str">
        <f t="shared" si="13"/>
        <v/>
      </c>
      <c r="AK18" s="52"/>
      <c r="AL18" s="397">
        <f>IFERROR(VLOOKUP($C18,'Proposed Rates'!$B:$J,AL$11,FALSE),0)</f>
        <v>0</v>
      </c>
      <c r="AM18" s="415">
        <f t="shared" si="22"/>
        <v>50</v>
      </c>
      <c r="AN18" s="400">
        <f t="shared" si="14"/>
        <v>0</v>
      </c>
      <c r="AO18" s="128"/>
      <c r="AP18" s="401">
        <f t="shared" si="15"/>
        <v>0</v>
      </c>
      <c r="AQ18" s="402" t="str">
        <f t="shared" si="16"/>
        <v/>
      </c>
      <c r="AR18" s="403"/>
      <c r="AS18" s="403"/>
    </row>
    <row r="19" spans="1:45" ht="12.75" customHeight="1">
      <c r="A19" s="52"/>
      <c r="B19" s="320" t="s">
        <v>59</v>
      </c>
      <c r="C19" s="395" t="str">
        <f t="shared" si="0"/>
        <v>Street Light.Distribution Volumetric Rate</v>
      </c>
      <c r="D19" s="396" t="s">
        <v>377</v>
      </c>
      <c r="E19" s="320"/>
      <c r="F19" s="414">
        <f>IFERROR(VLOOKUP($C19,'Proposed Rates'!$B:$J,F$11,FALSE),0)</f>
        <v>7.8163999999999998</v>
      </c>
      <c r="G19" s="415">
        <f t="shared" si="17"/>
        <v>50</v>
      </c>
      <c r="H19" s="400">
        <f t="shared" si="1"/>
        <v>390.82</v>
      </c>
      <c r="I19" s="128"/>
      <c r="J19" s="414">
        <f>IFERROR(VLOOKUP($C19,'Proposed Rates'!$B:$J,J$11,FALSE),0)</f>
        <v>8.6377000000000006</v>
      </c>
      <c r="K19" s="415">
        <f t="shared" si="18"/>
        <v>50</v>
      </c>
      <c r="L19" s="400">
        <f t="shared" si="2"/>
        <v>431.88500000000005</v>
      </c>
      <c r="M19" s="128"/>
      <c r="N19" s="401">
        <f t="shared" si="3"/>
        <v>41.065000000000055</v>
      </c>
      <c r="O19" s="402">
        <f t="shared" si="4"/>
        <v>0.105073947085615</v>
      </c>
      <c r="P19" s="52"/>
      <c r="Q19" s="414">
        <f>IFERROR(VLOOKUP($C19,'Proposed Rates'!$B:$J,Q$11,FALSE),0)</f>
        <v>8.4458000000000002</v>
      </c>
      <c r="R19" s="415">
        <f t="shared" si="19"/>
        <v>50</v>
      </c>
      <c r="S19" s="400">
        <f t="shared" si="5"/>
        <v>422.29</v>
      </c>
      <c r="T19" s="128"/>
      <c r="U19" s="401">
        <f t="shared" si="6"/>
        <v>-9.5950000000000273</v>
      </c>
      <c r="V19" s="402">
        <f t="shared" si="7"/>
        <v>-2.2216562279310525E-2</v>
      </c>
      <c r="W19" s="52"/>
      <c r="X19" s="414">
        <f>IFERROR(VLOOKUP($C19,'Proposed Rates'!$B:$J,X$11,FALSE),0)</f>
        <v>8.9296000000000006</v>
      </c>
      <c r="Y19" s="415">
        <f t="shared" si="20"/>
        <v>50</v>
      </c>
      <c r="Z19" s="400">
        <f t="shared" si="8"/>
        <v>446.48</v>
      </c>
      <c r="AA19" s="128"/>
      <c r="AB19" s="401">
        <f t="shared" si="9"/>
        <v>24.189999999999998</v>
      </c>
      <c r="AC19" s="402">
        <f t="shared" si="10"/>
        <v>5.728290984868218E-2</v>
      </c>
      <c r="AD19" s="52"/>
      <c r="AE19" s="414">
        <f>IFERROR(VLOOKUP($C19,'Proposed Rates'!$B:$J,AE$11,FALSE),0)</f>
        <v>9.0349000000000004</v>
      </c>
      <c r="AF19" s="415">
        <f t="shared" si="21"/>
        <v>50</v>
      </c>
      <c r="AG19" s="400">
        <f t="shared" si="11"/>
        <v>451.745</v>
      </c>
      <c r="AH19" s="128"/>
      <c r="AI19" s="401">
        <f t="shared" si="12"/>
        <v>5.2649999999999864</v>
      </c>
      <c r="AJ19" s="402">
        <f t="shared" si="13"/>
        <v>1.1792241533775278E-2</v>
      </c>
      <c r="AK19" s="52"/>
      <c r="AL19" s="414">
        <f>IFERROR(VLOOKUP($C19,'Proposed Rates'!$B:$J,AL$11,FALSE),0)</f>
        <v>9.4875000000000007</v>
      </c>
      <c r="AM19" s="415">
        <f t="shared" si="22"/>
        <v>50</v>
      </c>
      <c r="AN19" s="400">
        <f t="shared" si="14"/>
        <v>474.37500000000006</v>
      </c>
      <c r="AO19" s="128"/>
      <c r="AP19" s="401">
        <f t="shared" si="15"/>
        <v>22.630000000000052</v>
      </c>
      <c r="AQ19" s="402">
        <f t="shared" si="16"/>
        <v>5.009463303412335E-2</v>
      </c>
      <c r="AR19" s="403"/>
      <c r="AS19" s="403"/>
    </row>
    <row r="20" spans="1:45" ht="12.75" customHeight="1">
      <c r="A20" s="52"/>
      <c r="B20" s="320" t="s">
        <v>309</v>
      </c>
      <c r="C20" s="395" t="str">
        <f t="shared" si="0"/>
        <v>Street Light.Smart Meter Disposition Rider</v>
      </c>
      <c r="D20" s="396" t="s">
        <v>308</v>
      </c>
      <c r="E20" s="320"/>
      <c r="F20" s="397">
        <f>IFERROR(VLOOKUP($C20,'Proposed Rates'!$B:$J,F$11,FALSE),0)</f>
        <v>0</v>
      </c>
      <c r="G20" s="415">
        <f t="shared" si="17"/>
        <v>17860</v>
      </c>
      <c r="H20" s="400">
        <f t="shared" si="1"/>
        <v>0</v>
      </c>
      <c r="I20" s="128"/>
      <c r="J20" s="397">
        <f>IFERROR(VLOOKUP($C20,'Proposed Rates'!$B:$J,J$11,FALSE),0)</f>
        <v>0</v>
      </c>
      <c r="K20" s="415">
        <f t="shared" si="18"/>
        <v>17860</v>
      </c>
      <c r="L20" s="400">
        <f t="shared" si="2"/>
        <v>0</v>
      </c>
      <c r="M20" s="128"/>
      <c r="N20" s="401">
        <f t="shared" si="3"/>
        <v>0</v>
      </c>
      <c r="O20" s="402" t="str">
        <f t="shared" si="4"/>
        <v/>
      </c>
      <c r="P20" s="52"/>
      <c r="Q20" s="397">
        <f>IFERROR(VLOOKUP($C20,'Proposed Rates'!$B:$J,Q$11,FALSE),0)</f>
        <v>0</v>
      </c>
      <c r="R20" s="415">
        <f t="shared" si="19"/>
        <v>17860</v>
      </c>
      <c r="S20" s="400">
        <f t="shared" si="5"/>
        <v>0</v>
      </c>
      <c r="T20" s="128"/>
      <c r="U20" s="401">
        <f t="shared" si="6"/>
        <v>0</v>
      </c>
      <c r="V20" s="402" t="str">
        <f t="shared" si="7"/>
        <v/>
      </c>
      <c r="W20" s="52"/>
      <c r="X20" s="397">
        <f>IFERROR(VLOOKUP($C20,'Proposed Rates'!$B:$J,X$11,FALSE),0)</f>
        <v>0</v>
      </c>
      <c r="Y20" s="415">
        <f t="shared" si="20"/>
        <v>17860</v>
      </c>
      <c r="Z20" s="400">
        <f t="shared" si="8"/>
        <v>0</v>
      </c>
      <c r="AA20" s="128"/>
      <c r="AB20" s="401">
        <f t="shared" si="9"/>
        <v>0</v>
      </c>
      <c r="AC20" s="402" t="str">
        <f t="shared" si="10"/>
        <v/>
      </c>
      <c r="AD20" s="52"/>
      <c r="AE20" s="397">
        <f>IFERROR(VLOOKUP($C20,'Proposed Rates'!$B:$J,AE$11,FALSE),0)</f>
        <v>0</v>
      </c>
      <c r="AF20" s="415">
        <f t="shared" si="21"/>
        <v>17860</v>
      </c>
      <c r="AG20" s="400">
        <f t="shared" si="11"/>
        <v>0</v>
      </c>
      <c r="AH20" s="128"/>
      <c r="AI20" s="401">
        <f t="shared" si="12"/>
        <v>0</v>
      </c>
      <c r="AJ20" s="402" t="str">
        <f t="shared" si="13"/>
        <v/>
      </c>
      <c r="AK20" s="52"/>
      <c r="AL20" s="397">
        <f>IFERROR(VLOOKUP($C20,'Proposed Rates'!$B:$J,AL$11,FALSE),0)</f>
        <v>0</v>
      </c>
      <c r="AM20" s="415">
        <f t="shared" si="22"/>
        <v>17860</v>
      </c>
      <c r="AN20" s="400">
        <f t="shared" si="14"/>
        <v>0</v>
      </c>
      <c r="AO20" s="128"/>
      <c r="AP20" s="401">
        <f t="shared" si="15"/>
        <v>0</v>
      </c>
      <c r="AQ20" s="402" t="str">
        <f t="shared" si="16"/>
        <v/>
      </c>
      <c r="AR20" s="403"/>
      <c r="AS20" s="403"/>
    </row>
    <row r="21" spans="1:45" ht="12.75" customHeight="1">
      <c r="A21" s="52"/>
      <c r="B21" s="320" t="s">
        <v>241</v>
      </c>
      <c r="C21" s="395" t="str">
        <f t="shared" si="0"/>
        <v>Street Light.LRAM Rate Rider</v>
      </c>
      <c r="D21" s="396" t="s">
        <v>377</v>
      </c>
      <c r="E21" s="320"/>
      <c r="F21" s="414">
        <f>'Proposed Rates'!E82+'Proposed Rates'!E95</f>
        <v>4.8925000000000001</v>
      </c>
      <c r="G21" s="415">
        <f t="shared" si="17"/>
        <v>50</v>
      </c>
      <c r="H21" s="400">
        <f t="shared" si="1"/>
        <v>244.625</v>
      </c>
      <c r="I21" s="128"/>
      <c r="J21" s="414">
        <f>'Proposed Rates'!F82+'Proposed Rates'!F95</f>
        <v>4.2885999999999997</v>
      </c>
      <c r="K21" s="415">
        <f t="shared" si="18"/>
        <v>50</v>
      </c>
      <c r="L21" s="400">
        <f t="shared" si="2"/>
        <v>214.42999999999998</v>
      </c>
      <c r="M21" s="128"/>
      <c r="N21" s="401">
        <f t="shared" si="3"/>
        <v>-30.195000000000022</v>
      </c>
      <c r="O21" s="402">
        <f t="shared" si="4"/>
        <v>-0.12343382728666334</v>
      </c>
      <c r="P21" s="52"/>
      <c r="Q21" s="414">
        <f>'Proposed Rates'!G82+'Proposed Rates'!G95</f>
        <v>0</v>
      </c>
      <c r="R21" s="415">
        <f t="shared" si="19"/>
        <v>50</v>
      </c>
      <c r="S21" s="400">
        <f t="shared" si="5"/>
        <v>0</v>
      </c>
      <c r="T21" s="128"/>
      <c r="U21" s="401">
        <f t="shared" si="6"/>
        <v>-214.42999999999998</v>
      </c>
      <c r="V21" s="402">
        <f t="shared" si="7"/>
        <v>-1</v>
      </c>
      <c r="W21" s="52"/>
      <c r="X21" s="414">
        <f>IFERROR(VLOOKUP($C21,'Proposed Rates'!$B:$J,X$11,FALSE),0)</f>
        <v>0</v>
      </c>
      <c r="Y21" s="415">
        <f t="shared" si="20"/>
        <v>50</v>
      </c>
      <c r="Z21" s="400">
        <f t="shared" si="8"/>
        <v>0</v>
      </c>
      <c r="AA21" s="128"/>
      <c r="AB21" s="401">
        <f t="shared" si="9"/>
        <v>0</v>
      </c>
      <c r="AC21" s="402" t="str">
        <f t="shared" si="10"/>
        <v/>
      </c>
      <c r="AD21" s="52"/>
      <c r="AE21" s="414">
        <f>IFERROR(VLOOKUP($C21,'Proposed Rates'!$B:$J,AE$11,FALSE),0)</f>
        <v>0</v>
      </c>
      <c r="AF21" s="415">
        <f t="shared" si="21"/>
        <v>50</v>
      </c>
      <c r="AG21" s="400">
        <f t="shared" si="11"/>
        <v>0</v>
      </c>
      <c r="AH21" s="128"/>
      <c r="AI21" s="401">
        <f t="shared" si="12"/>
        <v>0</v>
      </c>
      <c r="AJ21" s="402" t="str">
        <f t="shared" si="13"/>
        <v/>
      </c>
      <c r="AK21" s="52"/>
      <c r="AL21" s="414">
        <f>IFERROR(VLOOKUP($C21,'Proposed Rates'!$B:$J,AL$11,FALSE),0)</f>
        <v>0</v>
      </c>
      <c r="AM21" s="415">
        <f t="shared" si="22"/>
        <v>50</v>
      </c>
      <c r="AN21" s="400">
        <f t="shared" si="14"/>
        <v>0</v>
      </c>
      <c r="AO21" s="128"/>
      <c r="AP21" s="401">
        <f t="shared" si="15"/>
        <v>0</v>
      </c>
      <c r="AQ21" s="402" t="str">
        <f t="shared" si="16"/>
        <v/>
      </c>
      <c r="AR21" s="403"/>
      <c r="AS21" s="403"/>
    </row>
    <row r="22" spans="1:45" ht="12.75" customHeight="1">
      <c r="A22" s="52"/>
      <c r="B22" s="404" t="s">
        <v>237</v>
      </c>
      <c r="C22" s="395" t="str">
        <f t="shared" si="0"/>
        <v>Street Light.Deferral/Variance Account Disposition Rate Rider Group 2</v>
      </c>
      <c r="D22" s="396" t="s">
        <v>377</v>
      </c>
      <c r="E22" s="320"/>
      <c r="F22" s="397">
        <f>IFERROR(VLOOKUP($C22,'Proposed Rates'!$B:$J,F$11,FALSE),0)</f>
        <v>0</v>
      </c>
      <c r="G22" s="415">
        <f t="shared" si="17"/>
        <v>50</v>
      </c>
      <c r="H22" s="400">
        <f t="shared" si="1"/>
        <v>0</v>
      </c>
      <c r="I22" s="128"/>
      <c r="J22" s="397">
        <f>IFERROR(VLOOKUP($C22,'Proposed Rates'!$B:$J,J$11,FALSE),0)</f>
        <v>-0.33589999999999998</v>
      </c>
      <c r="K22" s="415">
        <f t="shared" si="18"/>
        <v>50</v>
      </c>
      <c r="L22" s="400">
        <f t="shared" si="2"/>
        <v>-16.794999999999998</v>
      </c>
      <c r="M22" s="128"/>
      <c r="N22" s="401">
        <f t="shared" si="3"/>
        <v>-16.794999999999998</v>
      </c>
      <c r="O22" s="402" t="str">
        <f t="shared" si="4"/>
        <v/>
      </c>
      <c r="P22" s="52"/>
      <c r="Q22" s="397">
        <f>IFERROR(VLOOKUP($C22,'Proposed Rates'!$B:$J,Q$11,FALSE),0)</f>
        <v>0</v>
      </c>
      <c r="R22" s="415">
        <f t="shared" si="19"/>
        <v>50</v>
      </c>
      <c r="S22" s="400">
        <f t="shared" si="5"/>
        <v>0</v>
      </c>
      <c r="T22" s="128"/>
      <c r="U22" s="401">
        <f t="shared" si="6"/>
        <v>16.794999999999998</v>
      </c>
      <c r="V22" s="402">
        <f t="shared" si="7"/>
        <v>-1</v>
      </c>
      <c r="W22" s="52"/>
      <c r="X22" s="397">
        <f>IFERROR(VLOOKUP($C22,'Proposed Rates'!$B:$J,X$11,FALSE),0)</f>
        <v>0</v>
      </c>
      <c r="Y22" s="415">
        <f t="shared" si="20"/>
        <v>50</v>
      </c>
      <c r="Z22" s="400">
        <f t="shared" si="8"/>
        <v>0</v>
      </c>
      <c r="AA22" s="128"/>
      <c r="AB22" s="401">
        <f t="shared" si="9"/>
        <v>0</v>
      </c>
      <c r="AC22" s="402" t="str">
        <f t="shared" si="10"/>
        <v/>
      </c>
      <c r="AD22" s="52"/>
      <c r="AE22" s="397">
        <f>IFERROR(VLOOKUP($C22,'Proposed Rates'!$B:$J,AE$11,FALSE),0)</f>
        <v>0</v>
      </c>
      <c r="AF22" s="415">
        <f t="shared" si="21"/>
        <v>50</v>
      </c>
      <c r="AG22" s="400">
        <f t="shared" si="11"/>
        <v>0</v>
      </c>
      <c r="AH22" s="128"/>
      <c r="AI22" s="401">
        <f t="shared" si="12"/>
        <v>0</v>
      </c>
      <c r="AJ22" s="402" t="str">
        <f t="shared" si="13"/>
        <v/>
      </c>
      <c r="AK22" s="52"/>
      <c r="AL22" s="397">
        <f>IFERROR(VLOOKUP($C22,'Proposed Rates'!$B:$J,AL$11,FALSE),0)</f>
        <v>0</v>
      </c>
      <c r="AM22" s="415">
        <f t="shared" si="22"/>
        <v>50</v>
      </c>
      <c r="AN22" s="400">
        <f t="shared" si="14"/>
        <v>0</v>
      </c>
      <c r="AO22" s="128"/>
      <c r="AP22" s="401">
        <f t="shared" si="15"/>
        <v>0</v>
      </c>
      <c r="AQ22" s="402" t="str">
        <f t="shared" si="16"/>
        <v/>
      </c>
      <c r="AR22" s="403"/>
      <c r="AS22" s="403"/>
    </row>
    <row r="23" spans="1:45" ht="12.75" customHeight="1">
      <c r="A23" s="52"/>
      <c r="B23" s="404"/>
      <c r="C23" s="395" t="str">
        <f t="shared" si="0"/>
        <v>Street Light.</v>
      </c>
      <c r="D23" s="396"/>
      <c r="E23" s="320"/>
      <c r="F23" s="397">
        <f>IFERROR(VLOOKUP($C23,'Proposed Rates'!$B:$J,F$11,FALSE),0)</f>
        <v>0</v>
      </c>
      <c r="G23" s="415">
        <f t="shared" si="17"/>
        <v>0</v>
      </c>
      <c r="H23" s="400">
        <f t="shared" si="1"/>
        <v>0</v>
      </c>
      <c r="I23" s="128"/>
      <c r="J23" s="397">
        <f>IFERROR(VLOOKUP($C23,'Proposed Rates'!$B:$J,J$11,FALSE),0)</f>
        <v>0</v>
      </c>
      <c r="K23" s="415">
        <f t="shared" si="18"/>
        <v>0</v>
      </c>
      <c r="L23" s="400">
        <f t="shared" si="2"/>
        <v>0</v>
      </c>
      <c r="M23" s="128"/>
      <c r="N23" s="401">
        <f t="shared" si="3"/>
        <v>0</v>
      </c>
      <c r="O23" s="402" t="str">
        <f t="shared" si="4"/>
        <v/>
      </c>
      <c r="P23" s="52"/>
      <c r="Q23" s="397">
        <f>IFERROR(VLOOKUP($C23,'Proposed Rates'!$B:$J,Q$11,FALSE),0)</f>
        <v>0</v>
      </c>
      <c r="R23" s="415">
        <f t="shared" si="19"/>
        <v>0</v>
      </c>
      <c r="S23" s="400">
        <f t="shared" si="5"/>
        <v>0</v>
      </c>
      <c r="T23" s="128"/>
      <c r="U23" s="401">
        <f t="shared" si="6"/>
        <v>0</v>
      </c>
      <c r="V23" s="402" t="str">
        <f t="shared" si="7"/>
        <v/>
      </c>
      <c r="W23" s="52"/>
      <c r="X23" s="397">
        <f>IFERROR(VLOOKUP($C23,'Proposed Rates'!$B:$J,X$11,FALSE),0)</f>
        <v>0</v>
      </c>
      <c r="Y23" s="415">
        <f t="shared" si="20"/>
        <v>0</v>
      </c>
      <c r="Z23" s="400">
        <f t="shared" si="8"/>
        <v>0</v>
      </c>
      <c r="AA23" s="128"/>
      <c r="AB23" s="401">
        <f t="shared" si="9"/>
        <v>0</v>
      </c>
      <c r="AC23" s="402" t="str">
        <f t="shared" si="10"/>
        <v/>
      </c>
      <c r="AD23" s="52"/>
      <c r="AE23" s="397">
        <f>IFERROR(VLOOKUP($C23,'Proposed Rates'!$B:$J,AE$11,FALSE),0)</f>
        <v>0</v>
      </c>
      <c r="AF23" s="415">
        <f t="shared" si="21"/>
        <v>0</v>
      </c>
      <c r="AG23" s="400">
        <f t="shared" si="11"/>
        <v>0</v>
      </c>
      <c r="AH23" s="128"/>
      <c r="AI23" s="401">
        <f t="shared" si="12"/>
        <v>0</v>
      </c>
      <c r="AJ23" s="402" t="str">
        <f t="shared" si="13"/>
        <v/>
      </c>
      <c r="AK23" s="52"/>
      <c r="AL23" s="397">
        <f>IFERROR(VLOOKUP($C23,'Proposed Rates'!$B:$J,AL$11,FALSE),0)</f>
        <v>0</v>
      </c>
      <c r="AM23" s="415">
        <f t="shared" si="22"/>
        <v>0</v>
      </c>
      <c r="AN23" s="400">
        <f t="shared" si="14"/>
        <v>0</v>
      </c>
      <c r="AO23" s="128"/>
      <c r="AP23" s="401">
        <f t="shared" si="15"/>
        <v>0</v>
      </c>
      <c r="AQ23" s="402" t="str">
        <f t="shared" si="16"/>
        <v/>
      </c>
      <c r="AR23" s="403"/>
      <c r="AS23" s="403"/>
    </row>
    <row r="24" spans="1:45" ht="12.75" customHeight="1">
      <c r="A24" s="52"/>
      <c r="B24" s="404"/>
      <c r="C24" s="395" t="str">
        <f t="shared" si="0"/>
        <v>Street Light.</v>
      </c>
      <c r="D24" s="396"/>
      <c r="E24" s="320"/>
      <c r="F24" s="397">
        <f>IFERROR(VLOOKUP($C24,'Proposed Rates'!$B:$J,F$11,FALSE),0)</f>
        <v>0</v>
      </c>
      <c r="G24" s="415">
        <f t="shared" si="17"/>
        <v>0</v>
      </c>
      <c r="H24" s="400">
        <f t="shared" si="1"/>
        <v>0</v>
      </c>
      <c r="I24" s="128"/>
      <c r="J24" s="397">
        <f>IFERROR(VLOOKUP($C24,'Proposed Rates'!$B:$J,J$11,FALSE),0)</f>
        <v>0</v>
      </c>
      <c r="K24" s="415">
        <f t="shared" si="18"/>
        <v>0</v>
      </c>
      <c r="L24" s="400">
        <f t="shared" si="2"/>
        <v>0</v>
      </c>
      <c r="M24" s="128"/>
      <c r="N24" s="401">
        <f t="shared" si="3"/>
        <v>0</v>
      </c>
      <c r="O24" s="402" t="str">
        <f t="shared" si="4"/>
        <v/>
      </c>
      <c r="P24" s="52"/>
      <c r="Q24" s="397">
        <f>IFERROR(VLOOKUP($C24,'Proposed Rates'!$B:$J,Q$11,FALSE),0)</f>
        <v>0</v>
      </c>
      <c r="R24" s="415">
        <f t="shared" si="19"/>
        <v>0</v>
      </c>
      <c r="S24" s="400">
        <f t="shared" si="5"/>
        <v>0</v>
      </c>
      <c r="T24" s="128"/>
      <c r="U24" s="401">
        <f t="shared" si="6"/>
        <v>0</v>
      </c>
      <c r="V24" s="402" t="str">
        <f t="shared" si="7"/>
        <v/>
      </c>
      <c r="W24" s="52"/>
      <c r="X24" s="397">
        <f>IFERROR(VLOOKUP($C24,'Proposed Rates'!$B:$J,X$11,FALSE),0)</f>
        <v>0</v>
      </c>
      <c r="Y24" s="415">
        <f t="shared" si="20"/>
        <v>0</v>
      </c>
      <c r="Z24" s="400">
        <f t="shared" si="8"/>
        <v>0</v>
      </c>
      <c r="AA24" s="128"/>
      <c r="AB24" s="401">
        <f t="shared" si="9"/>
        <v>0</v>
      </c>
      <c r="AC24" s="402" t="str">
        <f t="shared" si="10"/>
        <v/>
      </c>
      <c r="AD24" s="52"/>
      <c r="AE24" s="397">
        <f>IFERROR(VLOOKUP($C24,'Proposed Rates'!$B:$J,AE$11,FALSE),0)</f>
        <v>0</v>
      </c>
      <c r="AF24" s="415">
        <f t="shared" si="21"/>
        <v>0</v>
      </c>
      <c r="AG24" s="400">
        <f t="shared" si="11"/>
        <v>0</v>
      </c>
      <c r="AH24" s="128"/>
      <c r="AI24" s="401">
        <f t="shared" si="12"/>
        <v>0</v>
      </c>
      <c r="AJ24" s="402" t="str">
        <f t="shared" si="13"/>
        <v/>
      </c>
      <c r="AK24" s="52"/>
      <c r="AL24" s="397">
        <f>IFERROR(VLOOKUP($C24,'Proposed Rates'!$B:$J,AL$11,FALSE),0)</f>
        <v>0</v>
      </c>
      <c r="AM24" s="415">
        <f t="shared" si="22"/>
        <v>0</v>
      </c>
      <c r="AN24" s="400">
        <f t="shared" si="14"/>
        <v>0</v>
      </c>
      <c r="AO24" s="128"/>
      <c r="AP24" s="401">
        <f t="shared" si="15"/>
        <v>0</v>
      </c>
      <c r="AQ24" s="402" t="str">
        <f t="shared" si="16"/>
        <v/>
      </c>
      <c r="AR24" s="403"/>
      <c r="AS24" s="403"/>
    </row>
    <row r="25" spans="1:45" ht="12.75" customHeight="1">
      <c r="A25" s="52"/>
      <c r="B25" s="404"/>
      <c r="C25" s="395" t="str">
        <f t="shared" si="0"/>
        <v>Street Light.</v>
      </c>
      <c r="D25" s="396"/>
      <c r="E25" s="320"/>
      <c r="F25" s="397">
        <f>IFERROR(VLOOKUP($C25,'Proposed Rates'!$B:$J,F$11,FALSE),0)</f>
        <v>0</v>
      </c>
      <c r="G25" s="415">
        <f t="shared" si="17"/>
        <v>0</v>
      </c>
      <c r="H25" s="400">
        <f t="shared" si="1"/>
        <v>0</v>
      </c>
      <c r="I25" s="128"/>
      <c r="J25" s="397">
        <f>IFERROR(VLOOKUP($C25,'Proposed Rates'!$B:$J,J$11,FALSE),0)</f>
        <v>0</v>
      </c>
      <c r="K25" s="415">
        <f t="shared" si="18"/>
        <v>0</v>
      </c>
      <c r="L25" s="400">
        <f t="shared" si="2"/>
        <v>0</v>
      </c>
      <c r="M25" s="128"/>
      <c r="N25" s="401">
        <f t="shared" si="3"/>
        <v>0</v>
      </c>
      <c r="O25" s="402" t="str">
        <f t="shared" si="4"/>
        <v/>
      </c>
      <c r="P25" s="52"/>
      <c r="Q25" s="397">
        <f>IFERROR(VLOOKUP($C25,'Proposed Rates'!$B:$J,Q$11,FALSE),0)</f>
        <v>0</v>
      </c>
      <c r="R25" s="415">
        <f t="shared" si="19"/>
        <v>0</v>
      </c>
      <c r="S25" s="400">
        <f t="shared" si="5"/>
        <v>0</v>
      </c>
      <c r="T25" s="128"/>
      <c r="U25" s="401">
        <f t="shared" si="6"/>
        <v>0</v>
      </c>
      <c r="V25" s="402" t="str">
        <f t="shared" si="7"/>
        <v/>
      </c>
      <c r="W25" s="52"/>
      <c r="X25" s="397">
        <f>IFERROR(VLOOKUP($C25,'Proposed Rates'!$B:$J,X$11,FALSE),0)</f>
        <v>0</v>
      </c>
      <c r="Y25" s="415">
        <f t="shared" si="20"/>
        <v>0</v>
      </c>
      <c r="Z25" s="400">
        <f t="shared" si="8"/>
        <v>0</v>
      </c>
      <c r="AA25" s="128"/>
      <c r="AB25" s="401">
        <f t="shared" si="9"/>
        <v>0</v>
      </c>
      <c r="AC25" s="402" t="str">
        <f t="shared" si="10"/>
        <v/>
      </c>
      <c r="AD25" s="52"/>
      <c r="AE25" s="397">
        <f>IFERROR(VLOOKUP($C25,'Proposed Rates'!$B:$J,AE$11,FALSE),0)</f>
        <v>0</v>
      </c>
      <c r="AF25" s="415">
        <f t="shared" si="21"/>
        <v>0</v>
      </c>
      <c r="AG25" s="400">
        <f t="shared" si="11"/>
        <v>0</v>
      </c>
      <c r="AH25" s="128"/>
      <c r="AI25" s="401">
        <f t="shared" si="12"/>
        <v>0</v>
      </c>
      <c r="AJ25" s="402" t="str">
        <f t="shared" si="13"/>
        <v/>
      </c>
      <c r="AK25" s="52"/>
      <c r="AL25" s="397">
        <f>IFERROR(VLOOKUP($C25,'Proposed Rates'!$B:$J,AL$11,FALSE),0)</f>
        <v>0</v>
      </c>
      <c r="AM25" s="415">
        <f t="shared" si="22"/>
        <v>0</v>
      </c>
      <c r="AN25" s="400">
        <f t="shared" si="14"/>
        <v>0</v>
      </c>
      <c r="AO25" s="128"/>
      <c r="AP25" s="401">
        <f t="shared" si="15"/>
        <v>0</v>
      </c>
      <c r="AQ25" s="402" t="str">
        <f t="shared" si="16"/>
        <v/>
      </c>
      <c r="AR25" s="403"/>
      <c r="AS25" s="403"/>
    </row>
    <row r="26" spans="1:45" ht="12.75" customHeight="1">
      <c r="A26" s="52"/>
      <c r="B26" s="404"/>
      <c r="C26" s="395" t="str">
        <f t="shared" si="0"/>
        <v>Street Light.</v>
      </c>
      <c r="D26" s="396"/>
      <c r="E26" s="320"/>
      <c r="F26" s="397">
        <f>IFERROR(VLOOKUP($C26,'Proposed Rates'!$B:$J,F$11,FALSE),0)</f>
        <v>0</v>
      </c>
      <c r="G26" s="415">
        <f t="shared" si="17"/>
        <v>0</v>
      </c>
      <c r="H26" s="400">
        <f t="shared" si="1"/>
        <v>0</v>
      </c>
      <c r="I26" s="128"/>
      <c r="J26" s="397">
        <f>IFERROR(VLOOKUP($C26,'Proposed Rates'!$B:$J,J$11,FALSE),0)</f>
        <v>0</v>
      </c>
      <c r="K26" s="415">
        <f t="shared" si="18"/>
        <v>0</v>
      </c>
      <c r="L26" s="400">
        <f t="shared" si="2"/>
        <v>0</v>
      </c>
      <c r="M26" s="128"/>
      <c r="N26" s="401">
        <f t="shared" si="3"/>
        <v>0</v>
      </c>
      <c r="O26" s="402" t="str">
        <f t="shared" si="4"/>
        <v/>
      </c>
      <c r="P26" s="52"/>
      <c r="Q26" s="397">
        <f>IFERROR(VLOOKUP($C26,'Proposed Rates'!$B:$J,Q$11,FALSE),0)</f>
        <v>0</v>
      </c>
      <c r="R26" s="415">
        <f t="shared" si="19"/>
        <v>0</v>
      </c>
      <c r="S26" s="400">
        <f t="shared" si="5"/>
        <v>0</v>
      </c>
      <c r="T26" s="128"/>
      <c r="U26" s="401">
        <f t="shared" si="6"/>
        <v>0</v>
      </c>
      <c r="V26" s="402" t="str">
        <f t="shared" si="7"/>
        <v/>
      </c>
      <c r="W26" s="52"/>
      <c r="X26" s="397">
        <f>IFERROR(VLOOKUP($C26,'Proposed Rates'!$B:$J,X$11,FALSE),0)</f>
        <v>0</v>
      </c>
      <c r="Y26" s="415">
        <f t="shared" si="20"/>
        <v>0</v>
      </c>
      <c r="Z26" s="400">
        <f t="shared" si="8"/>
        <v>0</v>
      </c>
      <c r="AA26" s="128"/>
      <c r="AB26" s="401">
        <f t="shared" si="9"/>
        <v>0</v>
      </c>
      <c r="AC26" s="402" t="str">
        <f t="shared" si="10"/>
        <v/>
      </c>
      <c r="AD26" s="52"/>
      <c r="AE26" s="397">
        <f>IFERROR(VLOOKUP($C26,'Proposed Rates'!$B:$J,AE$11,FALSE),0)</f>
        <v>0</v>
      </c>
      <c r="AF26" s="415">
        <f t="shared" si="21"/>
        <v>0</v>
      </c>
      <c r="AG26" s="400">
        <f t="shared" si="11"/>
        <v>0</v>
      </c>
      <c r="AH26" s="128"/>
      <c r="AI26" s="401">
        <f t="shared" si="12"/>
        <v>0</v>
      </c>
      <c r="AJ26" s="402" t="str">
        <f t="shared" si="13"/>
        <v/>
      </c>
      <c r="AK26" s="52"/>
      <c r="AL26" s="397">
        <f>IFERROR(VLOOKUP($C26,'Proposed Rates'!$B:$J,AL$11,FALSE),0)</f>
        <v>0</v>
      </c>
      <c r="AM26" s="415">
        <f t="shared" si="22"/>
        <v>0</v>
      </c>
      <c r="AN26" s="400">
        <f t="shared" si="14"/>
        <v>0</v>
      </c>
      <c r="AO26" s="128"/>
      <c r="AP26" s="401">
        <f t="shared" si="15"/>
        <v>0</v>
      </c>
      <c r="AQ26" s="402" t="str">
        <f t="shared" si="16"/>
        <v/>
      </c>
      <c r="AR26" s="403"/>
      <c r="AS26" s="403"/>
    </row>
    <row r="27" spans="1:45" ht="12.75" customHeight="1">
      <c r="A27" s="52"/>
      <c r="B27" s="404"/>
      <c r="C27" s="395" t="str">
        <f t="shared" si="0"/>
        <v>Street Light.</v>
      </c>
      <c r="D27" s="396"/>
      <c r="E27" s="320"/>
      <c r="F27" s="397">
        <f>IFERROR(VLOOKUP($C27,'Proposed Rates'!$B:$J,F$11,FALSE),0)</f>
        <v>0</v>
      </c>
      <c r="G27" s="415">
        <f t="shared" si="17"/>
        <v>0</v>
      </c>
      <c r="H27" s="400">
        <f t="shared" si="1"/>
        <v>0</v>
      </c>
      <c r="I27" s="128"/>
      <c r="J27" s="397">
        <f>IFERROR(VLOOKUP($C27,'Proposed Rates'!$B:$J,J$11,FALSE),0)</f>
        <v>0</v>
      </c>
      <c r="K27" s="415">
        <f t="shared" si="18"/>
        <v>0</v>
      </c>
      <c r="L27" s="400">
        <f t="shared" si="2"/>
        <v>0</v>
      </c>
      <c r="M27" s="128"/>
      <c r="N27" s="401">
        <f t="shared" si="3"/>
        <v>0</v>
      </c>
      <c r="O27" s="402" t="str">
        <f t="shared" si="4"/>
        <v/>
      </c>
      <c r="P27" s="52"/>
      <c r="Q27" s="397">
        <f>IFERROR(VLOOKUP($C27,'Proposed Rates'!$B:$J,Q$11,FALSE),0)</f>
        <v>0</v>
      </c>
      <c r="R27" s="415">
        <f t="shared" si="19"/>
        <v>0</v>
      </c>
      <c r="S27" s="400">
        <f t="shared" si="5"/>
        <v>0</v>
      </c>
      <c r="T27" s="128"/>
      <c r="U27" s="401">
        <f t="shared" si="6"/>
        <v>0</v>
      </c>
      <c r="V27" s="402" t="str">
        <f t="shared" si="7"/>
        <v/>
      </c>
      <c r="W27" s="52"/>
      <c r="X27" s="397">
        <f>IFERROR(VLOOKUP($C27,'Proposed Rates'!$B:$J,X$11,FALSE),0)</f>
        <v>0</v>
      </c>
      <c r="Y27" s="415">
        <f t="shared" si="20"/>
        <v>0</v>
      </c>
      <c r="Z27" s="400">
        <f t="shared" si="8"/>
        <v>0</v>
      </c>
      <c r="AA27" s="128"/>
      <c r="AB27" s="401">
        <f t="shared" si="9"/>
        <v>0</v>
      </c>
      <c r="AC27" s="402" t="str">
        <f t="shared" si="10"/>
        <v/>
      </c>
      <c r="AD27" s="52"/>
      <c r="AE27" s="397">
        <f>IFERROR(VLOOKUP($C27,'Proposed Rates'!$B:$J,AE$11,FALSE),0)</f>
        <v>0</v>
      </c>
      <c r="AF27" s="415">
        <f t="shared" si="21"/>
        <v>0</v>
      </c>
      <c r="AG27" s="400">
        <f t="shared" si="11"/>
        <v>0</v>
      </c>
      <c r="AH27" s="128"/>
      <c r="AI27" s="401">
        <f t="shared" si="12"/>
        <v>0</v>
      </c>
      <c r="AJ27" s="402" t="str">
        <f t="shared" si="13"/>
        <v/>
      </c>
      <c r="AK27" s="52"/>
      <c r="AL27" s="397">
        <f>IFERROR(VLOOKUP($C27,'Proposed Rates'!$B:$J,AL$11,FALSE),0)</f>
        <v>0</v>
      </c>
      <c r="AM27" s="415">
        <f t="shared" si="22"/>
        <v>0</v>
      </c>
      <c r="AN27" s="400">
        <f t="shared" si="14"/>
        <v>0</v>
      </c>
      <c r="AO27" s="128"/>
      <c r="AP27" s="401">
        <f t="shared" si="15"/>
        <v>0</v>
      </c>
      <c r="AQ27" s="402" t="str">
        <f t="shared" si="16"/>
        <v/>
      </c>
      <c r="AR27" s="403"/>
      <c r="AS27" s="403"/>
    </row>
    <row r="28" spans="1:45" ht="12.75" customHeight="1">
      <c r="A28" s="52"/>
      <c r="B28" s="404"/>
      <c r="C28" s="395" t="str">
        <f t="shared" si="0"/>
        <v>Street Light.</v>
      </c>
      <c r="D28" s="396"/>
      <c r="E28" s="320"/>
      <c r="F28" s="397">
        <f>IFERROR(VLOOKUP($C28,'Proposed Rates'!$B:$J,F$11,FALSE),0)</f>
        <v>0</v>
      </c>
      <c r="G28" s="415">
        <f t="shared" si="17"/>
        <v>0</v>
      </c>
      <c r="H28" s="400">
        <f t="shared" si="1"/>
        <v>0</v>
      </c>
      <c r="I28" s="128"/>
      <c r="J28" s="397">
        <f>IFERROR(VLOOKUP($C28,'Proposed Rates'!$B:$J,J$11,FALSE),0)</f>
        <v>0</v>
      </c>
      <c r="K28" s="415">
        <f t="shared" si="18"/>
        <v>0</v>
      </c>
      <c r="L28" s="400">
        <f t="shared" si="2"/>
        <v>0</v>
      </c>
      <c r="M28" s="128"/>
      <c r="N28" s="401">
        <f t="shared" si="3"/>
        <v>0</v>
      </c>
      <c r="O28" s="402" t="str">
        <f t="shared" si="4"/>
        <v/>
      </c>
      <c r="P28" s="52"/>
      <c r="Q28" s="397">
        <f>IFERROR(VLOOKUP($C28,'Proposed Rates'!$B:$J,Q$11,FALSE),0)</f>
        <v>0</v>
      </c>
      <c r="R28" s="415">
        <f t="shared" si="19"/>
        <v>0</v>
      </c>
      <c r="S28" s="400">
        <f t="shared" si="5"/>
        <v>0</v>
      </c>
      <c r="T28" s="128"/>
      <c r="U28" s="401">
        <f t="shared" si="6"/>
        <v>0</v>
      </c>
      <c r="V28" s="402" t="str">
        <f t="shared" si="7"/>
        <v/>
      </c>
      <c r="W28" s="52"/>
      <c r="X28" s="397">
        <f>IFERROR(VLOOKUP($C28,'Proposed Rates'!$B:$J,X$11,FALSE),0)</f>
        <v>0</v>
      </c>
      <c r="Y28" s="415">
        <f t="shared" si="20"/>
        <v>0</v>
      </c>
      <c r="Z28" s="400">
        <f t="shared" si="8"/>
        <v>0</v>
      </c>
      <c r="AA28" s="128"/>
      <c r="AB28" s="401">
        <f t="shared" si="9"/>
        <v>0</v>
      </c>
      <c r="AC28" s="402" t="str">
        <f t="shared" si="10"/>
        <v/>
      </c>
      <c r="AD28" s="52"/>
      <c r="AE28" s="397">
        <f>IFERROR(VLOOKUP($C28,'Proposed Rates'!$B:$J,AE$11,FALSE),0)</f>
        <v>0</v>
      </c>
      <c r="AF28" s="415">
        <f t="shared" si="21"/>
        <v>0</v>
      </c>
      <c r="AG28" s="400">
        <f t="shared" si="11"/>
        <v>0</v>
      </c>
      <c r="AH28" s="128"/>
      <c r="AI28" s="401">
        <f t="shared" si="12"/>
        <v>0</v>
      </c>
      <c r="AJ28" s="402" t="str">
        <f t="shared" si="13"/>
        <v/>
      </c>
      <c r="AK28" s="52"/>
      <c r="AL28" s="397">
        <f>IFERROR(VLOOKUP($C28,'Proposed Rates'!$B:$J,AL$11,FALSE),0)</f>
        <v>0</v>
      </c>
      <c r="AM28" s="415">
        <f t="shared" si="22"/>
        <v>0</v>
      </c>
      <c r="AN28" s="400">
        <f t="shared" si="14"/>
        <v>0</v>
      </c>
      <c r="AO28" s="128"/>
      <c r="AP28" s="401">
        <f t="shared" si="15"/>
        <v>0</v>
      </c>
      <c r="AQ28" s="402" t="str">
        <f t="shared" si="16"/>
        <v/>
      </c>
      <c r="AR28" s="403"/>
      <c r="AS28" s="403"/>
    </row>
    <row r="29" spans="1:45" ht="12.75" customHeight="1">
      <c r="A29" s="306"/>
      <c r="B29" s="405" t="s">
        <v>310</v>
      </c>
      <c r="C29" s="557"/>
      <c r="D29" s="406"/>
      <c r="E29" s="406"/>
      <c r="F29" s="407"/>
      <c r="G29" s="500"/>
      <c r="H29" s="409">
        <f>SUM(H15:H28)</f>
        <v>928.88499999999999</v>
      </c>
      <c r="I29" s="410"/>
      <c r="J29" s="407"/>
      <c r="K29" s="500"/>
      <c r="L29" s="409">
        <f>SUM(L15:L28)</f>
        <v>957.02</v>
      </c>
      <c r="M29" s="410"/>
      <c r="N29" s="411">
        <f t="shared" si="3"/>
        <v>28.134999999999991</v>
      </c>
      <c r="O29" s="412">
        <f t="shared" si="4"/>
        <v>3.0289002406110543E-2</v>
      </c>
      <c r="P29" s="306"/>
      <c r="Q29" s="407"/>
      <c r="R29" s="500"/>
      <c r="S29" s="409">
        <f>SUM(S15:S28)</f>
        <v>739.31</v>
      </c>
      <c r="T29" s="410"/>
      <c r="U29" s="411">
        <f t="shared" si="6"/>
        <v>-217.71000000000004</v>
      </c>
      <c r="V29" s="412">
        <f t="shared" si="7"/>
        <v>-0.22748740883158142</v>
      </c>
      <c r="W29" s="306"/>
      <c r="X29" s="407"/>
      <c r="Y29" s="500"/>
      <c r="Z29" s="409">
        <f>SUM(Z15:Z28)</f>
        <v>779.22</v>
      </c>
      <c r="AA29" s="410"/>
      <c r="AB29" s="411">
        <f t="shared" si="9"/>
        <v>39.910000000000082</v>
      </c>
      <c r="AC29" s="412">
        <f t="shared" si="10"/>
        <v>5.3982767715843268E-2</v>
      </c>
      <c r="AD29" s="306"/>
      <c r="AE29" s="407"/>
      <c r="AF29" s="500"/>
      <c r="AG29" s="409">
        <f>SUM(AG15:AG28)</f>
        <v>789.72500000000002</v>
      </c>
      <c r="AH29" s="410"/>
      <c r="AI29" s="411">
        <f t="shared" si="12"/>
        <v>10.504999999999995</v>
      </c>
      <c r="AJ29" s="412">
        <f t="shared" si="13"/>
        <v>1.3481430148096808E-2</v>
      </c>
      <c r="AK29" s="306"/>
      <c r="AL29" s="407"/>
      <c r="AM29" s="500"/>
      <c r="AN29" s="409">
        <f>SUM(AN15:AN28)</f>
        <v>828.07500000000005</v>
      </c>
      <c r="AO29" s="410"/>
      <c r="AP29" s="411">
        <f t="shared" si="15"/>
        <v>38.350000000000023</v>
      </c>
      <c r="AQ29" s="412">
        <f t="shared" si="16"/>
        <v>4.8561208015448443E-2</v>
      </c>
      <c r="AR29" s="413"/>
      <c r="AS29" s="413"/>
    </row>
    <row r="30" spans="1:45" ht="12.75" customHeight="1">
      <c r="A30" s="52"/>
      <c r="B30" s="404" t="s">
        <v>234</v>
      </c>
      <c r="C30" s="395" t="str">
        <f t="shared" ref="C30:C38" si="23">D$6&amp;"."&amp;B30</f>
        <v>Street Light.DVA Disposition Rate Rider Group 1 -2025</v>
      </c>
      <c r="D30" s="396" t="s">
        <v>377</v>
      </c>
      <c r="E30" s="320"/>
      <c r="F30" s="567">
        <f>IFERROR(VLOOKUP($C30,'Proposed Rates'!$B:$J,F$11,FALSE),0)</f>
        <v>4.1000000000000002E-2</v>
      </c>
      <c r="G30" s="415">
        <f t="shared" ref="G30:G36" si="24">IF($D30="Monthly",1,IF($D30="per KW",$F$10,IF($D30="per kWh",$F$9,0)))</f>
        <v>50</v>
      </c>
      <c r="H30" s="400">
        <f t="shared" ref="H30:H38" si="25">G30*F30</f>
        <v>2.0500000000000003</v>
      </c>
      <c r="I30" s="128"/>
      <c r="J30" s="567">
        <f>IFERROR(VLOOKUP($C30,'Proposed Rates'!$B:$J,J$11,FALSE),0)</f>
        <v>-0.2215</v>
      </c>
      <c r="K30" s="415">
        <f t="shared" ref="K30:K36" si="26">IF($D30="Monthly",1,IF($D30="per KW",$F$10,IF($D30="per kWh",$F$9,0)))</f>
        <v>50</v>
      </c>
      <c r="L30" s="400">
        <f t="shared" ref="L30:L38" si="27">K30*J30</f>
        <v>-11.074999999999999</v>
      </c>
      <c r="M30" s="128"/>
      <c r="N30" s="401">
        <f t="shared" si="3"/>
        <v>-13.125</v>
      </c>
      <c r="O30" s="402">
        <f t="shared" si="4"/>
        <v>-6.4024390243902429</v>
      </c>
      <c r="P30" s="52"/>
      <c r="Q30" s="567">
        <f>IFERROR(VLOOKUP($C30,'Proposed Rates'!$B:$J,Q$11,FALSE),0)</f>
        <v>0</v>
      </c>
      <c r="R30" s="415">
        <f t="shared" ref="R30:R36" si="28">IF($D30="Monthly",1,IF($D30="per KW",$F$10,IF($D30="per kWh",$F$9,0)))</f>
        <v>50</v>
      </c>
      <c r="S30" s="400">
        <f t="shared" ref="S30:S38" si="29">R30*Q30</f>
        <v>0</v>
      </c>
      <c r="T30" s="128"/>
      <c r="U30" s="401">
        <f t="shared" si="6"/>
        <v>11.074999999999999</v>
      </c>
      <c r="V30" s="402">
        <f t="shared" si="7"/>
        <v>-1</v>
      </c>
      <c r="W30" s="52"/>
      <c r="X30" s="567">
        <f>IFERROR(VLOOKUP($C30,'Proposed Rates'!$B:$J,X$11,FALSE),0)</f>
        <v>0</v>
      </c>
      <c r="Y30" s="415">
        <f t="shared" ref="Y30:Y36" si="30">IF($D30="Monthly",1,IF($D30="per KW",$F$10,IF($D30="per kWh",$F$9,0)))</f>
        <v>50</v>
      </c>
      <c r="Z30" s="400">
        <f t="shared" ref="Z30:Z38" si="31">Y30*X30</f>
        <v>0</v>
      </c>
      <c r="AA30" s="128"/>
      <c r="AB30" s="401">
        <f t="shared" si="9"/>
        <v>0</v>
      </c>
      <c r="AC30" s="402" t="str">
        <f t="shared" si="10"/>
        <v/>
      </c>
      <c r="AD30" s="52"/>
      <c r="AE30" s="567">
        <f>IFERROR(VLOOKUP($C30,'Proposed Rates'!$B:$J,AE$11,FALSE),0)</f>
        <v>0</v>
      </c>
      <c r="AF30" s="415">
        <f t="shared" ref="AF30:AF36" si="32">IF($D30="Monthly",1,IF($D30="per KW",$F$10,IF($D30="per kWh",$F$9,0)))</f>
        <v>50</v>
      </c>
      <c r="AG30" s="400">
        <f t="shared" ref="AG30:AG38" si="33">AF30*AE30</f>
        <v>0</v>
      </c>
      <c r="AH30" s="128"/>
      <c r="AI30" s="401">
        <f t="shared" si="12"/>
        <v>0</v>
      </c>
      <c r="AJ30" s="402" t="str">
        <f t="shared" si="13"/>
        <v/>
      </c>
      <c r="AK30" s="52"/>
      <c r="AL30" s="567">
        <f>IFERROR(VLOOKUP($C30,'Proposed Rates'!$B:$J,AL$11,FALSE),0)</f>
        <v>0</v>
      </c>
      <c r="AM30" s="415">
        <f t="shared" ref="AM30:AM36" si="34">IF($D30="Monthly",1,IF($D30="per KW",$F$10,IF($D30="per kWh",$F$9,0)))</f>
        <v>50</v>
      </c>
      <c r="AN30" s="400">
        <f t="shared" ref="AN30:AN38" si="35">AM30*AL30</f>
        <v>0</v>
      </c>
      <c r="AO30" s="128"/>
      <c r="AP30" s="401">
        <f t="shared" si="15"/>
        <v>0</v>
      </c>
      <c r="AQ30" s="402" t="str">
        <f t="shared" si="16"/>
        <v/>
      </c>
      <c r="AR30" s="403"/>
      <c r="AS30" s="403"/>
    </row>
    <row r="31" spans="1:45" ht="12.75" customHeight="1">
      <c r="A31" s="52"/>
      <c r="B31" s="404" t="s">
        <v>236</v>
      </c>
      <c r="C31" s="395" t="str">
        <f t="shared" si="23"/>
        <v>Street Light.DVA Disposition Rate Rider Group 1 - 2024</v>
      </c>
      <c r="D31" s="396" t="s">
        <v>377</v>
      </c>
      <c r="E31" s="320"/>
      <c r="F31" s="397">
        <f>IFERROR(VLOOKUP($C31,'Proposed Rates'!$B:$J,F$11,FALSE),0)</f>
        <v>0</v>
      </c>
      <c r="G31" s="415">
        <f t="shared" si="24"/>
        <v>50</v>
      </c>
      <c r="H31" s="400">
        <f t="shared" si="25"/>
        <v>0</v>
      </c>
      <c r="I31" s="128"/>
      <c r="J31" s="397">
        <f>IFERROR(VLOOKUP($C31,'Proposed Rates'!$B:$J,J$11,FALSE),0)</f>
        <v>0</v>
      </c>
      <c r="K31" s="415">
        <f t="shared" si="26"/>
        <v>50</v>
      </c>
      <c r="L31" s="400">
        <f t="shared" si="27"/>
        <v>0</v>
      </c>
      <c r="M31" s="128"/>
      <c r="N31" s="401">
        <f t="shared" si="3"/>
        <v>0</v>
      </c>
      <c r="O31" s="402" t="str">
        <f t="shared" si="4"/>
        <v/>
      </c>
      <c r="P31" s="52"/>
      <c r="Q31" s="397">
        <f>IFERROR(VLOOKUP($C31,'Proposed Rates'!$B:$J,Q$11,FALSE),0)</f>
        <v>0</v>
      </c>
      <c r="R31" s="415">
        <f t="shared" si="28"/>
        <v>50</v>
      </c>
      <c r="S31" s="400">
        <f t="shared" si="29"/>
        <v>0</v>
      </c>
      <c r="T31" s="128"/>
      <c r="U31" s="401">
        <f t="shared" si="6"/>
        <v>0</v>
      </c>
      <c r="V31" s="402" t="str">
        <f t="shared" si="7"/>
        <v/>
      </c>
      <c r="W31" s="52"/>
      <c r="X31" s="397">
        <f>IFERROR(VLOOKUP($C31,'Proposed Rates'!$B:$J,X$11,FALSE),0)</f>
        <v>0</v>
      </c>
      <c r="Y31" s="415">
        <f t="shared" si="30"/>
        <v>50</v>
      </c>
      <c r="Z31" s="400">
        <f t="shared" si="31"/>
        <v>0</v>
      </c>
      <c r="AA31" s="128"/>
      <c r="AB31" s="401">
        <f t="shared" si="9"/>
        <v>0</v>
      </c>
      <c r="AC31" s="402" t="str">
        <f t="shared" si="10"/>
        <v/>
      </c>
      <c r="AD31" s="52"/>
      <c r="AE31" s="397">
        <f>IFERROR(VLOOKUP($C31,'Proposed Rates'!$B:$J,AE$11,FALSE),0)</f>
        <v>0</v>
      </c>
      <c r="AF31" s="415">
        <f t="shared" si="32"/>
        <v>50</v>
      </c>
      <c r="AG31" s="400">
        <f t="shared" si="33"/>
        <v>0</v>
      </c>
      <c r="AH31" s="128"/>
      <c r="AI31" s="401">
        <f t="shared" si="12"/>
        <v>0</v>
      </c>
      <c r="AJ31" s="402" t="str">
        <f t="shared" si="13"/>
        <v/>
      </c>
      <c r="AK31" s="52"/>
      <c r="AL31" s="397">
        <f>IFERROR(VLOOKUP($C31,'Proposed Rates'!$B:$J,AL$11,FALSE),0)</f>
        <v>0</v>
      </c>
      <c r="AM31" s="415">
        <f t="shared" si="34"/>
        <v>50</v>
      </c>
      <c r="AN31" s="400">
        <f t="shared" si="35"/>
        <v>0</v>
      </c>
      <c r="AO31" s="128"/>
      <c r="AP31" s="401">
        <f t="shared" si="15"/>
        <v>0</v>
      </c>
      <c r="AQ31" s="402" t="str">
        <f t="shared" si="16"/>
        <v/>
      </c>
      <c r="AR31" s="403"/>
      <c r="AS31" s="403"/>
    </row>
    <row r="32" spans="1:45" ht="12.75" customHeight="1">
      <c r="A32" s="52"/>
      <c r="B32" s="404" t="s">
        <v>244</v>
      </c>
      <c r="C32" s="395" t="str">
        <f t="shared" si="23"/>
        <v>Street Light.CBR Class B Rate Riders</v>
      </c>
      <c r="D32" s="396" t="s">
        <v>308</v>
      </c>
      <c r="E32" s="320"/>
      <c r="F32" s="414">
        <f>IFERROR(VLOOKUP($C32,'Proposed Rates'!$B:$J,F$11,FALSE),0)</f>
        <v>2.0000000000000001E-4</v>
      </c>
      <c r="G32" s="415">
        <f t="shared" si="24"/>
        <v>17860</v>
      </c>
      <c r="H32" s="400">
        <f t="shared" si="25"/>
        <v>3.5720000000000001</v>
      </c>
      <c r="I32" s="485"/>
      <c r="J32" s="414">
        <f>IFERROR(VLOOKUP($C32,'Proposed Rates'!$B:$J,J$11,FALSE),0)</f>
        <v>4.0000000000000002E-4</v>
      </c>
      <c r="K32" s="415">
        <f t="shared" si="26"/>
        <v>17860</v>
      </c>
      <c r="L32" s="400">
        <f t="shared" si="27"/>
        <v>7.1440000000000001</v>
      </c>
      <c r="M32" s="417"/>
      <c r="N32" s="401">
        <f t="shared" si="3"/>
        <v>3.5720000000000001</v>
      </c>
      <c r="O32" s="402"/>
      <c r="P32" s="52"/>
      <c r="Q32" s="414">
        <f>IFERROR(VLOOKUP($C32,'Proposed Rates'!$B:$J,Q$11,FALSE),0)</f>
        <v>0</v>
      </c>
      <c r="R32" s="415">
        <f t="shared" si="28"/>
        <v>17860</v>
      </c>
      <c r="S32" s="400">
        <f t="shared" si="29"/>
        <v>0</v>
      </c>
      <c r="T32" s="417"/>
      <c r="U32" s="401"/>
      <c r="V32" s="402"/>
      <c r="W32" s="52"/>
      <c r="X32" s="414">
        <f>IFERROR(VLOOKUP($C32,'Proposed Rates'!$B:$J,X$11,FALSE),0)</f>
        <v>0</v>
      </c>
      <c r="Y32" s="415">
        <f t="shared" si="30"/>
        <v>17860</v>
      </c>
      <c r="Z32" s="400">
        <f t="shared" si="31"/>
        <v>0</v>
      </c>
      <c r="AA32" s="128"/>
      <c r="AB32" s="401">
        <f t="shared" si="9"/>
        <v>0</v>
      </c>
      <c r="AC32" s="402" t="str">
        <f t="shared" si="10"/>
        <v/>
      </c>
      <c r="AD32" s="52"/>
      <c r="AE32" s="414">
        <f>IFERROR(VLOOKUP($C32,'Proposed Rates'!$B:$J,AE$11,FALSE),0)</f>
        <v>0</v>
      </c>
      <c r="AF32" s="415">
        <f t="shared" si="32"/>
        <v>17860</v>
      </c>
      <c r="AG32" s="400">
        <f t="shared" si="33"/>
        <v>0</v>
      </c>
      <c r="AH32" s="128"/>
      <c r="AI32" s="401">
        <f t="shared" si="12"/>
        <v>0</v>
      </c>
      <c r="AJ32" s="402" t="str">
        <f t="shared" si="13"/>
        <v/>
      </c>
      <c r="AK32" s="52"/>
      <c r="AL32" s="414">
        <f>IFERROR(VLOOKUP($C32,'Proposed Rates'!$B:$J,AL$11,FALSE),0)</f>
        <v>0</v>
      </c>
      <c r="AM32" s="415">
        <f t="shared" si="34"/>
        <v>17860</v>
      </c>
      <c r="AN32" s="400">
        <f t="shared" si="35"/>
        <v>0</v>
      </c>
      <c r="AO32" s="417"/>
      <c r="AP32" s="401"/>
      <c r="AQ32" s="402"/>
      <c r="AR32" s="403"/>
      <c r="AS32" s="403"/>
    </row>
    <row r="33" spans="1:45" ht="12.75" customHeight="1">
      <c r="A33" s="52"/>
      <c r="B33" s="404" t="s">
        <v>249</v>
      </c>
      <c r="C33" s="395" t="str">
        <f t="shared" si="23"/>
        <v>Street Light.GA Rate Riders</v>
      </c>
      <c r="D33" s="396" t="s">
        <v>308</v>
      </c>
      <c r="E33" s="320"/>
      <c r="F33" s="414">
        <f>IFERROR(VLOOKUP($C33,'Proposed Rates'!$B:$J,F$11,FALSE),0)</f>
        <v>3.8999999999999998E-3</v>
      </c>
      <c r="G33" s="415">
        <f t="shared" si="24"/>
        <v>17860</v>
      </c>
      <c r="H33" s="400">
        <f t="shared" si="25"/>
        <v>69.653999999999996</v>
      </c>
      <c r="I33" s="485"/>
      <c r="J33" s="414">
        <f>IFERROR(VLOOKUP($C33,'Proposed Rates'!$B:$J,J$11,FALSE),0)</f>
        <v>4.4999999999999997E-3</v>
      </c>
      <c r="K33" s="415">
        <f t="shared" si="26"/>
        <v>17860</v>
      </c>
      <c r="L33" s="400">
        <f t="shared" si="27"/>
        <v>80.36999999999999</v>
      </c>
      <c r="M33" s="417"/>
      <c r="N33" s="401">
        <f t="shared" si="3"/>
        <v>10.715999999999994</v>
      </c>
      <c r="O33" s="402">
        <f t="shared" ref="O33:O34" si="36">IF((H33)=0,"",(N33/H33))</f>
        <v>0.15384615384615377</v>
      </c>
      <c r="P33" s="52"/>
      <c r="Q33" s="414">
        <f>IFERROR(VLOOKUP($C33,'Proposed Rates'!$B:$J,Q$11,FALSE),0)</f>
        <v>0</v>
      </c>
      <c r="R33" s="415">
        <f t="shared" si="28"/>
        <v>17860</v>
      </c>
      <c r="S33" s="400">
        <f t="shared" si="29"/>
        <v>0</v>
      </c>
      <c r="T33" s="417"/>
      <c r="U33" s="401">
        <f t="shared" ref="U33:U34" si="37">S33-L33</f>
        <v>-80.36999999999999</v>
      </c>
      <c r="V33" s="402">
        <f t="shared" ref="V33:V34" si="38">IF((L33)=0,"",(U33/L33))</f>
        <v>-1</v>
      </c>
      <c r="W33" s="52"/>
      <c r="X33" s="414">
        <f>IFERROR(VLOOKUP($C33,'Proposed Rates'!$B:$J,X$11,FALSE),0)</f>
        <v>0</v>
      </c>
      <c r="Y33" s="415">
        <f t="shared" si="30"/>
        <v>17860</v>
      </c>
      <c r="Z33" s="400">
        <f t="shared" si="31"/>
        <v>0</v>
      </c>
      <c r="AA33" s="417"/>
      <c r="AB33" s="401">
        <f t="shared" si="9"/>
        <v>0</v>
      </c>
      <c r="AC33" s="402" t="str">
        <f t="shared" si="10"/>
        <v/>
      </c>
      <c r="AD33" s="52"/>
      <c r="AE33" s="414">
        <f>IFERROR(VLOOKUP($C33,'Proposed Rates'!$B:$J,AE$11,FALSE),0)</f>
        <v>0</v>
      </c>
      <c r="AF33" s="415">
        <f t="shared" si="32"/>
        <v>17860</v>
      </c>
      <c r="AG33" s="400">
        <f t="shared" si="33"/>
        <v>0</v>
      </c>
      <c r="AH33" s="417"/>
      <c r="AI33" s="401">
        <f t="shared" si="12"/>
        <v>0</v>
      </c>
      <c r="AJ33" s="402" t="str">
        <f t="shared" si="13"/>
        <v/>
      </c>
      <c r="AK33" s="52"/>
      <c r="AL33" s="414">
        <f>IFERROR(VLOOKUP($C33,'Proposed Rates'!$B:$J,AL$11,FALSE),0)</f>
        <v>0</v>
      </c>
      <c r="AM33" s="415">
        <f t="shared" si="34"/>
        <v>17860</v>
      </c>
      <c r="AN33" s="400">
        <f t="shared" si="35"/>
        <v>0</v>
      </c>
      <c r="AO33" s="417"/>
      <c r="AP33" s="401">
        <f t="shared" ref="AP33:AP34" si="39">AN33-AG33</f>
        <v>0</v>
      </c>
      <c r="AQ33" s="402" t="str">
        <f t="shared" ref="AQ33:AQ34" si="40">IF((AG33)=0,"",(AP33/AG33))</f>
        <v/>
      </c>
      <c r="AR33" s="403"/>
      <c r="AS33" s="403"/>
    </row>
    <row r="34" spans="1:45" ht="12.75" customHeight="1">
      <c r="A34" s="52"/>
      <c r="B34" s="404" t="s">
        <v>252</v>
      </c>
      <c r="C34" s="395" t="str">
        <f t="shared" si="23"/>
        <v>Street Light.Total Deferral/Variance Account Rate RidersYr2</v>
      </c>
      <c r="D34" s="396" t="s">
        <v>377</v>
      </c>
      <c r="E34" s="320"/>
      <c r="F34" s="397">
        <f>IFERROR(VLOOKUP($C34,'Proposed Rates'!$B:$J,F$11,FALSE),0)</f>
        <v>0</v>
      </c>
      <c r="G34" s="415">
        <f t="shared" si="24"/>
        <v>50</v>
      </c>
      <c r="H34" s="400">
        <f t="shared" si="25"/>
        <v>0</v>
      </c>
      <c r="I34" s="485"/>
      <c r="J34" s="397">
        <f>IFERROR(VLOOKUP($C34,'Proposed Rates'!$B:$J,J$11,FALSE),0)</f>
        <v>0</v>
      </c>
      <c r="K34" s="415">
        <f t="shared" si="26"/>
        <v>50</v>
      </c>
      <c r="L34" s="400">
        <f t="shared" si="27"/>
        <v>0</v>
      </c>
      <c r="M34" s="417"/>
      <c r="N34" s="401">
        <f t="shared" si="3"/>
        <v>0</v>
      </c>
      <c r="O34" s="402" t="str">
        <f t="shared" si="36"/>
        <v/>
      </c>
      <c r="P34" s="52"/>
      <c r="Q34" s="397">
        <f>IFERROR(VLOOKUP($C34,'Proposed Rates'!$B:$J,Q$11,FALSE),0)</f>
        <v>0</v>
      </c>
      <c r="R34" s="415">
        <f t="shared" si="28"/>
        <v>50</v>
      </c>
      <c r="S34" s="400">
        <f t="shared" si="29"/>
        <v>0</v>
      </c>
      <c r="T34" s="417"/>
      <c r="U34" s="401">
        <f t="shared" si="37"/>
        <v>0</v>
      </c>
      <c r="V34" s="402" t="str">
        <f t="shared" si="38"/>
        <v/>
      </c>
      <c r="W34" s="52"/>
      <c r="X34" s="397">
        <f>IFERROR(VLOOKUP($C34,'Proposed Rates'!$B:$J,X$11,FALSE),0)</f>
        <v>0</v>
      </c>
      <c r="Y34" s="415">
        <f t="shared" si="30"/>
        <v>50</v>
      </c>
      <c r="Z34" s="400">
        <f t="shared" si="31"/>
        <v>0</v>
      </c>
      <c r="AA34" s="417"/>
      <c r="AB34" s="401">
        <f t="shared" si="9"/>
        <v>0</v>
      </c>
      <c r="AC34" s="402" t="str">
        <f t="shared" si="10"/>
        <v/>
      </c>
      <c r="AD34" s="52"/>
      <c r="AE34" s="397">
        <f>IFERROR(VLOOKUP($C34,'Proposed Rates'!$B:$J,AE$11,FALSE),0)</f>
        <v>0</v>
      </c>
      <c r="AF34" s="415">
        <f t="shared" si="32"/>
        <v>50</v>
      </c>
      <c r="AG34" s="400">
        <f t="shared" si="33"/>
        <v>0</v>
      </c>
      <c r="AH34" s="417"/>
      <c r="AI34" s="401">
        <f t="shared" si="12"/>
        <v>0</v>
      </c>
      <c r="AJ34" s="402" t="str">
        <f t="shared" si="13"/>
        <v/>
      </c>
      <c r="AK34" s="52"/>
      <c r="AL34" s="397">
        <f>IFERROR(VLOOKUP($C34,'Proposed Rates'!$B:$J,AL$11,FALSE),0)</f>
        <v>0</v>
      </c>
      <c r="AM34" s="415">
        <f t="shared" si="34"/>
        <v>50</v>
      </c>
      <c r="AN34" s="400">
        <f t="shared" si="35"/>
        <v>0</v>
      </c>
      <c r="AO34" s="417"/>
      <c r="AP34" s="401">
        <f t="shared" si="39"/>
        <v>0</v>
      </c>
      <c r="AQ34" s="402" t="str">
        <f t="shared" si="40"/>
        <v/>
      </c>
      <c r="AR34" s="403"/>
      <c r="AS34" s="403"/>
    </row>
    <row r="35" spans="1:45" ht="12.75" customHeight="1">
      <c r="A35" s="52"/>
      <c r="B35" s="404" t="s">
        <v>254</v>
      </c>
      <c r="C35" s="395" t="str">
        <f t="shared" si="23"/>
        <v>Street Light.Total Deferral/Variance Account Rate Riders</v>
      </c>
      <c r="D35" s="396" t="s">
        <v>377</v>
      </c>
      <c r="E35" s="320"/>
      <c r="F35" s="397">
        <f>IFERROR(VLOOKUP($C35,'Proposed Rates'!$B:$J,F$11,FALSE),0)</f>
        <v>0</v>
      </c>
      <c r="G35" s="415">
        <f t="shared" si="24"/>
        <v>50</v>
      </c>
      <c r="H35" s="400">
        <f t="shared" si="25"/>
        <v>0</v>
      </c>
      <c r="I35" s="128"/>
      <c r="J35" s="397">
        <f>IFERROR(VLOOKUP($C35,'Proposed Rates'!$B:$J,J$11,FALSE),0)</f>
        <v>0</v>
      </c>
      <c r="K35" s="415">
        <f t="shared" si="26"/>
        <v>50</v>
      </c>
      <c r="L35" s="400">
        <f t="shared" si="27"/>
        <v>0</v>
      </c>
      <c r="M35" s="128"/>
      <c r="N35" s="401"/>
      <c r="O35" s="402"/>
      <c r="P35" s="52"/>
      <c r="Q35" s="397">
        <f>IFERROR(VLOOKUP($C35,'Proposed Rates'!$B:$J,Q$11,FALSE),0)</f>
        <v>0</v>
      </c>
      <c r="R35" s="415">
        <f t="shared" si="28"/>
        <v>50</v>
      </c>
      <c r="S35" s="400">
        <f t="shared" si="29"/>
        <v>0</v>
      </c>
      <c r="T35" s="128"/>
      <c r="U35" s="401"/>
      <c r="V35" s="402"/>
      <c r="W35" s="52"/>
      <c r="X35" s="397">
        <f>IFERROR(VLOOKUP($C35,'Proposed Rates'!$B:$J,X$11,FALSE),0)</f>
        <v>0</v>
      </c>
      <c r="Y35" s="415">
        <f t="shared" si="30"/>
        <v>50</v>
      </c>
      <c r="Z35" s="400">
        <f t="shared" si="31"/>
        <v>0</v>
      </c>
      <c r="AA35" s="128"/>
      <c r="AB35" s="401"/>
      <c r="AC35" s="402"/>
      <c r="AD35" s="52"/>
      <c r="AE35" s="397">
        <f>IFERROR(VLOOKUP($C35,'Proposed Rates'!$B:$J,AE$11,FALSE),0)</f>
        <v>0</v>
      </c>
      <c r="AF35" s="415">
        <f t="shared" si="32"/>
        <v>50</v>
      </c>
      <c r="AG35" s="400">
        <f t="shared" si="33"/>
        <v>0</v>
      </c>
      <c r="AH35" s="128"/>
      <c r="AI35" s="401">
        <f t="shared" si="12"/>
        <v>0</v>
      </c>
      <c r="AJ35" s="402" t="str">
        <f t="shared" si="13"/>
        <v/>
      </c>
      <c r="AK35" s="52"/>
      <c r="AL35" s="397">
        <f>IFERROR(VLOOKUP($C35,'Proposed Rates'!$B:$J,AL$11,FALSE),0)</f>
        <v>0</v>
      </c>
      <c r="AM35" s="415">
        <f t="shared" si="34"/>
        <v>50</v>
      </c>
      <c r="AN35" s="400">
        <f t="shared" si="35"/>
        <v>0</v>
      </c>
      <c r="AO35" s="128"/>
      <c r="AP35" s="401"/>
      <c r="AQ35" s="402"/>
      <c r="AR35" s="403"/>
      <c r="AS35" s="403"/>
    </row>
    <row r="36" spans="1:45" ht="12.75" customHeight="1">
      <c r="A36" s="52"/>
      <c r="B36" s="320" t="s">
        <v>269</v>
      </c>
      <c r="C36" s="395" t="str">
        <f t="shared" si="23"/>
        <v>Street Light.Low Voltage Service Charge</v>
      </c>
      <c r="D36" s="396" t="s">
        <v>377</v>
      </c>
      <c r="E36" s="320"/>
      <c r="F36" s="418">
        <f>IFERROR(VLOOKUP($C36,'Proposed Rates'!$B:$J,F$11,FALSE),0)</f>
        <v>1.5640000000000001E-2</v>
      </c>
      <c r="G36" s="415">
        <f t="shared" si="24"/>
        <v>50</v>
      </c>
      <c r="H36" s="400">
        <f t="shared" si="25"/>
        <v>0.78200000000000003</v>
      </c>
      <c r="I36" s="128"/>
      <c r="J36" s="418">
        <f>IFERROR(VLOOKUP($C36,'Proposed Rates'!$B:$J,J$11,FALSE),0)</f>
        <v>1.0999999999999999E-2</v>
      </c>
      <c r="K36" s="415">
        <f t="shared" si="26"/>
        <v>50</v>
      </c>
      <c r="L36" s="400">
        <f t="shared" si="27"/>
        <v>0.54999999999999993</v>
      </c>
      <c r="M36" s="128"/>
      <c r="N36" s="401">
        <f t="shared" ref="N36:N37" si="41">L36-H36</f>
        <v>-0.2320000000000001</v>
      </c>
      <c r="O36" s="402">
        <f t="shared" ref="O36:O37" si="42">IF((H36)=0,"",(N36/H36))</f>
        <v>-0.29667519181585689</v>
      </c>
      <c r="P36" s="52"/>
      <c r="Q36" s="418">
        <f>IFERROR(VLOOKUP($C36,'Proposed Rates'!$B:$J,Q$11,FALSE),0)</f>
        <v>1.128E-2</v>
      </c>
      <c r="R36" s="415">
        <f t="shared" si="28"/>
        <v>50</v>
      </c>
      <c r="S36" s="400">
        <f t="shared" si="29"/>
        <v>0.56400000000000006</v>
      </c>
      <c r="T36" s="128"/>
      <c r="U36" s="401">
        <f t="shared" ref="U36:U37" si="43">S36-L36</f>
        <v>1.4000000000000123E-2</v>
      </c>
      <c r="V36" s="402">
        <f t="shared" ref="V36:V37" si="44">IF((L36)=0,"",(U36/L36))</f>
        <v>2.5454545454545681E-2</v>
      </c>
      <c r="W36" s="52"/>
      <c r="X36" s="418">
        <f>IFERROR(VLOOKUP($C36,'Proposed Rates'!$B:$J,X$11,FALSE),0)</f>
        <v>1.1429999999999999E-2</v>
      </c>
      <c r="Y36" s="415">
        <f t="shared" si="30"/>
        <v>50</v>
      </c>
      <c r="Z36" s="400">
        <f t="shared" si="31"/>
        <v>0.57150000000000001</v>
      </c>
      <c r="AA36" s="128"/>
      <c r="AB36" s="401">
        <f t="shared" ref="AB36:AB37" si="45">Z36-S36</f>
        <v>7.4999999999999512E-3</v>
      </c>
      <c r="AC36" s="402">
        <f t="shared" ref="AC36:AC37" si="46">IF((S36)=0,"",(AB36/S36))</f>
        <v>1.3297872340425444E-2</v>
      </c>
      <c r="AD36" s="52"/>
      <c r="AE36" s="418">
        <f>IFERROR(VLOOKUP($C36,'Proposed Rates'!$B:$J,AE$11,FALSE),0)</f>
        <v>1.162E-2</v>
      </c>
      <c r="AF36" s="415">
        <f t="shared" si="32"/>
        <v>50</v>
      </c>
      <c r="AG36" s="400">
        <f t="shared" si="33"/>
        <v>0.58099999999999996</v>
      </c>
      <c r="AH36" s="128"/>
      <c r="AI36" s="401">
        <f t="shared" si="12"/>
        <v>9.4999999999999529E-3</v>
      </c>
      <c r="AJ36" s="402">
        <f t="shared" si="13"/>
        <v>1.6622922134733077E-2</v>
      </c>
      <c r="AK36" s="52"/>
      <c r="AL36" s="418">
        <f>IFERROR(VLOOKUP($C36,'Proposed Rates'!$B:$J,AL$11,FALSE),0)</f>
        <v>1.1820000000000001E-2</v>
      </c>
      <c r="AM36" s="415">
        <f t="shared" si="34"/>
        <v>50</v>
      </c>
      <c r="AN36" s="400">
        <f t="shared" si="35"/>
        <v>0.59100000000000008</v>
      </c>
      <c r="AO36" s="128"/>
      <c r="AP36" s="401">
        <f t="shared" ref="AP36:AP37" si="47">AN36-AG36</f>
        <v>1.000000000000012E-2</v>
      </c>
      <c r="AQ36" s="402">
        <f t="shared" ref="AQ36:AQ37" si="48">IF((AG36)=0,"",(AP36/AG36))</f>
        <v>1.7211703958692117E-2</v>
      </c>
      <c r="AR36" s="403"/>
      <c r="AS36" s="403"/>
    </row>
    <row r="37" spans="1:45" ht="12.75" customHeight="1">
      <c r="A37" s="52"/>
      <c r="B37" s="320" t="s">
        <v>312</v>
      </c>
      <c r="C37" s="395" t="str">
        <f t="shared" si="23"/>
        <v>Street Light.Line Losses on Cost of Power</v>
      </c>
      <c r="D37" s="396" t="s">
        <v>308</v>
      </c>
      <c r="E37" s="320"/>
      <c r="F37" s="420">
        <f>F46</f>
        <v>0.1045</v>
      </c>
      <c r="G37" s="507">
        <f>$F$9*(1+F$65)-$F$9</f>
        <v>603.66800000000148</v>
      </c>
      <c r="H37" s="400">
        <f t="shared" si="25"/>
        <v>63.08330600000015</v>
      </c>
      <c r="I37" s="128"/>
      <c r="J37" s="420">
        <f>J46</f>
        <v>0.1045</v>
      </c>
      <c r="K37" s="507">
        <f>$F$9*(1+J$65)-$F$9</f>
        <v>592.9519999999975</v>
      </c>
      <c r="L37" s="400">
        <f t="shared" si="27"/>
        <v>61.963483999999738</v>
      </c>
      <c r="M37" s="128"/>
      <c r="N37" s="401">
        <f t="shared" si="41"/>
        <v>-1.1198220000004113</v>
      </c>
      <c r="O37" s="402">
        <f t="shared" si="42"/>
        <v>-1.7751479289947306E-2</v>
      </c>
      <c r="P37" s="52"/>
      <c r="Q37" s="420">
        <f>Q46</f>
        <v>0.1045</v>
      </c>
      <c r="R37" s="507">
        <f>$F$9*(1+Q$65)-$F$9</f>
        <v>592.9519999999975</v>
      </c>
      <c r="S37" s="400">
        <f t="shared" si="29"/>
        <v>61.963483999999738</v>
      </c>
      <c r="T37" s="128"/>
      <c r="U37" s="401">
        <f t="shared" si="43"/>
        <v>0</v>
      </c>
      <c r="V37" s="402">
        <f t="shared" si="44"/>
        <v>0</v>
      </c>
      <c r="W37" s="52"/>
      <c r="X37" s="420">
        <f>X46</f>
        <v>0.1045</v>
      </c>
      <c r="Y37" s="507">
        <f>$F$9*(1+X$65)-$F$9</f>
        <v>592.9519999999975</v>
      </c>
      <c r="Z37" s="400">
        <f t="shared" si="31"/>
        <v>61.963483999999738</v>
      </c>
      <c r="AA37" s="128"/>
      <c r="AB37" s="401">
        <f t="shared" si="45"/>
        <v>0</v>
      </c>
      <c r="AC37" s="402">
        <f t="shared" si="46"/>
        <v>0</v>
      </c>
      <c r="AD37" s="52"/>
      <c r="AE37" s="420">
        <f>AE46</f>
        <v>0.1045</v>
      </c>
      <c r="AF37" s="507">
        <f>$F$9*(1+AE$65)-$F$9</f>
        <v>592.9519999999975</v>
      </c>
      <c r="AG37" s="400">
        <f t="shared" si="33"/>
        <v>61.963483999999738</v>
      </c>
      <c r="AH37" s="128"/>
      <c r="AI37" s="401">
        <f t="shared" si="12"/>
        <v>0</v>
      </c>
      <c r="AJ37" s="402">
        <f t="shared" si="13"/>
        <v>0</v>
      </c>
      <c r="AK37" s="52"/>
      <c r="AL37" s="420">
        <f>AL46</f>
        <v>0.1045</v>
      </c>
      <c r="AM37" s="507">
        <f>$F$9*(1+AL$65)-$F$9</f>
        <v>592.9519999999975</v>
      </c>
      <c r="AN37" s="400">
        <f t="shared" si="35"/>
        <v>61.963483999999738</v>
      </c>
      <c r="AO37" s="128"/>
      <c r="AP37" s="401">
        <f t="shared" si="47"/>
        <v>0</v>
      </c>
      <c r="AQ37" s="402">
        <f t="shared" si="48"/>
        <v>0</v>
      </c>
      <c r="AR37" s="403"/>
      <c r="AS37" s="403"/>
    </row>
    <row r="38" spans="1:45" ht="12.75" customHeight="1">
      <c r="A38" s="52"/>
      <c r="B38" s="320" t="s">
        <v>271</v>
      </c>
      <c r="C38" s="395" t="str">
        <f t="shared" si="23"/>
        <v>Street Light.Smart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c r="O38" s="402"/>
      <c r="P38" s="52"/>
      <c r="Q38" s="414">
        <f>IFERROR(VLOOKUP($C38,'Proposed Rates'!$B:$J,Q$11,FALSE),0)</f>
        <v>0</v>
      </c>
      <c r="R38" s="415">
        <f>IF($D38="Monthly",1,IF($D38="per KW",$F$10,IF($D38="per kWh",$F$9,0)))</f>
        <v>1</v>
      </c>
      <c r="S38" s="400">
        <f t="shared" si="29"/>
        <v>0</v>
      </c>
      <c r="T38" s="128"/>
      <c r="U38" s="401"/>
      <c r="V38" s="402"/>
      <c r="W38" s="52"/>
      <c r="X38" s="414">
        <f>IFERROR(VLOOKUP($C38,'Proposed Rates'!$B:$J,X$11,FALSE),0)</f>
        <v>0</v>
      </c>
      <c r="Y38" s="415">
        <f>IF($D38="Monthly",1,IF($D38="per KW",$F$10,IF($D38="per kWh",$F$9,0)))</f>
        <v>1</v>
      </c>
      <c r="Z38" s="400">
        <f t="shared" si="31"/>
        <v>0</v>
      </c>
      <c r="AA38" s="128"/>
      <c r="AB38" s="401"/>
      <c r="AC38" s="402"/>
      <c r="AD38" s="52"/>
      <c r="AE38" s="414">
        <f>IFERROR(VLOOKUP($C38,'Proposed Rates'!$B:$J,AE$11,FALSE),0)</f>
        <v>0</v>
      </c>
      <c r="AF38" s="415">
        <f>IF($D38="Monthly",1,IF($D38="per KW",$F$10,IF($D38="per kWh",$F$9,0)))</f>
        <v>1</v>
      </c>
      <c r="AG38" s="400">
        <f t="shared" si="33"/>
        <v>0</v>
      </c>
      <c r="AH38" s="128"/>
      <c r="AI38" s="401"/>
      <c r="AJ38" s="402"/>
      <c r="AK38" s="52"/>
      <c r="AL38" s="414">
        <f>IFERROR(VLOOKUP($C38,'Proposed Rates'!$B:$J,AL$11,FALSE),0)</f>
        <v>0</v>
      </c>
      <c r="AM38" s="415">
        <f>IF($D38="Monthly",1,IF($D38="per KW",$F$10,IF($D38="per kWh",$F$9,0)))</f>
        <v>1</v>
      </c>
      <c r="AN38" s="400">
        <f t="shared" si="35"/>
        <v>0</v>
      </c>
      <c r="AO38" s="128"/>
      <c r="AP38" s="401"/>
      <c r="AQ38" s="402"/>
      <c r="AR38" s="403"/>
      <c r="AS38" s="403"/>
    </row>
    <row r="39" spans="1:45" ht="12.75" customHeight="1">
      <c r="A39" s="52"/>
      <c r="B39" s="405" t="s">
        <v>313</v>
      </c>
      <c r="C39" s="559"/>
      <c r="D39" s="422"/>
      <c r="E39" s="422"/>
      <c r="F39" s="423"/>
      <c r="G39" s="501"/>
      <c r="H39" s="409">
        <f>SUM(H30:H38)+H29</f>
        <v>1068.0263060000002</v>
      </c>
      <c r="I39" s="425"/>
      <c r="J39" s="423"/>
      <c r="K39" s="501"/>
      <c r="L39" s="409">
        <f>SUM(L30:L38)+L29</f>
        <v>1095.9724839999997</v>
      </c>
      <c r="M39" s="425"/>
      <c r="N39" s="411">
        <f t="shared" ref="N39:N46" si="49">L39-H39</f>
        <v>27.946177999999463</v>
      </c>
      <c r="O39" s="412">
        <f t="shared" ref="O39:O46" si="50">IF((H39)=0,"",(N39/H39))</f>
        <v>2.6166188831681696E-2</v>
      </c>
      <c r="P39" s="52"/>
      <c r="Q39" s="423"/>
      <c r="R39" s="501"/>
      <c r="S39" s="409">
        <f>SUM(S30:S38)+S29</f>
        <v>801.83748399999968</v>
      </c>
      <c r="T39" s="425"/>
      <c r="U39" s="411">
        <f t="shared" ref="U39:U46" si="51">S39-L39</f>
        <v>-294.13499999999999</v>
      </c>
      <c r="V39" s="412">
        <f t="shared" ref="V39:V46" si="52">IF((L39)=0,"",(U39/L39))</f>
        <v>-0.26837808822214926</v>
      </c>
      <c r="W39" s="52"/>
      <c r="X39" s="423"/>
      <c r="Y39" s="501"/>
      <c r="Z39" s="409">
        <f>SUM(Z30:Z38)+Z29</f>
        <v>841.75498399999981</v>
      </c>
      <c r="AA39" s="425"/>
      <c r="AB39" s="411">
        <f t="shared" ref="AB39:AB46" si="53">Z39-S39</f>
        <v>39.917500000000132</v>
      </c>
      <c r="AC39" s="412">
        <f t="shared" ref="AC39:AC46" si="54">IF((S39)=0,"",(AB39/S39))</f>
        <v>4.9782531743053492E-2</v>
      </c>
      <c r="AD39" s="52"/>
      <c r="AE39" s="423"/>
      <c r="AF39" s="501"/>
      <c r="AG39" s="409">
        <f>SUM(AG30:AG38)+AG29</f>
        <v>852.26948399999981</v>
      </c>
      <c r="AH39" s="425"/>
      <c r="AI39" s="411">
        <f t="shared" ref="AI39:AI46" si="55">AG39-Z39</f>
        <v>10.514499999999998</v>
      </c>
      <c r="AJ39" s="412">
        <f t="shared" ref="AJ39:AJ46" si="56">IF((Z39)=0,"",(AI39/Z39))</f>
        <v>1.2491164531079273E-2</v>
      </c>
      <c r="AK39" s="52"/>
      <c r="AL39" s="423"/>
      <c r="AM39" s="501"/>
      <c r="AN39" s="409">
        <f>SUM(AN30:AN38)+AN29</f>
        <v>890.62948399999982</v>
      </c>
      <c r="AO39" s="425"/>
      <c r="AP39" s="411">
        <f t="shared" ref="AP39:AP46" si="57">AN39-AG39</f>
        <v>38.360000000000014</v>
      </c>
      <c r="AQ39" s="412">
        <f t="shared" ref="AQ39:AQ46" si="58">IF((AG39)=0,"",(AP39/AG39))</f>
        <v>4.5009237946621143E-2</v>
      </c>
      <c r="AR39" s="413"/>
      <c r="AS39" s="413"/>
    </row>
    <row r="40" spans="1:45" ht="12.75" customHeight="1">
      <c r="A40" s="52"/>
      <c r="B40" s="128" t="s">
        <v>255</v>
      </c>
      <c r="C40" s="395" t="str">
        <f t="shared" ref="C40:C41" si="59">D$6&amp;"."&amp;B40</f>
        <v>Street Light.RTSR - Network</v>
      </c>
      <c r="D40" s="426" t="s">
        <v>377</v>
      </c>
      <c r="E40" s="128"/>
      <c r="F40" s="414">
        <f>IFERROR(VLOOKUP($C40,'Proposed Rates'!$B:$J,F$11,FALSE),0)</f>
        <v>3.597</v>
      </c>
      <c r="G40" s="415">
        <f t="shared" ref="G40:G41" si="60">IF($D40="Monthly",1,IF($D40="per KW",$F$10,IF($D40="per kWh",$F$9,0)))</f>
        <v>50</v>
      </c>
      <c r="H40" s="400">
        <f t="shared" ref="H40:H41" si="61">G40*F40</f>
        <v>179.85</v>
      </c>
      <c r="I40" s="128"/>
      <c r="J40" s="414">
        <f>IFERROR(VLOOKUP($C40,'Proposed Rates'!$B:$J,J$11,FALSE),0)</f>
        <v>2.1576</v>
      </c>
      <c r="K40" s="415">
        <f t="shared" ref="K40:K41" si="62">IF($D40="Monthly",1,IF($D40="per KW",$F$10,IF($D40="per kWh",$F$9,0)))</f>
        <v>50</v>
      </c>
      <c r="L40" s="400">
        <f t="shared" ref="L40:L41" si="63">K40*J40</f>
        <v>107.88</v>
      </c>
      <c r="M40" s="128"/>
      <c r="N40" s="401">
        <f t="shared" si="49"/>
        <v>-71.97</v>
      </c>
      <c r="O40" s="402">
        <f t="shared" si="50"/>
        <v>-0.40016680567139284</v>
      </c>
      <c r="P40" s="52"/>
      <c r="Q40" s="414">
        <f>IFERROR(VLOOKUP($C40,'Proposed Rates'!$B:$J,Q$11,FALSE),0)</f>
        <v>2.1576</v>
      </c>
      <c r="R40" s="415">
        <f t="shared" ref="R40:R41" si="64">IF($D40="Monthly",1,IF($D40="per KW",$F$10,IF($D40="per kWh",$F$9,0)))</f>
        <v>50</v>
      </c>
      <c r="S40" s="400">
        <f t="shared" ref="S40:S41" si="65">R40*Q40</f>
        <v>107.88</v>
      </c>
      <c r="T40" s="128"/>
      <c r="U40" s="401">
        <f t="shared" si="51"/>
        <v>0</v>
      </c>
      <c r="V40" s="402">
        <f t="shared" si="52"/>
        <v>0</v>
      </c>
      <c r="W40" s="52"/>
      <c r="X40" s="414">
        <f>IFERROR(VLOOKUP($C40,'Proposed Rates'!$B:$J,X$11,FALSE),0)</f>
        <v>2.1576</v>
      </c>
      <c r="Y40" s="415">
        <f t="shared" ref="Y40:Y41" si="66">IF($D40="Monthly",1,IF($D40="per KW",$F$10,IF($D40="per kWh",$F$9,0)))</f>
        <v>50</v>
      </c>
      <c r="Z40" s="400">
        <f t="shared" ref="Z40:Z41" si="67">Y40*X40</f>
        <v>107.88</v>
      </c>
      <c r="AA40" s="128"/>
      <c r="AB40" s="401">
        <f t="shared" si="53"/>
        <v>0</v>
      </c>
      <c r="AC40" s="402">
        <f t="shared" si="54"/>
        <v>0</v>
      </c>
      <c r="AD40" s="52"/>
      <c r="AE40" s="414">
        <f>IFERROR(VLOOKUP($C40,'Proposed Rates'!$B:$J,AE$11,FALSE),0)</f>
        <v>2.1576</v>
      </c>
      <c r="AF40" s="415">
        <f t="shared" ref="AF40:AF41" si="68">IF($D40="Monthly",1,IF($D40="per KW",$F$10,IF($D40="per kWh",$F$9,0)))</f>
        <v>50</v>
      </c>
      <c r="AG40" s="400">
        <f t="shared" ref="AG40:AG41" si="69">AF40*AE40</f>
        <v>107.88</v>
      </c>
      <c r="AH40" s="128"/>
      <c r="AI40" s="401">
        <f t="shared" si="55"/>
        <v>0</v>
      </c>
      <c r="AJ40" s="402">
        <f t="shared" si="56"/>
        <v>0</v>
      </c>
      <c r="AK40" s="52"/>
      <c r="AL40" s="414">
        <f>IFERROR(VLOOKUP($C40,'Proposed Rates'!$B:$J,AL$11,FALSE),0)</f>
        <v>2.1576</v>
      </c>
      <c r="AM40" s="415">
        <f t="shared" ref="AM40:AM41" si="70">IF($D40="Monthly",1,IF($D40="per KW",$F$10,IF($D40="per kWh",$F$9,0)))</f>
        <v>50</v>
      </c>
      <c r="AN40" s="400">
        <f t="shared" ref="AN40:AN41" si="71">AM40*AL40</f>
        <v>107.88</v>
      </c>
      <c r="AO40" s="128"/>
      <c r="AP40" s="401">
        <f t="shared" si="57"/>
        <v>0</v>
      </c>
      <c r="AQ40" s="402">
        <f t="shared" si="58"/>
        <v>0</v>
      </c>
      <c r="AR40" s="403"/>
      <c r="AS40" s="403"/>
    </row>
    <row r="41" spans="1:45" ht="12.75" customHeight="1">
      <c r="A41" s="52"/>
      <c r="B41" s="128" t="s">
        <v>256</v>
      </c>
      <c r="C41" s="395" t="str">
        <f t="shared" si="59"/>
        <v>Street Light.RTSR - Line and Transformation Connection</v>
      </c>
      <c r="D41" s="426" t="s">
        <v>377</v>
      </c>
      <c r="E41" s="128"/>
      <c r="F41" s="414">
        <f>IFERROR(VLOOKUP($C41,'Proposed Rates'!$B:$J,F$11,FALSE),0)</f>
        <v>2.1377000000000002</v>
      </c>
      <c r="G41" s="415">
        <f t="shared" si="60"/>
        <v>50</v>
      </c>
      <c r="H41" s="400">
        <f t="shared" si="61"/>
        <v>106.88500000000001</v>
      </c>
      <c r="I41" s="128"/>
      <c r="J41" s="414">
        <f>IFERROR(VLOOKUP($C41,'Proposed Rates'!$B:$J,J$11,FALSE),0)</f>
        <v>1.2213000000000001</v>
      </c>
      <c r="K41" s="415">
        <f t="shared" si="62"/>
        <v>50</v>
      </c>
      <c r="L41" s="400">
        <f t="shared" si="63"/>
        <v>61.065000000000005</v>
      </c>
      <c r="M41" s="128"/>
      <c r="N41" s="401">
        <f t="shared" si="49"/>
        <v>-45.82</v>
      </c>
      <c r="O41" s="402">
        <f t="shared" si="50"/>
        <v>-0.4286850353183328</v>
      </c>
      <c r="P41" s="52"/>
      <c r="Q41" s="414">
        <f>IFERROR(VLOOKUP($C41,'Proposed Rates'!$B:$J,Q$11,FALSE),0)</f>
        <v>1.2213000000000001</v>
      </c>
      <c r="R41" s="415">
        <f t="shared" si="64"/>
        <v>50</v>
      </c>
      <c r="S41" s="400">
        <f t="shared" si="65"/>
        <v>61.065000000000005</v>
      </c>
      <c r="T41" s="128"/>
      <c r="U41" s="401">
        <f t="shared" si="51"/>
        <v>0</v>
      </c>
      <c r="V41" s="402">
        <f t="shared" si="52"/>
        <v>0</v>
      </c>
      <c r="W41" s="52"/>
      <c r="X41" s="414">
        <f>IFERROR(VLOOKUP($C41,'Proposed Rates'!$B:$J,X$11,FALSE),0)</f>
        <v>1.2213000000000001</v>
      </c>
      <c r="Y41" s="415">
        <f t="shared" si="66"/>
        <v>50</v>
      </c>
      <c r="Z41" s="400">
        <f t="shared" si="67"/>
        <v>61.065000000000005</v>
      </c>
      <c r="AA41" s="128"/>
      <c r="AB41" s="401">
        <f t="shared" si="53"/>
        <v>0</v>
      </c>
      <c r="AC41" s="402">
        <f t="shared" si="54"/>
        <v>0</v>
      </c>
      <c r="AD41" s="52"/>
      <c r="AE41" s="414">
        <f>IFERROR(VLOOKUP($C41,'Proposed Rates'!$B:$J,AE$11,FALSE),0)</f>
        <v>1.2213000000000001</v>
      </c>
      <c r="AF41" s="415">
        <f t="shared" si="68"/>
        <v>50</v>
      </c>
      <c r="AG41" s="400">
        <f t="shared" si="69"/>
        <v>61.065000000000005</v>
      </c>
      <c r="AH41" s="128"/>
      <c r="AI41" s="401">
        <f t="shared" si="55"/>
        <v>0</v>
      </c>
      <c r="AJ41" s="402">
        <f t="shared" si="56"/>
        <v>0</v>
      </c>
      <c r="AK41" s="52"/>
      <c r="AL41" s="414">
        <f>IFERROR(VLOOKUP($C41,'Proposed Rates'!$B:$J,AL$11,FALSE),0)</f>
        <v>1.2213000000000001</v>
      </c>
      <c r="AM41" s="415">
        <f t="shared" si="70"/>
        <v>50</v>
      </c>
      <c r="AN41" s="400">
        <f t="shared" si="71"/>
        <v>61.065000000000005</v>
      </c>
      <c r="AO41" s="128"/>
      <c r="AP41" s="401">
        <f t="shared" si="57"/>
        <v>0</v>
      </c>
      <c r="AQ41" s="402">
        <f t="shared" si="58"/>
        <v>0</v>
      </c>
      <c r="AR41" s="403"/>
      <c r="AS41" s="403"/>
    </row>
    <row r="42" spans="1:45" ht="12.75" customHeight="1">
      <c r="A42" s="52"/>
      <c r="B42" s="405" t="s">
        <v>314</v>
      </c>
      <c r="C42" s="560"/>
      <c r="D42" s="427"/>
      <c r="E42" s="427"/>
      <c r="F42" s="428"/>
      <c r="G42" s="501"/>
      <c r="H42" s="409">
        <f>SUM(H39:H41)</f>
        <v>1354.7613060000001</v>
      </c>
      <c r="I42" s="410"/>
      <c r="J42" s="428"/>
      <c r="K42" s="501"/>
      <c r="L42" s="409">
        <f>SUM(L39:L41)</f>
        <v>1264.9174839999996</v>
      </c>
      <c r="M42" s="410"/>
      <c r="N42" s="411">
        <f t="shared" si="49"/>
        <v>-89.8438220000005</v>
      </c>
      <c r="O42" s="412">
        <f t="shared" si="50"/>
        <v>-6.6317085970862902E-2</v>
      </c>
      <c r="P42" s="52"/>
      <c r="Q42" s="428"/>
      <c r="R42" s="501"/>
      <c r="S42" s="409">
        <f>SUM(S39:S41)</f>
        <v>970.78248399999973</v>
      </c>
      <c r="T42" s="410"/>
      <c r="U42" s="411">
        <f t="shared" si="51"/>
        <v>-294.13499999999988</v>
      </c>
      <c r="V42" s="412">
        <f t="shared" si="52"/>
        <v>-0.23253295469509058</v>
      </c>
      <c r="W42" s="52"/>
      <c r="X42" s="428"/>
      <c r="Y42" s="501"/>
      <c r="Z42" s="409">
        <f>SUM(Z39:Z41)</f>
        <v>1010.6999839999999</v>
      </c>
      <c r="AA42" s="410"/>
      <c r="AB42" s="411">
        <f t="shared" si="53"/>
        <v>39.917500000000132</v>
      </c>
      <c r="AC42" s="412">
        <f t="shared" si="54"/>
        <v>4.1118891881448641E-2</v>
      </c>
      <c r="AD42" s="52"/>
      <c r="AE42" s="428"/>
      <c r="AF42" s="501"/>
      <c r="AG42" s="409">
        <f>SUM(AG39:AG41)</f>
        <v>1021.2144839999999</v>
      </c>
      <c r="AH42" s="410"/>
      <c r="AI42" s="411">
        <f t="shared" si="55"/>
        <v>10.514499999999998</v>
      </c>
      <c r="AJ42" s="412">
        <f t="shared" si="56"/>
        <v>1.0403186075443729E-2</v>
      </c>
      <c r="AK42" s="52"/>
      <c r="AL42" s="428"/>
      <c r="AM42" s="501"/>
      <c r="AN42" s="409">
        <f>SUM(AN39:AN41)</f>
        <v>1059.5744839999998</v>
      </c>
      <c r="AO42" s="410"/>
      <c r="AP42" s="411">
        <f t="shared" si="57"/>
        <v>38.3599999999999</v>
      </c>
      <c r="AQ42" s="412">
        <f t="shared" si="58"/>
        <v>3.7563117837643108E-2</v>
      </c>
      <c r="AR42" s="413"/>
      <c r="AS42" s="413"/>
    </row>
    <row r="43" spans="1:45" ht="12.75" customHeight="1">
      <c r="A43" s="52"/>
      <c r="B43" s="320" t="s">
        <v>257</v>
      </c>
      <c r="C43" s="395" t="str">
        <f t="shared" ref="C43:C45" si="72">D$6&amp;"."&amp;B43</f>
        <v>Street Light.Wholesale Market Service Charge (WMSC)</v>
      </c>
      <c r="D43" s="396" t="s">
        <v>308</v>
      </c>
      <c r="E43" s="320"/>
      <c r="F43" s="414">
        <f>IFERROR(VLOOKUP($C43,'Proposed Rates'!$B:$J,F$11,FALSE),0)</f>
        <v>4.4999999999999997E-3</v>
      </c>
      <c r="G43" s="574">
        <f t="shared" ref="G43:G44" si="73">$F$9+G$37</f>
        <v>18463.668000000001</v>
      </c>
      <c r="H43" s="400">
        <f t="shared" ref="H43:H46" si="74">G43*F43</f>
        <v>83.086506</v>
      </c>
      <c r="I43" s="128"/>
      <c r="J43" s="414">
        <f>IFERROR(VLOOKUP($C43,'Proposed Rates'!$B:$J,J$11,FALSE),0)</f>
        <v>4.4999999999999997E-3</v>
      </c>
      <c r="K43" s="574">
        <f t="shared" ref="K43:K44" si="75">$F$9+K$37</f>
        <v>18452.951999999997</v>
      </c>
      <c r="L43" s="400">
        <f t="shared" ref="L43:L46" si="76">K43*J43</f>
        <v>83.038283999999976</v>
      </c>
      <c r="M43" s="128"/>
      <c r="N43" s="401">
        <f t="shared" si="49"/>
        <v>-4.8222000000023968E-2</v>
      </c>
      <c r="O43" s="402">
        <f t="shared" si="50"/>
        <v>-5.8038305281514632E-4</v>
      </c>
      <c r="P43" s="52"/>
      <c r="Q43" s="414">
        <f>IFERROR(VLOOKUP($C43,'Proposed Rates'!$B:$J,Q$11,FALSE),0)</f>
        <v>4.4999999999999997E-3</v>
      </c>
      <c r="R43" s="574">
        <f t="shared" ref="R43:R44" si="77">$F$9+R$37</f>
        <v>18452.951999999997</v>
      </c>
      <c r="S43" s="400">
        <f t="shared" ref="S43:S46" si="78">R43*Q43</f>
        <v>83.038283999999976</v>
      </c>
      <c r="T43" s="128"/>
      <c r="U43" s="401">
        <f t="shared" si="51"/>
        <v>0</v>
      </c>
      <c r="V43" s="402">
        <f t="shared" si="52"/>
        <v>0</v>
      </c>
      <c r="W43" s="52"/>
      <c r="X43" s="414">
        <f>IFERROR(VLOOKUP($C43,'Proposed Rates'!$B:$J,X$11,FALSE),0)</f>
        <v>4.4999999999999997E-3</v>
      </c>
      <c r="Y43" s="574">
        <f t="shared" ref="Y43:Y44" si="79">$F$9+Y$37</f>
        <v>18452.951999999997</v>
      </c>
      <c r="Z43" s="400">
        <f t="shared" ref="Z43:Z46" si="80">Y43*X43</f>
        <v>83.038283999999976</v>
      </c>
      <c r="AA43" s="128"/>
      <c r="AB43" s="401">
        <f t="shared" si="53"/>
        <v>0</v>
      </c>
      <c r="AC43" s="402">
        <f t="shared" si="54"/>
        <v>0</v>
      </c>
      <c r="AD43" s="52"/>
      <c r="AE43" s="414">
        <f>IFERROR(VLOOKUP($C43,'Proposed Rates'!$B:$J,AE$11,FALSE),0)</f>
        <v>4.4999999999999997E-3</v>
      </c>
      <c r="AF43" s="574">
        <f t="shared" ref="AF43:AF44" si="81">$F$9+AF$37</f>
        <v>18452.951999999997</v>
      </c>
      <c r="AG43" s="400">
        <f t="shared" ref="AG43:AG46" si="82">AF43*AE43</f>
        <v>83.038283999999976</v>
      </c>
      <c r="AH43" s="128"/>
      <c r="AI43" s="401">
        <f t="shared" si="55"/>
        <v>0</v>
      </c>
      <c r="AJ43" s="402">
        <f t="shared" si="56"/>
        <v>0</v>
      </c>
      <c r="AK43" s="52"/>
      <c r="AL43" s="414">
        <f>IFERROR(VLOOKUP($C43,'Proposed Rates'!$B:$J,AL$11,FALSE),0)</f>
        <v>4.4999999999999997E-3</v>
      </c>
      <c r="AM43" s="574">
        <f t="shared" ref="AM43:AM44" si="83">$F$9+AM$37</f>
        <v>18452.951999999997</v>
      </c>
      <c r="AN43" s="400">
        <f t="shared" ref="AN43:AN46" si="84">AM43*AL43</f>
        <v>83.038283999999976</v>
      </c>
      <c r="AO43" s="128"/>
      <c r="AP43" s="401">
        <f t="shared" si="57"/>
        <v>0</v>
      </c>
      <c r="AQ43" s="402">
        <f t="shared" si="58"/>
        <v>0</v>
      </c>
      <c r="AR43" s="403"/>
      <c r="AS43" s="403"/>
    </row>
    <row r="44" spans="1:45" ht="12.75" customHeight="1">
      <c r="A44" s="52"/>
      <c r="B44" s="320" t="s">
        <v>258</v>
      </c>
      <c r="C44" s="395" t="str">
        <f t="shared" si="72"/>
        <v>Street Light.Rural and Remote Rate Protection (RRRP)</v>
      </c>
      <c r="D44" s="396" t="s">
        <v>308</v>
      </c>
      <c r="E44" s="320"/>
      <c r="F44" s="414">
        <f>IFERROR(VLOOKUP($C44,'Proposed Rates'!$B:$J,F$11,FALSE),0)</f>
        <v>1.5E-3</v>
      </c>
      <c r="G44" s="574">
        <f t="shared" si="73"/>
        <v>18463.668000000001</v>
      </c>
      <c r="H44" s="400">
        <f t="shared" si="74"/>
        <v>27.695502000000001</v>
      </c>
      <c r="I44" s="128"/>
      <c r="J44" s="414">
        <f>IFERROR(VLOOKUP($C44,'Proposed Rates'!$B:$J,J$11,FALSE),0)</f>
        <v>1.5E-3</v>
      </c>
      <c r="K44" s="574">
        <f t="shared" si="75"/>
        <v>18452.951999999997</v>
      </c>
      <c r="L44" s="400">
        <f t="shared" si="76"/>
        <v>27.679427999999998</v>
      </c>
      <c r="M44" s="128"/>
      <c r="N44" s="401">
        <f t="shared" si="49"/>
        <v>-1.6074000000003252E-2</v>
      </c>
      <c r="O44" s="402">
        <f t="shared" si="50"/>
        <v>-5.8038305281497523E-4</v>
      </c>
      <c r="P44" s="52"/>
      <c r="Q44" s="414">
        <f>IFERROR(VLOOKUP($C44,'Proposed Rates'!$B:$J,Q$11,FALSE),0)</f>
        <v>1.5E-3</v>
      </c>
      <c r="R44" s="574">
        <f t="shared" si="77"/>
        <v>18452.951999999997</v>
      </c>
      <c r="S44" s="400">
        <f t="shared" si="78"/>
        <v>27.679427999999998</v>
      </c>
      <c r="T44" s="128"/>
      <c r="U44" s="401">
        <f t="shared" si="51"/>
        <v>0</v>
      </c>
      <c r="V44" s="402">
        <f t="shared" si="52"/>
        <v>0</v>
      </c>
      <c r="W44" s="52"/>
      <c r="X44" s="414">
        <f>IFERROR(VLOOKUP($C44,'Proposed Rates'!$B:$J,X$11,FALSE),0)</f>
        <v>1.5E-3</v>
      </c>
      <c r="Y44" s="574">
        <f t="shared" si="79"/>
        <v>18452.951999999997</v>
      </c>
      <c r="Z44" s="400">
        <f t="shared" si="80"/>
        <v>27.679427999999998</v>
      </c>
      <c r="AA44" s="128"/>
      <c r="AB44" s="401">
        <f t="shared" si="53"/>
        <v>0</v>
      </c>
      <c r="AC44" s="402">
        <f t="shared" si="54"/>
        <v>0</v>
      </c>
      <c r="AD44" s="52"/>
      <c r="AE44" s="414">
        <f>IFERROR(VLOOKUP($C44,'Proposed Rates'!$B:$J,AE$11,FALSE),0)</f>
        <v>1.5E-3</v>
      </c>
      <c r="AF44" s="574">
        <f t="shared" si="81"/>
        <v>18452.951999999997</v>
      </c>
      <c r="AG44" s="400">
        <f t="shared" si="82"/>
        <v>27.679427999999998</v>
      </c>
      <c r="AH44" s="128"/>
      <c r="AI44" s="401">
        <f t="shared" si="55"/>
        <v>0</v>
      </c>
      <c r="AJ44" s="402">
        <f t="shared" si="56"/>
        <v>0</v>
      </c>
      <c r="AK44" s="52"/>
      <c r="AL44" s="414">
        <f>IFERROR(VLOOKUP($C44,'Proposed Rates'!$B:$J,AL$11,FALSE),0)</f>
        <v>1.5E-3</v>
      </c>
      <c r="AM44" s="574">
        <f t="shared" si="83"/>
        <v>18452.951999999997</v>
      </c>
      <c r="AN44" s="400">
        <f t="shared" si="84"/>
        <v>27.679427999999998</v>
      </c>
      <c r="AO44" s="128"/>
      <c r="AP44" s="401">
        <f t="shared" si="57"/>
        <v>0</v>
      </c>
      <c r="AQ44" s="402">
        <f t="shared" si="58"/>
        <v>0</v>
      </c>
      <c r="AR44" s="403"/>
      <c r="AS44" s="403"/>
    </row>
    <row r="45" spans="1:45" ht="12.75" customHeight="1">
      <c r="A45" s="52"/>
      <c r="B45" s="320" t="s">
        <v>260</v>
      </c>
      <c r="C45" s="395" t="str">
        <f t="shared" si="72"/>
        <v>Street Light.Standard Supply Service Charge</v>
      </c>
      <c r="D45" s="396" t="s">
        <v>306</v>
      </c>
      <c r="E45" s="320"/>
      <c r="F45" s="414">
        <f>IFERROR(VLOOKUP($C45,'Proposed Rates'!$B:$J,F$11,FALSE),0)</f>
        <v>0.25</v>
      </c>
      <c r="G45" s="417">
        <v>1</v>
      </c>
      <c r="H45" s="400">
        <f t="shared" si="74"/>
        <v>0.25</v>
      </c>
      <c r="I45" s="128"/>
      <c r="J45" s="414">
        <f>IFERROR(VLOOKUP($C45,'Proposed Rates'!$B:$J,J$11,FALSE),0)</f>
        <v>1.51</v>
      </c>
      <c r="K45" s="417">
        <v>1</v>
      </c>
      <c r="L45" s="400">
        <f t="shared" si="76"/>
        <v>1.51</v>
      </c>
      <c r="M45" s="128"/>
      <c r="N45" s="401">
        <f t="shared" si="49"/>
        <v>1.26</v>
      </c>
      <c r="O45" s="402">
        <f t="shared" si="50"/>
        <v>5.04</v>
      </c>
      <c r="P45" s="52"/>
      <c r="Q45" s="414">
        <f>IFERROR(VLOOKUP($C45,'Proposed Rates'!$B:$J,Q$11,FALSE),0)</f>
        <v>1.54</v>
      </c>
      <c r="R45" s="417">
        <v>1</v>
      </c>
      <c r="S45" s="400">
        <f t="shared" si="78"/>
        <v>1.54</v>
      </c>
      <c r="T45" s="128"/>
      <c r="U45" s="401">
        <f t="shared" si="51"/>
        <v>3.0000000000000027E-2</v>
      </c>
      <c r="V45" s="402">
        <f t="shared" si="52"/>
        <v>1.986754966887419E-2</v>
      </c>
      <c r="W45" s="52"/>
      <c r="X45" s="414">
        <f>IFERROR(VLOOKUP($C45,'Proposed Rates'!$B:$J,X$11,FALSE),0)</f>
        <v>1.57</v>
      </c>
      <c r="Y45" s="417">
        <v>1</v>
      </c>
      <c r="Z45" s="400">
        <f t="shared" si="80"/>
        <v>1.57</v>
      </c>
      <c r="AA45" s="128"/>
      <c r="AB45" s="401">
        <f t="shared" si="53"/>
        <v>3.0000000000000027E-2</v>
      </c>
      <c r="AC45" s="402">
        <f t="shared" si="54"/>
        <v>1.9480519480519497E-2</v>
      </c>
      <c r="AD45" s="52"/>
      <c r="AE45" s="414">
        <f>IFERROR(VLOOKUP($C45,'Proposed Rates'!$B:$J,AE$11,FALSE),0)</f>
        <v>1.6</v>
      </c>
      <c r="AF45" s="417">
        <v>1</v>
      </c>
      <c r="AG45" s="400">
        <f t="shared" si="82"/>
        <v>1.6</v>
      </c>
      <c r="AH45" s="128"/>
      <c r="AI45" s="401">
        <f t="shared" si="55"/>
        <v>3.0000000000000027E-2</v>
      </c>
      <c r="AJ45" s="402">
        <f t="shared" si="56"/>
        <v>1.9108280254777087E-2</v>
      </c>
      <c r="AK45" s="52"/>
      <c r="AL45" s="414">
        <f>IFERROR(VLOOKUP($C45,'Proposed Rates'!$B:$J,AL$11,FALSE),0)</f>
        <v>1.63</v>
      </c>
      <c r="AM45" s="417">
        <v>1</v>
      </c>
      <c r="AN45" s="400">
        <f t="shared" si="84"/>
        <v>1.63</v>
      </c>
      <c r="AO45" s="128"/>
      <c r="AP45" s="401">
        <f t="shared" si="57"/>
        <v>2.9999999999999805E-2</v>
      </c>
      <c r="AQ45" s="402">
        <f t="shared" si="58"/>
        <v>1.8749999999999878E-2</v>
      </c>
      <c r="AR45" s="403"/>
      <c r="AS45" s="403"/>
    </row>
    <row r="46" spans="1:45" ht="15.75" customHeight="1">
      <c r="A46" s="52"/>
      <c r="B46" s="320" t="s">
        <v>267</v>
      </c>
      <c r="C46" s="395" t="str">
        <f>B46</f>
        <v>Average IESO Wholesale Market Price</v>
      </c>
      <c r="D46" s="396" t="s">
        <v>308</v>
      </c>
      <c r="E46" s="320"/>
      <c r="F46" s="414">
        <f>IFERROR(VLOOKUP($C46,'Proposed Rates'!$B:$J,F$11,FALSE),0)</f>
        <v>0.1045</v>
      </c>
      <c r="G46" s="575">
        <f>$F$9</f>
        <v>17860</v>
      </c>
      <c r="H46" s="400">
        <f t="shared" si="74"/>
        <v>1866.37</v>
      </c>
      <c r="I46" s="128"/>
      <c r="J46" s="414">
        <f>IFERROR(VLOOKUP($C46,'Proposed Rates'!$B:$J,J$11,FALSE),0)</f>
        <v>0.1045</v>
      </c>
      <c r="K46" s="575">
        <f>$F$9</f>
        <v>17860</v>
      </c>
      <c r="L46" s="400">
        <f t="shared" si="76"/>
        <v>1866.37</v>
      </c>
      <c r="M46" s="128"/>
      <c r="N46" s="401">
        <f t="shared" si="49"/>
        <v>0</v>
      </c>
      <c r="O46" s="402">
        <f t="shared" si="50"/>
        <v>0</v>
      </c>
      <c r="P46" s="52"/>
      <c r="Q46" s="414">
        <f>IFERROR(VLOOKUP($C46,'Proposed Rates'!$B:$J,Q$11,FALSE),0)</f>
        <v>0.1045</v>
      </c>
      <c r="R46" s="575">
        <f>$F$9</f>
        <v>17860</v>
      </c>
      <c r="S46" s="400">
        <f t="shared" si="78"/>
        <v>1866.37</v>
      </c>
      <c r="T46" s="128"/>
      <c r="U46" s="401">
        <f t="shared" si="51"/>
        <v>0</v>
      </c>
      <c r="V46" s="402">
        <f t="shared" si="52"/>
        <v>0</v>
      </c>
      <c r="W46" s="52"/>
      <c r="X46" s="414">
        <f>IFERROR(VLOOKUP($C46,'Proposed Rates'!$B:$J,X$11,FALSE),0)</f>
        <v>0.1045</v>
      </c>
      <c r="Y46" s="575">
        <f>$F$9</f>
        <v>17860</v>
      </c>
      <c r="Z46" s="400">
        <f t="shared" si="80"/>
        <v>1866.37</v>
      </c>
      <c r="AA46" s="128"/>
      <c r="AB46" s="401">
        <f t="shared" si="53"/>
        <v>0</v>
      </c>
      <c r="AC46" s="402">
        <f t="shared" si="54"/>
        <v>0</v>
      </c>
      <c r="AD46" s="52"/>
      <c r="AE46" s="414">
        <f>IFERROR(VLOOKUP($C46,'Proposed Rates'!$B:$J,AE$11,FALSE),0)</f>
        <v>0.1045</v>
      </c>
      <c r="AF46" s="575">
        <f>$F$9</f>
        <v>17860</v>
      </c>
      <c r="AG46" s="400">
        <f t="shared" si="82"/>
        <v>1866.37</v>
      </c>
      <c r="AH46" s="128"/>
      <c r="AI46" s="401">
        <f t="shared" si="55"/>
        <v>0</v>
      </c>
      <c r="AJ46" s="402">
        <f t="shared" si="56"/>
        <v>0</v>
      </c>
      <c r="AK46" s="52"/>
      <c r="AL46" s="414">
        <f>IFERROR(VLOOKUP($C46,'Proposed Rates'!$B:$J,AL$11,FALSE),0)</f>
        <v>0.1045</v>
      </c>
      <c r="AM46" s="575">
        <f>$F$9</f>
        <v>17860</v>
      </c>
      <c r="AN46" s="400">
        <f t="shared" si="84"/>
        <v>1866.37</v>
      </c>
      <c r="AO46" s="128"/>
      <c r="AP46" s="401">
        <f t="shared" si="57"/>
        <v>0</v>
      </c>
      <c r="AQ46" s="402">
        <f t="shared" si="58"/>
        <v>0</v>
      </c>
      <c r="AR46" s="403"/>
      <c r="AS46" s="403"/>
    </row>
    <row r="47" spans="1:45" ht="15.75" customHeight="1">
      <c r="A47" s="52"/>
      <c r="B47" s="320"/>
      <c r="C47" s="395" t="str">
        <f t="shared" ref="C47:C50" si="85">D$6&amp;"."&amp;B47</f>
        <v>Street Light.</v>
      </c>
      <c r="D47" s="396"/>
      <c r="E47" s="320"/>
      <c r="F47" s="430"/>
      <c r="G47" s="575"/>
      <c r="H47" s="400"/>
      <c r="I47" s="128"/>
      <c r="J47" s="430"/>
      <c r="K47" s="575"/>
      <c r="L47" s="400"/>
      <c r="M47" s="128"/>
      <c r="N47" s="401"/>
      <c r="O47" s="402"/>
      <c r="P47" s="52"/>
      <c r="Q47" s="430"/>
      <c r="R47" s="575"/>
      <c r="S47" s="400"/>
      <c r="T47" s="128"/>
      <c r="U47" s="401"/>
      <c r="V47" s="402"/>
      <c r="W47" s="52"/>
      <c r="X47" s="430"/>
      <c r="Y47" s="575"/>
      <c r="Z47" s="400"/>
      <c r="AA47" s="128"/>
      <c r="AB47" s="401"/>
      <c r="AC47" s="402"/>
      <c r="AD47" s="52"/>
      <c r="AE47" s="430"/>
      <c r="AF47" s="575"/>
      <c r="AG47" s="400"/>
      <c r="AH47" s="128"/>
      <c r="AI47" s="401"/>
      <c r="AJ47" s="402"/>
      <c r="AK47" s="52"/>
      <c r="AL47" s="430"/>
      <c r="AM47" s="575"/>
      <c r="AN47" s="400"/>
      <c r="AO47" s="128"/>
      <c r="AP47" s="401"/>
      <c r="AQ47" s="402"/>
      <c r="AR47" s="403"/>
      <c r="AS47" s="403"/>
    </row>
    <row r="48" spans="1:45" ht="15.75" customHeight="1">
      <c r="A48" s="52"/>
      <c r="B48" s="320"/>
      <c r="C48" s="395" t="str">
        <f t="shared" si="85"/>
        <v>Street Light.</v>
      </c>
      <c r="D48" s="396"/>
      <c r="E48" s="320"/>
      <c r="F48" s="430"/>
      <c r="G48" s="575"/>
      <c r="H48" s="400"/>
      <c r="I48" s="128"/>
      <c r="J48" s="430"/>
      <c r="K48" s="575"/>
      <c r="L48" s="400"/>
      <c r="M48" s="128"/>
      <c r="N48" s="401"/>
      <c r="O48" s="402"/>
      <c r="P48" s="52"/>
      <c r="Q48" s="430"/>
      <c r="R48" s="575"/>
      <c r="S48" s="400"/>
      <c r="T48" s="128"/>
      <c r="U48" s="401"/>
      <c r="V48" s="402"/>
      <c r="W48" s="52"/>
      <c r="X48" s="430"/>
      <c r="Y48" s="575"/>
      <c r="Z48" s="400"/>
      <c r="AA48" s="128"/>
      <c r="AB48" s="401"/>
      <c r="AC48" s="402"/>
      <c r="AD48" s="52"/>
      <c r="AE48" s="430"/>
      <c r="AF48" s="575"/>
      <c r="AG48" s="400"/>
      <c r="AH48" s="128"/>
      <c r="AI48" s="401"/>
      <c r="AJ48" s="402"/>
      <c r="AK48" s="52"/>
      <c r="AL48" s="430"/>
      <c r="AM48" s="575"/>
      <c r="AN48" s="400"/>
      <c r="AO48" s="128"/>
      <c r="AP48" s="401"/>
      <c r="AQ48" s="402"/>
      <c r="AR48" s="403"/>
      <c r="AS48" s="403"/>
    </row>
    <row r="49" spans="1:45" ht="15.75" customHeight="1">
      <c r="A49" s="52"/>
      <c r="B49" s="320"/>
      <c r="C49" s="395" t="str">
        <f t="shared" si="85"/>
        <v>Street Light.</v>
      </c>
      <c r="D49" s="396"/>
      <c r="E49" s="320"/>
      <c r="F49" s="430"/>
      <c r="G49" s="575"/>
      <c r="H49" s="400"/>
      <c r="I49" s="128"/>
      <c r="J49" s="430"/>
      <c r="K49" s="575"/>
      <c r="L49" s="400"/>
      <c r="M49" s="128"/>
      <c r="N49" s="401"/>
      <c r="O49" s="402"/>
      <c r="P49" s="52"/>
      <c r="Q49" s="430"/>
      <c r="R49" s="575"/>
      <c r="S49" s="400"/>
      <c r="T49" s="128"/>
      <c r="U49" s="401"/>
      <c r="V49" s="402"/>
      <c r="W49" s="52"/>
      <c r="X49" s="430"/>
      <c r="Y49" s="575"/>
      <c r="Z49" s="400"/>
      <c r="AA49" s="128"/>
      <c r="AB49" s="401"/>
      <c r="AC49" s="402"/>
      <c r="AD49" s="52"/>
      <c r="AE49" s="430"/>
      <c r="AF49" s="575"/>
      <c r="AG49" s="400"/>
      <c r="AH49" s="128"/>
      <c r="AI49" s="401"/>
      <c r="AJ49" s="402"/>
      <c r="AK49" s="52"/>
      <c r="AL49" s="430"/>
      <c r="AM49" s="575"/>
      <c r="AN49" s="400"/>
      <c r="AO49" s="128"/>
      <c r="AP49" s="401"/>
      <c r="AQ49" s="402"/>
      <c r="AR49" s="403"/>
      <c r="AS49" s="403"/>
    </row>
    <row r="50" spans="1:45" ht="15.75" customHeight="1">
      <c r="A50" s="52"/>
      <c r="B50" s="320"/>
      <c r="C50" s="395" t="str">
        <f t="shared" si="85"/>
        <v>Street Light.</v>
      </c>
      <c r="D50" s="396"/>
      <c r="E50" s="320"/>
      <c r="F50" s="430"/>
      <c r="G50" s="575"/>
      <c r="H50" s="400"/>
      <c r="I50" s="128"/>
      <c r="J50" s="430"/>
      <c r="K50" s="575"/>
      <c r="L50" s="400"/>
      <c r="M50" s="128"/>
      <c r="N50" s="401"/>
      <c r="O50" s="402"/>
      <c r="P50" s="52"/>
      <c r="Q50" s="430"/>
      <c r="R50" s="575"/>
      <c r="S50" s="400"/>
      <c r="T50" s="128"/>
      <c r="U50" s="401"/>
      <c r="V50" s="402"/>
      <c r="W50" s="52"/>
      <c r="X50" s="430"/>
      <c r="Y50" s="575"/>
      <c r="Z50" s="400"/>
      <c r="AA50" s="128"/>
      <c r="AB50" s="401"/>
      <c r="AC50" s="402"/>
      <c r="AD50" s="52"/>
      <c r="AE50" s="430"/>
      <c r="AF50" s="575"/>
      <c r="AG50" s="400"/>
      <c r="AH50" s="128"/>
      <c r="AI50" s="401"/>
      <c r="AJ50" s="402"/>
      <c r="AK50" s="52"/>
      <c r="AL50" s="430"/>
      <c r="AM50" s="575"/>
      <c r="AN50" s="400"/>
      <c r="AO50" s="128"/>
      <c r="AP50" s="401"/>
      <c r="AQ50" s="402"/>
      <c r="AR50" s="403"/>
      <c r="AS50" s="403"/>
    </row>
    <row r="51" spans="1:45" ht="15.75" customHeight="1">
      <c r="A51" s="52"/>
      <c r="B51" s="434"/>
      <c r="C51" s="561"/>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c r="AS51" s="443"/>
    </row>
    <row r="52" spans="1:45" ht="12.75" customHeight="1">
      <c r="A52" s="52"/>
      <c r="B52" s="444" t="s">
        <v>315</v>
      </c>
      <c r="C52" s="562"/>
      <c r="D52" s="320"/>
      <c r="E52" s="320"/>
      <c r="F52" s="445"/>
      <c r="G52" s="489"/>
      <c r="H52" s="447">
        <f>SUM(H43:H48,H42)</f>
        <v>3332.1633139999999</v>
      </c>
      <c r="I52" s="482"/>
      <c r="J52" s="446"/>
      <c r="K52" s="446"/>
      <c r="L52" s="447">
        <f>SUM(L43:L48,L42)</f>
        <v>3243.5151959999994</v>
      </c>
      <c r="M52" s="449"/>
      <c r="N52" s="448">
        <f t="shared" ref="N52:N56" si="86">L52-H52</f>
        <v>-88.648118000000522</v>
      </c>
      <c r="O52" s="450">
        <f t="shared" ref="O52:O56" si="87">IF((H52)=0,"",(N52/H52))</f>
        <v>-2.66037734787931E-2</v>
      </c>
      <c r="P52" s="52"/>
      <c r="Q52" s="446"/>
      <c r="R52" s="446"/>
      <c r="S52" s="447">
        <f>SUM(S43:S48,S42)</f>
        <v>2949.4101959999998</v>
      </c>
      <c r="T52" s="449"/>
      <c r="U52" s="448">
        <f t="shared" ref="U52:U56" si="88">S52-L52</f>
        <v>-294.10499999999956</v>
      </c>
      <c r="V52" s="450">
        <f t="shared" ref="V52:V56" si="89">IF((L52)=0,"",(U52/L52))</f>
        <v>-9.0674771729973305E-2</v>
      </c>
      <c r="W52" s="52"/>
      <c r="X52" s="446"/>
      <c r="Y52" s="446"/>
      <c r="Z52" s="447">
        <f>SUM(Z43:Z48,Z42)</f>
        <v>2989.357696</v>
      </c>
      <c r="AA52" s="449"/>
      <c r="AB52" s="448">
        <f t="shared" ref="AB52:AB56" si="90">Z52-S52</f>
        <v>39.947500000000218</v>
      </c>
      <c r="AC52" s="450">
        <f t="shared" ref="AC52:AC56" si="91">IF((S52)=0,"",(AB52/S52))</f>
        <v>1.3544233370514944E-2</v>
      </c>
      <c r="AD52" s="52"/>
      <c r="AE52" s="446"/>
      <c r="AF52" s="446"/>
      <c r="AG52" s="447">
        <f>SUM(AG43:AG48,AG42)</f>
        <v>2999.902196</v>
      </c>
      <c r="AH52" s="449"/>
      <c r="AI52" s="448">
        <f t="shared" ref="AI52:AI56" si="92">AG52-Z52</f>
        <v>10.544499999999971</v>
      </c>
      <c r="AJ52" s="450">
        <f t="shared" ref="AJ52:AJ56" si="93">IF((Z52)=0,"",(AI52/Z52))</f>
        <v>3.5273463641066964E-3</v>
      </c>
      <c r="AK52" s="52"/>
      <c r="AL52" s="446"/>
      <c r="AM52" s="446"/>
      <c r="AN52" s="447">
        <f>SUM(AN43:AN48,AN42)</f>
        <v>3038.2921959999994</v>
      </c>
      <c r="AO52" s="449"/>
      <c r="AP52" s="448">
        <f t="shared" ref="AP52:AP56" si="94">AN52-AG52</f>
        <v>38.389999999999418</v>
      </c>
      <c r="AQ52" s="450">
        <f t="shared" ref="AQ52:AQ56" si="95">IF((AG52)=0,"",(AP52/AG52))</f>
        <v>1.2797083868663369E-2</v>
      </c>
      <c r="AR52" s="451"/>
      <c r="AS52" s="451"/>
    </row>
    <row r="53" spans="1:45" ht="12.75" customHeight="1">
      <c r="A53" s="52"/>
      <c r="B53" s="452" t="s">
        <v>316</v>
      </c>
      <c r="C53" s="562"/>
      <c r="D53" s="320"/>
      <c r="E53" s="320"/>
      <c r="F53" s="445">
        <v>0.13</v>
      </c>
      <c r="G53" s="128"/>
      <c r="H53" s="490">
        <f>H52*F53</f>
        <v>433.18123082</v>
      </c>
      <c r="I53" s="417"/>
      <c r="J53" s="453">
        <v>0.13</v>
      </c>
      <c r="K53" s="417"/>
      <c r="L53" s="400">
        <f>L52*J53</f>
        <v>421.65697547999991</v>
      </c>
      <c r="M53" s="128"/>
      <c r="N53" s="401">
        <f t="shared" si="86"/>
        <v>-11.524255340000082</v>
      </c>
      <c r="O53" s="402">
        <f t="shared" si="87"/>
        <v>-2.6603773478793131E-2</v>
      </c>
      <c r="P53" s="52"/>
      <c r="Q53" s="453">
        <v>0.13</v>
      </c>
      <c r="R53" s="417"/>
      <c r="S53" s="400">
        <f>S52*Q53</f>
        <v>383.42332548000002</v>
      </c>
      <c r="T53" s="128"/>
      <c r="U53" s="401">
        <f t="shared" si="88"/>
        <v>-38.233649999999898</v>
      </c>
      <c r="V53" s="402">
        <f t="shared" si="89"/>
        <v>-9.0674771729973194E-2</v>
      </c>
      <c r="W53" s="52"/>
      <c r="X53" s="453">
        <v>0.13</v>
      </c>
      <c r="Y53" s="417"/>
      <c r="Z53" s="400">
        <f>Z52*X53</f>
        <v>388.61650048000001</v>
      </c>
      <c r="AA53" s="128"/>
      <c r="AB53" s="401">
        <f t="shared" si="90"/>
        <v>5.1931749999999965</v>
      </c>
      <c r="AC53" s="402">
        <f t="shared" si="91"/>
        <v>1.3544233370514859E-2</v>
      </c>
      <c r="AD53" s="52"/>
      <c r="AE53" s="453">
        <v>0.13</v>
      </c>
      <c r="AF53" s="417"/>
      <c r="AG53" s="400">
        <f>AG52*AE53</f>
        <v>389.98728548000003</v>
      </c>
      <c r="AH53" s="128"/>
      <c r="AI53" s="401">
        <f t="shared" si="92"/>
        <v>1.3707850000000121</v>
      </c>
      <c r="AJ53" s="402">
        <f t="shared" si="93"/>
        <v>3.5273463641067372E-3</v>
      </c>
      <c r="AK53" s="52"/>
      <c r="AL53" s="453">
        <v>0.13</v>
      </c>
      <c r="AM53" s="417"/>
      <c r="AN53" s="400">
        <f>AN52*AL53</f>
        <v>394.97798547999992</v>
      </c>
      <c r="AO53" s="128"/>
      <c r="AP53" s="401">
        <f t="shared" si="94"/>
        <v>4.9906999999998902</v>
      </c>
      <c r="AQ53" s="402">
        <f t="shared" si="95"/>
        <v>1.2797083868663281E-2</v>
      </c>
      <c r="AR53" s="403"/>
      <c r="AS53" s="403"/>
    </row>
    <row r="54" spans="1:45" ht="12.75" customHeight="1">
      <c r="A54" s="52"/>
      <c r="B54" s="454" t="s">
        <v>421</v>
      </c>
      <c r="C54" s="562"/>
      <c r="D54" s="320"/>
      <c r="E54" s="320"/>
      <c r="F54" s="455"/>
      <c r="G54" s="128"/>
      <c r="H54" s="490">
        <f>H52+H53</f>
        <v>3765.34454482</v>
      </c>
      <c r="I54" s="417"/>
      <c r="J54" s="417"/>
      <c r="K54" s="417"/>
      <c r="L54" s="400">
        <f>L52+L53</f>
        <v>3665.1721714799992</v>
      </c>
      <c r="M54" s="128"/>
      <c r="N54" s="401">
        <f t="shared" si="86"/>
        <v>-100.17237334000083</v>
      </c>
      <c r="O54" s="402">
        <f t="shared" si="87"/>
        <v>-2.6603773478793162E-2</v>
      </c>
      <c r="P54" s="52"/>
      <c r="Q54" s="417"/>
      <c r="R54" s="417"/>
      <c r="S54" s="400">
        <f>S52+S53</f>
        <v>3332.8335214799999</v>
      </c>
      <c r="T54" s="128"/>
      <c r="U54" s="401">
        <f t="shared" si="88"/>
        <v>-332.33864999999923</v>
      </c>
      <c r="V54" s="402">
        <f t="shared" si="89"/>
        <v>-9.0674771729973236E-2</v>
      </c>
      <c r="W54" s="52"/>
      <c r="X54" s="417"/>
      <c r="Y54" s="417"/>
      <c r="Z54" s="400">
        <f>Z52+Z53</f>
        <v>3377.97419648</v>
      </c>
      <c r="AA54" s="128"/>
      <c r="AB54" s="401">
        <f t="shared" si="90"/>
        <v>45.140675000000101</v>
      </c>
      <c r="AC54" s="402">
        <f t="shared" si="91"/>
        <v>1.3544233370514899E-2</v>
      </c>
      <c r="AD54" s="52"/>
      <c r="AE54" s="417"/>
      <c r="AF54" s="417"/>
      <c r="AG54" s="400">
        <f>AG52+AG53</f>
        <v>3389.8894814800001</v>
      </c>
      <c r="AH54" s="128"/>
      <c r="AI54" s="401">
        <f t="shared" si="92"/>
        <v>11.91528500000004</v>
      </c>
      <c r="AJ54" s="402">
        <f t="shared" si="93"/>
        <v>3.5273463641067176E-3</v>
      </c>
      <c r="AK54" s="52"/>
      <c r="AL54" s="417"/>
      <c r="AM54" s="417"/>
      <c r="AN54" s="400">
        <f>AN52+AN53</f>
        <v>3433.2701814799993</v>
      </c>
      <c r="AO54" s="128"/>
      <c r="AP54" s="401">
        <f t="shared" si="94"/>
        <v>43.380699999999251</v>
      </c>
      <c r="AQ54" s="402">
        <f t="shared" si="95"/>
        <v>1.2797083868663342E-2</v>
      </c>
      <c r="AR54" s="403"/>
      <c r="AS54" s="403"/>
    </row>
    <row r="55" spans="1:45" ht="15.75" customHeight="1">
      <c r="A55" s="52"/>
      <c r="B55" s="628" t="s">
        <v>273</v>
      </c>
      <c r="C55" s="615"/>
      <c r="D55" s="615"/>
      <c r="E55" s="320"/>
      <c r="F55" s="455"/>
      <c r="G55" s="128"/>
      <c r="H55" s="492">
        <f>F55*H52</f>
        <v>0</v>
      </c>
      <c r="I55" s="417"/>
      <c r="J55" s="417"/>
      <c r="K55" s="417"/>
      <c r="L55" s="512">
        <f>J55*L52</f>
        <v>0</v>
      </c>
      <c r="M55" s="128"/>
      <c r="N55" s="457">
        <f t="shared" si="86"/>
        <v>0</v>
      </c>
      <c r="O55" s="459" t="str">
        <f t="shared" si="87"/>
        <v/>
      </c>
      <c r="P55" s="52"/>
      <c r="Q55" s="417"/>
      <c r="R55" s="417"/>
      <c r="S55" s="512">
        <f>Q55*S52</f>
        <v>0</v>
      </c>
      <c r="T55" s="128"/>
      <c r="U55" s="457">
        <f t="shared" si="88"/>
        <v>0</v>
      </c>
      <c r="V55" s="459" t="str">
        <f t="shared" si="89"/>
        <v/>
      </c>
      <c r="W55" s="52"/>
      <c r="X55" s="417"/>
      <c r="Y55" s="417"/>
      <c r="Z55" s="512">
        <f>X55*Z52</f>
        <v>0</v>
      </c>
      <c r="AA55" s="128"/>
      <c r="AB55" s="457">
        <f t="shared" si="90"/>
        <v>0</v>
      </c>
      <c r="AC55" s="459" t="str">
        <f t="shared" si="91"/>
        <v/>
      </c>
      <c r="AD55" s="52"/>
      <c r="AE55" s="417"/>
      <c r="AF55" s="417"/>
      <c r="AG55" s="512">
        <f>AE55*AG52</f>
        <v>0</v>
      </c>
      <c r="AH55" s="128"/>
      <c r="AI55" s="457">
        <f t="shared" si="92"/>
        <v>0</v>
      </c>
      <c r="AJ55" s="459" t="str">
        <f t="shared" si="93"/>
        <v/>
      </c>
      <c r="AK55" s="52"/>
      <c r="AL55" s="417"/>
      <c r="AM55" s="417"/>
      <c r="AN55" s="512">
        <f>AL55*AN52</f>
        <v>0</v>
      </c>
      <c r="AO55" s="128"/>
      <c r="AP55" s="457">
        <f t="shared" si="94"/>
        <v>0</v>
      </c>
      <c r="AQ55" s="459" t="str">
        <f t="shared" si="95"/>
        <v/>
      </c>
      <c r="AR55" s="460"/>
      <c r="AS55" s="460"/>
    </row>
    <row r="56" spans="1:45" ht="13.5" customHeight="1">
      <c r="A56" s="52"/>
      <c r="B56" s="627" t="s">
        <v>318</v>
      </c>
      <c r="C56" s="613"/>
      <c r="D56" s="613"/>
      <c r="E56" s="461"/>
      <c r="F56" s="462"/>
      <c r="G56" s="493"/>
      <c r="H56" s="494">
        <f>H54-H55</f>
        <v>3765.34454482</v>
      </c>
      <c r="I56" s="463"/>
      <c r="J56" s="463"/>
      <c r="K56" s="463"/>
      <c r="L56" s="464">
        <f>L54-L55</f>
        <v>3665.1721714799992</v>
      </c>
      <c r="M56" s="465"/>
      <c r="N56" s="466">
        <f t="shared" si="86"/>
        <v>-100.17237334000083</v>
      </c>
      <c r="O56" s="467">
        <f t="shared" si="87"/>
        <v>-2.6603773478793162E-2</v>
      </c>
      <c r="P56" s="52"/>
      <c r="Q56" s="463"/>
      <c r="R56" s="463"/>
      <c r="S56" s="464">
        <f>S54-S55</f>
        <v>3332.8335214799999</v>
      </c>
      <c r="T56" s="465"/>
      <c r="U56" s="466">
        <f t="shared" si="88"/>
        <v>-332.33864999999923</v>
      </c>
      <c r="V56" s="467">
        <f t="shared" si="89"/>
        <v>-9.0674771729973236E-2</v>
      </c>
      <c r="W56" s="52"/>
      <c r="X56" s="463"/>
      <c r="Y56" s="463"/>
      <c r="Z56" s="464">
        <f>Z54-Z55</f>
        <v>3377.97419648</v>
      </c>
      <c r="AA56" s="465"/>
      <c r="AB56" s="466">
        <f t="shared" si="90"/>
        <v>45.140675000000101</v>
      </c>
      <c r="AC56" s="467">
        <f t="shared" si="91"/>
        <v>1.3544233370514899E-2</v>
      </c>
      <c r="AD56" s="52"/>
      <c r="AE56" s="463"/>
      <c r="AF56" s="463"/>
      <c r="AG56" s="464">
        <f>AG54-AG55</f>
        <v>3389.8894814800001</v>
      </c>
      <c r="AH56" s="465"/>
      <c r="AI56" s="466">
        <f t="shared" si="92"/>
        <v>11.91528500000004</v>
      </c>
      <c r="AJ56" s="467">
        <f t="shared" si="93"/>
        <v>3.5273463641067176E-3</v>
      </c>
      <c r="AK56" s="52"/>
      <c r="AL56" s="463"/>
      <c r="AM56" s="463"/>
      <c r="AN56" s="464">
        <f>AN54-AN55</f>
        <v>3433.2701814799993</v>
      </c>
      <c r="AO56" s="465"/>
      <c r="AP56" s="466">
        <f t="shared" si="94"/>
        <v>43.380699999999251</v>
      </c>
      <c r="AQ56" s="467">
        <f t="shared" si="95"/>
        <v>1.2797083868663342E-2</v>
      </c>
      <c r="AR56" s="468"/>
      <c r="AS56" s="468"/>
    </row>
    <row r="57" spans="1:45" ht="8.25" customHeight="1">
      <c r="A57" s="52"/>
      <c r="B57" s="434"/>
      <c r="C57" s="561"/>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c r="AS57" s="443"/>
    </row>
    <row r="58" spans="1:45" ht="12.75" customHeight="1">
      <c r="A58" s="52"/>
      <c r="B58" s="514" t="s">
        <v>319</v>
      </c>
      <c r="C58" s="563"/>
      <c r="D58" s="515"/>
      <c r="E58" s="515"/>
      <c r="F58" s="516"/>
      <c r="G58" s="517"/>
      <c r="H58" s="518">
        <f>SUM(H49:H50,H42,H43:H45)</f>
        <v>1465.7933140000002</v>
      </c>
      <c r="I58" s="519"/>
      <c r="J58" s="520"/>
      <c r="K58" s="520"/>
      <c r="L58" s="518">
        <f>SUM(L49:L50,L42,L43:L45)</f>
        <v>1377.1451959999995</v>
      </c>
      <c r="M58" s="521"/>
      <c r="N58" s="522">
        <f t="shared" ref="N58:N62" si="96">L58-H58</f>
        <v>-88.64811800000075</v>
      </c>
      <c r="O58" s="523">
        <f t="shared" ref="O58:O62" si="97">IF((H58)=0,"",(N58/H58))</f>
        <v>-6.0477911280744687E-2</v>
      </c>
      <c r="P58" s="513"/>
      <c r="Q58" s="520"/>
      <c r="R58" s="520"/>
      <c r="S58" s="518">
        <f>SUM(S49:S50,S42,S43:S45)</f>
        <v>1083.0401959999995</v>
      </c>
      <c r="T58" s="521"/>
      <c r="U58" s="522">
        <f t="shared" ref="U58:U62" si="98">S58-L58</f>
        <v>-294.10500000000002</v>
      </c>
      <c r="V58" s="523">
        <f t="shared" ref="V58:V62" si="99">IF((L58)=0,"",(U58/L58))</f>
        <v>-0.21356135929184922</v>
      </c>
      <c r="W58" s="513"/>
      <c r="X58" s="520"/>
      <c r="Y58" s="520"/>
      <c r="Z58" s="518">
        <f>SUM(Z49:Z50,Z42,Z43:Z45)</f>
        <v>1122.9876959999997</v>
      </c>
      <c r="AA58" s="521"/>
      <c r="AB58" s="522">
        <f t="shared" ref="AB58:AB62" si="100">Z58-S58</f>
        <v>39.947500000000218</v>
      </c>
      <c r="AC58" s="523">
        <f t="shared" ref="AC58:AC62" si="101">IF((S58)=0,"",(AB58/S58))</f>
        <v>3.6884595925006869E-2</v>
      </c>
      <c r="AD58" s="513"/>
      <c r="AE58" s="520"/>
      <c r="AF58" s="520"/>
      <c r="AG58" s="518">
        <f>SUM(AG49:AG50,AG42,AG43:AG45)</f>
        <v>1133.5321959999997</v>
      </c>
      <c r="AH58" s="521"/>
      <c r="AI58" s="522">
        <f t="shared" ref="AI58:AI62" si="102">AG58-Z58</f>
        <v>10.544499999999971</v>
      </c>
      <c r="AJ58" s="523">
        <f t="shared" ref="AJ58:AJ62" si="103">IF((Z58)=0,"",(AI58/Z58))</f>
        <v>9.3896843550100428E-3</v>
      </c>
      <c r="AK58" s="513"/>
      <c r="AL58" s="520"/>
      <c r="AM58" s="520"/>
      <c r="AN58" s="518">
        <f>SUM(AN49:AN50,AN42,AN43:AN45)</f>
        <v>1171.9221959999998</v>
      </c>
      <c r="AO58" s="521"/>
      <c r="AP58" s="522">
        <f t="shared" ref="AP58:AP62" si="104">AN58-AG58</f>
        <v>38.3900000000001</v>
      </c>
      <c r="AQ58" s="523">
        <f t="shared" ref="AQ58:AQ62" si="105">IF((AG58)=0,"",(AP58/AG58))</f>
        <v>3.3867586765925536E-2</v>
      </c>
      <c r="AR58" s="451"/>
      <c r="AS58" s="451"/>
    </row>
    <row r="59" spans="1:45" ht="12.75" customHeight="1">
      <c r="A59" s="52"/>
      <c r="B59" s="525" t="s">
        <v>316</v>
      </c>
      <c r="C59" s="563"/>
      <c r="D59" s="515"/>
      <c r="E59" s="515"/>
      <c r="F59" s="516">
        <v>0.13</v>
      </c>
      <c r="G59" s="517"/>
      <c r="H59" s="526">
        <f>H58*F59</f>
        <v>190.55313082000004</v>
      </c>
      <c r="I59" s="527"/>
      <c r="J59" s="516">
        <v>0.13</v>
      </c>
      <c r="K59" s="528"/>
      <c r="L59" s="529">
        <f>L58*J59</f>
        <v>179.02887547999993</v>
      </c>
      <c r="M59" s="530"/>
      <c r="N59" s="531">
        <f t="shared" si="96"/>
        <v>-11.52425534000011</v>
      </c>
      <c r="O59" s="532">
        <f t="shared" si="97"/>
        <v>-6.0477911280744749E-2</v>
      </c>
      <c r="P59" s="513"/>
      <c r="Q59" s="516">
        <v>0.13</v>
      </c>
      <c r="R59" s="528"/>
      <c r="S59" s="529">
        <f>S58*Q59</f>
        <v>140.79522547999994</v>
      </c>
      <c r="T59" s="530"/>
      <c r="U59" s="531">
        <f t="shared" si="98"/>
        <v>-38.233649999999983</v>
      </c>
      <c r="V59" s="532">
        <f t="shared" si="99"/>
        <v>-0.21356135929184913</v>
      </c>
      <c r="W59" s="513"/>
      <c r="X59" s="516">
        <v>0.13</v>
      </c>
      <c r="Y59" s="528"/>
      <c r="Z59" s="529">
        <f>Z58*X59</f>
        <v>145.98840047999997</v>
      </c>
      <c r="AA59" s="530"/>
      <c r="AB59" s="531">
        <f t="shared" si="100"/>
        <v>5.193175000000025</v>
      </c>
      <c r="AC59" s="532">
        <f t="shared" si="101"/>
        <v>3.6884595925006841E-2</v>
      </c>
      <c r="AD59" s="513"/>
      <c r="AE59" s="516">
        <v>0.13</v>
      </c>
      <c r="AF59" s="528"/>
      <c r="AG59" s="529">
        <f>AG58*AE59</f>
        <v>147.35918547999995</v>
      </c>
      <c r="AH59" s="530"/>
      <c r="AI59" s="531">
        <f t="shared" si="102"/>
        <v>1.3707849999999837</v>
      </c>
      <c r="AJ59" s="532">
        <f t="shared" si="103"/>
        <v>9.389684355009956E-3</v>
      </c>
      <c r="AK59" s="513"/>
      <c r="AL59" s="516">
        <v>0.13</v>
      </c>
      <c r="AM59" s="528"/>
      <c r="AN59" s="529">
        <f>AN58*AL59</f>
        <v>152.34988547999998</v>
      </c>
      <c r="AO59" s="530"/>
      <c r="AP59" s="531">
        <f t="shared" si="104"/>
        <v>4.9907000000000323</v>
      </c>
      <c r="AQ59" s="532">
        <f t="shared" si="105"/>
        <v>3.3867586765925668E-2</v>
      </c>
      <c r="AR59" s="403"/>
      <c r="AS59" s="403"/>
    </row>
    <row r="60" spans="1:45" ht="12.75" customHeight="1">
      <c r="A60" s="52"/>
      <c r="B60" s="534" t="s">
        <v>422</v>
      </c>
      <c r="C60" s="563"/>
      <c r="D60" s="515"/>
      <c r="E60" s="515"/>
      <c r="F60" s="535"/>
      <c r="G60" s="530"/>
      <c r="H60" s="526">
        <f>H58+H59</f>
        <v>1656.3464448200002</v>
      </c>
      <c r="I60" s="527"/>
      <c r="J60" s="527"/>
      <c r="K60" s="527"/>
      <c r="L60" s="529">
        <f>L58+L59</f>
        <v>1556.1740714799994</v>
      </c>
      <c r="M60" s="530"/>
      <c r="N60" s="531">
        <f t="shared" si="96"/>
        <v>-100.17237334000083</v>
      </c>
      <c r="O60" s="532">
        <f t="shared" si="97"/>
        <v>-6.047791128074468E-2</v>
      </c>
      <c r="P60" s="513"/>
      <c r="Q60" s="527"/>
      <c r="R60" s="527"/>
      <c r="S60" s="529">
        <f>S58+S59</f>
        <v>1223.8354214799995</v>
      </c>
      <c r="T60" s="530"/>
      <c r="U60" s="531">
        <f t="shared" si="98"/>
        <v>-332.33864999999992</v>
      </c>
      <c r="V60" s="532">
        <f t="shared" si="99"/>
        <v>-0.21356135929184916</v>
      </c>
      <c r="W60" s="513"/>
      <c r="X60" s="527"/>
      <c r="Y60" s="527"/>
      <c r="Z60" s="529">
        <f>Z58+Z59</f>
        <v>1268.9760964799996</v>
      </c>
      <c r="AA60" s="530"/>
      <c r="AB60" s="531">
        <f t="shared" si="100"/>
        <v>45.140675000000101</v>
      </c>
      <c r="AC60" s="532">
        <f t="shared" si="101"/>
        <v>3.6884595925006744E-2</v>
      </c>
      <c r="AD60" s="513"/>
      <c r="AE60" s="527"/>
      <c r="AF60" s="527"/>
      <c r="AG60" s="529">
        <f>AG58+AG59</f>
        <v>1280.8913814799996</v>
      </c>
      <c r="AH60" s="530"/>
      <c r="AI60" s="531">
        <f t="shared" si="102"/>
        <v>11.91528500000004</v>
      </c>
      <c r="AJ60" s="532">
        <f t="shared" si="103"/>
        <v>9.3896843550101E-3</v>
      </c>
      <c r="AK60" s="513"/>
      <c r="AL60" s="527"/>
      <c r="AM60" s="527"/>
      <c r="AN60" s="529">
        <f>AN58+AN59</f>
        <v>1324.2720814799998</v>
      </c>
      <c r="AO60" s="530"/>
      <c r="AP60" s="531">
        <f t="shared" si="104"/>
        <v>43.380700000000161</v>
      </c>
      <c r="AQ60" s="532">
        <f t="shared" si="105"/>
        <v>3.3867586765925571E-2</v>
      </c>
      <c r="AR60" s="403"/>
      <c r="AS60" s="403"/>
    </row>
    <row r="61" spans="1:45" ht="15.75" customHeight="1">
      <c r="A61" s="52"/>
      <c r="B61" s="636" t="s">
        <v>273</v>
      </c>
      <c r="C61" s="615"/>
      <c r="D61" s="615"/>
      <c r="E61" s="515"/>
      <c r="F61" s="535"/>
      <c r="G61" s="530"/>
      <c r="H61" s="536">
        <f>F61*H58</f>
        <v>0</v>
      </c>
      <c r="I61" s="527"/>
      <c r="J61" s="527"/>
      <c r="K61" s="527"/>
      <c r="L61" s="537">
        <f>J61*L58</f>
        <v>0</v>
      </c>
      <c r="M61" s="530"/>
      <c r="N61" s="538">
        <f t="shared" si="96"/>
        <v>0</v>
      </c>
      <c r="O61" s="539" t="str">
        <f t="shared" si="97"/>
        <v/>
      </c>
      <c r="P61" s="513"/>
      <c r="Q61" s="527"/>
      <c r="R61" s="527"/>
      <c r="S61" s="537">
        <f>Q61*S58</f>
        <v>0</v>
      </c>
      <c r="T61" s="530"/>
      <c r="U61" s="538">
        <f t="shared" si="98"/>
        <v>0</v>
      </c>
      <c r="V61" s="539" t="str">
        <f t="shared" si="99"/>
        <v/>
      </c>
      <c r="W61" s="513"/>
      <c r="X61" s="527"/>
      <c r="Y61" s="527"/>
      <c r="Z61" s="537">
        <f>X61*Z58</f>
        <v>0</v>
      </c>
      <c r="AA61" s="530"/>
      <c r="AB61" s="538">
        <f t="shared" si="100"/>
        <v>0</v>
      </c>
      <c r="AC61" s="539" t="str">
        <f t="shared" si="101"/>
        <v/>
      </c>
      <c r="AD61" s="513"/>
      <c r="AE61" s="527"/>
      <c r="AF61" s="527"/>
      <c r="AG61" s="537">
        <f>AE61*AG58</f>
        <v>0</v>
      </c>
      <c r="AH61" s="530"/>
      <c r="AI61" s="538">
        <f t="shared" si="102"/>
        <v>0</v>
      </c>
      <c r="AJ61" s="539" t="str">
        <f t="shared" si="103"/>
        <v/>
      </c>
      <c r="AK61" s="513"/>
      <c r="AL61" s="527"/>
      <c r="AM61" s="527"/>
      <c r="AN61" s="537">
        <f>AL61*AN58</f>
        <v>0</v>
      </c>
      <c r="AO61" s="530"/>
      <c r="AP61" s="538">
        <f t="shared" si="104"/>
        <v>0</v>
      </c>
      <c r="AQ61" s="539" t="str">
        <f t="shared" si="105"/>
        <v/>
      </c>
      <c r="AR61" s="460"/>
      <c r="AS61" s="460"/>
    </row>
    <row r="62" spans="1:45" ht="13.5" customHeight="1">
      <c r="A62" s="52"/>
      <c r="B62" s="635" t="s">
        <v>321</v>
      </c>
      <c r="C62" s="613"/>
      <c r="D62" s="613"/>
      <c r="E62" s="541"/>
      <c r="F62" s="542"/>
      <c r="G62" s="543"/>
      <c r="H62" s="544">
        <f>H60-H61</f>
        <v>1656.3464448200002</v>
      </c>
      <c r="I62" s="545"/>
      <c r="J62" s="545"/>
      <c r="K62" s="545"/>
      <c r="L62" s="546">
        <f>L60-L61</f>
        <v>1556.1740714799994</v>
      </c>
      <c r="M62" s="547"/>
      <c r="N62" s="548">
        <f t="shared" si="96"/>
        <v>-100.17237334000083</v>
      </c>
      <c r="O62" s="549">
        <f t="shared" si="97"/>
        <v>-6.047791128074468E-2</v>
      </c>
      <c r="P62" s="513"/>
      <c r="Q62" s="545"/>
      <c r="R62" s="545"/>
      <c r="S62" s="546">
        <f>S60-S61</f>
        <v>1223.8354214799995</v>
      </c>
      <c r="T62" s="547"/>
      <c r="U62" s="548">
        <f t="shared" si="98"/>
        <v>-332.33864999999992</v>
      </c>
      <c r="V62" s="549">
        <f t="shared" si="99"/>
        <v>-0.21356135929184916</v>
      </c>
      <c r="W62" s="513"/>
      <c r="X62" s="545"/>
      <c r="Y62" s="545"/>
      <c r="Z62" s="546">
        <f>Z60-Z61</f>
        <v>1268.9760964799996</v>
      </c>
      <c r="AA62" s="547"/>
      <c r="AB62" s="548">
        <f t="shared" si="100"/>
        <v>45.140675000000101</v>
      </c>
      <c r="AC62" s="549">
        <f t="shared" si="101"/>
        <v>3.6884595925006744E-2</v>
      </c>
      <c r="AD62" s="513"/>
      <c r="AE62" s="545"/>
      <c r="AF62" s="545"/>
      <c r="AG62" s="546">
        <f>AG60-AG61</f>
        <v>1280.8913814799996</v>
      </c>
      <c r="AH62" s="547"/>
      <c r="AI62" s="548">
        <f t="shared" si="102"/>
        <v>11.91528500000004</v>
      </c>
      <c r="AJ62" s="549">
        <f t="shared" si="103"/>
        <v>9.3896843550101E-3</v>
      </c>
      <c r="AK62" s="513"/>
      <c r="AL62" s="545"/>
      <c r="AM62" s="545"/>
      <c r="AN62" s="546">
        <f>AN60-AN61</f>
        <v>1324.2720814799998</v>
      </c>
      <c r="AO62" s="547"/>
      <c r="AP62" s="548">
        <f t="shared" si="104"/>
        <v>43.380700000000161</v>
      </c>
      <c r="AQ62" s="549">
        <f t="shared" si="105"/>
        <v>3.3867586765925571E-2</v>
      </c>
      <c r="AR62" s="468"/>
      <c r="AS62" s="468"/>
    </row>
    <row r="63" spans="1:45" ht="8.25" customHeight="1">
      <c r="A63" s="52"/>
      <c r="B63" s="434"/>
      <c r="C63" s="561"/>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c r="AS63" s="443"/>
    </row>
    <row r="64" spans="1:45" ht="12.75" customHeight="1">
      <c r="A64" s="52"/>
      <c r="B64" s="52"/>
      <c r="C64" s="555"/>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c r="AS64" s="52"/>
    </row>
    <row r="65" spans="1:45" ht="12.75" customHeight="1">
      <c r="A65" s="52"/>
      <c r="B65" s="306" t="s">
        <v>322</v>
      </c>
      <c r="C65" s="555"/>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c r="AS65" s="52"/>
    </row>
    <row r="66" spans="1:45" ht="12.75" customHeight="1">
      <c r="A66" s="52"/>
      <c r="B66" s="52"/>
      <c r="C66" s="555"/>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row>
    <row r="67" spans="1:45" ht="15.75" customHeight="1">
      <c r="A67" s="479" t="s">
        <v>423</v>
      </c>
      <c r="B67" s="52"/>
      <c r="C67" s="555"/>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row>
    <row r="68" spans="1:45" ht="13.5" customHeight="1">
      <c r="A68" s="52"/>
      <c r="B68" s="52"/>
      <c r="C68" s="555"/>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row>
    <row r="69" spans="1:45" ht="8.25" customHeight="1">
      <c r="A69" s="52" t="s">
        <v>324</v>
      </c>
      <c r="B69" s="52"/>
      <c r="C69" s="555"/>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row>
    <row r="70" spans="1:45" ht="12.75" customHeight="1">
      <c r="A70" s="52" t="s">
        <v>325</v>
      </c>
      <c r="B70" s="52"/>
      <c r="C70" s="555"/>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row>
    <row r="71" spans="1:45" ht="12.75" customHeight="1">
      <c r="A71" s="52"/>
      <c r="B71" s="52"/>
      <c r="C71" s="555"/>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row>
    <row r="72" spans="1:45" ht="12.75" customHeight="1">
      <c r="A72" s="52" t="s">
        <v>326</v>
      </c>
      <c r="B72" s="52"/>
      <c r="C72" s="555"/>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row>
    <row r="73" spans="1:45" ht="12.75" customHeight="1">
      <c r="A73" s="52" t="s">
        <v>327</v>
      </c>
      <c r="B73" s="52"/>
      <c r="C73" s="555"/>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row>
    <row r="74" spans="1:45" ht="12.75" customHeight="1">
      <c r="A74" s="52"/>
      <c r="B74" s="52"/>
      <c r="C74" s="555"/>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row>
    <row r="75" spans="1:45" ht="12.75" customHeight="1">
      <c r="A75" s="52" t="s">
        <v>328</v>
      </c>
      <c r="B75" s="52"/>
      <c r="C75" s="555"/>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row>
    <row r="76" spans="1:45" ht="12.75" customHeight="1">
      <c r="A76" s="52" t="s">
        <v>329</v>
      </c>
      <c r="B76" s="52"/>
      <c r="C76" s="555"/>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row>
    <row r="77" spans="1:45" ht="12.75" customHeight="1">
      <c r="A77" s="52" t="s">
        <v>330</v>
      </c>
      <c r="B77" s="52"/>
      <c r="C77" s="555"/>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row>
    <row r="78" spans="1:45" ht="12.75" customHeight="1">
      <c r="A78" s="52" t="s">
        <v>331</v>
      </c>
      <c r="B78" s="52"/>
      <c r="C78" s="55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row>
    <row r="79" spans="1:45" ht="12.75" customHeight="1">
      <c r="A79" s="52" t="s">
        <v>332</v>
      </c>
      <c r="B79" s="52"/>
      <c r="C79" s="55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row>
    <row r="80" spans="1:45" ht="12.75" customHeight="1">
      <c r="A80" s="52"/>
      <c r="B80" s="52"/>
      <c r="C80" s="55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row>
    <row r="81" spans="1:45" ht="12.75" customHeight="1">
      <c r="A81" s="480"/>
      <c r="B81" s="52" t="s">
        <v>333</v>
      </c>
      <c r="C81" s="555"/>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row>
    <row r="82" spans="1:45" ht="12.75" customHeight="1">
      <c r="A82" s="52"/>
      <c r="B82" s="52"/>
      <c r="C82" s="555"/>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row>
    <row r="83" spans="1:45" ht="12.75" customHeight="1">
      <c r="A83" s="52"/>
      <c r="B83" s="52" t="s">
        <v>334</v>
      </c>
      <c r="C83" s="55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row>
    <row r="84" spans="1:45" ht="12.75" customHeight="1">
      <c r="A84" s="52"/>
      <c r="B84" s="52"/>
      <c r="C84" s="55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row>
    <row r="85" spans="1:45" ht="12.75" customHeight="1">
      <c r="A85" s="52"/>
      <c r="B85" s="52"/>
      <c r="C85" s="555"/>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row>
    <row r="86" spans="1:45" ht="12.75" customHeight="1">
      <c r="A86" s="52"/>
      <c r="B86" s="52"/>
      <c r="C86" s="555"/>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row>
    <row r="87" spans="1:45" ht="12.75" customHeight="1">
      <c r="A87" s="52"/>
      <c r="B87" s="52"/>
      <c r="C87" s="555"/>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row>
    <row r="88" spans="1:45" ht="12.75" customHeight="1">
      <c r="A88" s="52"/>
      <c r="B88" s="52"/>
      <c r="C88" s="555"/>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row>
    <row r="89" spans="1:45" ht="12.75" customHeight="1">
      <c r="A89" s="52"/>
      <c r="B89" s="52"/>
      <c r="C89" s="555"/>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row>
    <row r="90" spans="1:45" ht="12.75" customHeight="1">
      <c r="A90" s="52"/>
      <c r="B90" s="52"/>
      <c r="C90" s="555"/>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row>
    <row r="91" spans="1:45" ht="12.75" customHeight="1">
      <c r="A91" s="52"/>
      <c r="B91" s="52"/>
      <c r="C91" s="555"/>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row>
    <row r="92" spans="1:45" ht="12.75" customHeight="1">
      <c r="A92" s="52"/>
      <c r="B92" s="52"/>
      <c r="C92" s="555"/>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row>
    <row r="93" spans="1:45" ht="12.75" customHeight="1">
      <c r="A93" s="52"/>
      <c r="B93" s="52"/>
      <c r="C93" s="555"/>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row>
    <row r="94" spans="1:45" ht="12.75" customHeight="1">
      <c r="A94" s="52"/>
      <c r="B94" s="52"/>
      <c r="C94" s="555"/>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row>
    <row r="95" spans="1:45" ht="12.75" customHeight="1">
      <c r="A95" s="52"/>
      <c r="B95" s="52"/>
      <c r="C95" s="555"/>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row>
    <row r="96" spans="1:45" ht="12.75" customHeight="1">
      <c r="A96" s="52"/>
      <c r="B96" s="52"/>
      <c r="C96" s="555"/>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row>
    <row r="97" spans="1:45" ht="12.75" customHeight="1">
      <c r="A97" s="52"/>
      <c r="B97" s="52"/>
      <c r="C97" s="555"/>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row>
    <row r="98" spans="1:45" ht="12.75" customHeight="1">
      <c r="A98" s="52"/>
      <c r="B98" s="52"/>
      <c r="C98" s="555"/>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row>
    <row r="99" spans="1:45" ht="12.75" customHeight="1">
      <c r="A99" s="52"/>
      <c r="B99" s="52"/>
      <c r="C99" s="555"/>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row>
    <row r="100" spans="1:45" ht="12.75" customHeight="1">
      <c r="A100" s="52"/>
      <c r="B100" s="52"/>
      <c r="C100" s="555"/>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row>
    <row r="101" spans="1:45" ht="12.75" customHeight="1">
      <c r="A101" s="52"/>
      <c r="B101" s="52"/>
      <c r="C101" s="555"/>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row>
    <row r="102" spans="1:45" ht="12.75" customHeight="1">
      <c r="A102" s="52"/>
      <c r="B102" s="52"/>
      <c r="C102" s="55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row>
    <row r="103" spans="1:45" ht="12.75" customHeight="1">
      <c r="A103" s="52"/>
      <c r="B103" s="52"/>
      <c r="C103" s="555"/>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row>
    <row r="104" spans="1:45" ht="12.75" customHeight="1">
      <c r="A104" s="52"/>
      <c r="B104" s="52"/>
      <c r="C104" s="55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row>
    <row r="105" spans="1:45" ht="12.75" customHeight="1">
      <c r="A105" s="52"/>
      <c r="B105" s="52"/>
      <c r="C105" s="555"/>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row>
    <row r="106" spans="1:45" ht="12.75" customHeight="1">
      <c r="A106" s="52"/>
      <c r="B106" s="52"/>
      <c r="C106" s="55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row>
    <row r="107" spans="1:45" ht="12.75" customHeight="1">
      <c r="A107" s="52"/>
      <c r="B107" s="52"/>
      <c r="C107" s="555"/>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row>
    <row r="108" spans="1:45" ht="12.75" customHeight="1">
      <c r="A108" s="52"/>
      <c r="B108" s="52"/>
      <c r="C108" s="55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row>
    <row r="109" spans="1:45" ht="12.75" customHeight="1">
      <c r="A109" s="52"/>
      <c r="B109" s="52"/>
      <c r="C109" s="555"/>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row>
    <row r="110" spans="1:45" ht="12.75" customHeight="1">
      <c r="A110" s="52"/>
      <c r="B110" s="52"/>
      <c r="C110" s="55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row>
    <row r="111" spans="1:45" ht="12.75" customHeight="1">
      <c r="A111" s="52"/>
      <c r="B111" s="52"/>
      <c r="C111" s="555"/>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row>
    <row r="112" spans="1:45" ht="12.75" customHeight="1">
      <c r="A112" s="52"/>
      <c r="B112" s="52"/>
      <c r="C112" s="555"/>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row>
    <row r="113" spans="1:45" ht="12.75" customHeight="1">
      <c r="A113" s="52"/>
      <c r="B113" s="52"/>
      <c r="C113" s="555"/>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row>
    <row r="114" spans="1:45" ht="12.75" customHeight="1">
      <c r="A114" s="52"/>
      <c r="B114" s="52"/>
      <c r="C114" s="555"/>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row>
    <row r="115" spans="1:45" ht="12.75" customHeight="1">
      <c r="A115" s="52"/>
      <c r="B115" s="52"/>
      <c r="C115" s="555"/>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row>
    <row r="116" spans="1:45" ht="12.75" customHeight="1">
      <c r="A116" s="52"/>
      <c r="B116" s="52"/>
      <c r="C116" s="55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row>
    <row r="117" spans="1:45" ht="12.75" customHeight="1">
      <c r="A117" s="52"/>
      <c r="B117" s="52"/>
      <c r="C117" s="555"/>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row>
    <row r="118" spans="1:45" ht="12.75" customHeight="1">
      <c r="A118" s="52"/>
      <c r="B118" s="52"/>
      <c r="C118" s="55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row>
    <row r="119" spans="1:45" ht="12.75" customHeight="1">
      <c r="A119" s="52"/>
      <c r="B119" s="52"/>
      <c r="C119" s="55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row>
    <row r="120" spans="1:45" ht="12.75" customHeight="1">
      <c r="A120" s="52"/>
      <c r="B120" s="52"/>
      <c r="C120" s="55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row>
    <row r="121" spans="1:45" ht="12.75" customHeight="1">
      <c r="A121" s="52"/>
      <c r="B121" s="52"/>
      <c r="C121" s="555"/>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row>
    <row r="122" spans="1:45" ht="12.75" customHeight="1">
      <c r="A122" s="52"/>
      <c r="B122" s="52"/>
      <c r="C122" s="55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row>
    <row r="123" spans="1:45" ht="12.75" customHeight="1">
      <c r="A123" s="52"/>
      <c r="B123" s="52"/>
      <c r="C123" s="55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row>
    <row r="124" spans="1:45" ht="12.75" customHeight="1">
      <c r="A124" s="52"/>
      <c r="B124" s="52"/>
      <c r="C124" s="55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row>
    <row r="125" spans="1:45" ht="12.75" customHeight="1">
      <c r="A125" s="52"/>
      <c r="B125" s="52"/>
      <c r="C125" s="555"/>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row>
    <row r="126" spans="1:45" ht="12.75" customHeight="1">
      <c r="A126" s="52"/>
      <c r="B126" s="52"/>
      <c r="C126" s="55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row>
    <row r="127" spans="1:45" ht="12.75" customHeight="1">
      <c r="A127" s="52"/>
      <c r="B127" s="52"/>
      <c r="C127" s="555"/>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row>
    <row r="128" spans="1:45" ht="12.75" customHeight="1">
      <c r="A128" s="52"/>
      <c r="B128" s="52"/>
      <c r="C128" s="555"/>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row>
    <row r="129" spans="1:45" ht="12.75" customHeight="1">
      <c r="A129" s="52"/>
      <c r="B129" s="52"/>
      <c r="C129" s="555"/>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row>
    <row r="130" spans="1:45" ht="12.75" customHeight="1">
      <c r="A130" s="52"/>
      <c r="B130" s="52"/>
      <c r="C130" s="55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row>
    <row r="131" spans="1:45" ht="12.75" customHeight="1">
      <c r="A131" s="52"/>
      <c r="B131" s="52"/>
      <c r="C131" s="555"/>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row>
    <row r="132" spans="1:45" ht="12.75" customHeight="1">
      <c r="A132" s="52"/>
      <c r="B132" s="52"/>
      <c r="C132" s="55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row>
    <row r="133" spans="1:45" ht="12.75" customHeight="1">
      <c r="A133" s="52"/>
      <c r="B133" s="52"/>
      <c r="C133" s="555"/>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row>
    <row r="134" spans="1:45" ht="12.75" customHeight="1">
      <c r="A134" s="52"/>
      <c r="B134" s="52"/>
      <c r="C134" s="555"/>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row>
    <row r="135" spans="1:45" ht="12.75" customHeight="1">
      <c r="A135" s="52"/>
      <c r="B135" s="52"/>
      <c r="C135" s="555"/>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row>
    <row r="136" spans="1:45" ht="12.75" customHeight="1">
      <c r="A136" s="52"/>
      <c r="B136" s="52"/>
      <c r="C136" s="55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row>
    <row r="137" spans="1:45" ht="12.75" customHeight="1">
      <c r="A137" s="52"/>
      <c r="B137" s="52"/>
      <c r="C137" s="555"/>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row>
    <row r="138" spans="1:45" ht="12.75" customHeight="1">
      <c r="A138" s="52"/>
      <c r="B138" s="52"/>
      <c r="C138" s="555"/>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row>
    <row r="139" spans="1:45" ht="12.75" customHeight="1">
      <c r="A139" s="52"/>
      <c r="B139" s="52"/>
      <c r="C139" s="555"/>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row>
    <row r="140" spans="1:45" ht="12.75" customHeight="1">
      <c r="A140" s="52"/>
      <c r="B140" s="52"/>
      <c r="C140" s="555"/>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row>
    <row r="141" spans="1:45" ht="12.75" customHeight="1">
      <c r="A141" s="52"/>
      <c r="B141" s="52"/>
      <c r="C141" s="55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row>
    <row r="142" spans="1:45" ht="12.75" customHeight="1">
      <c r="A142" s="52"/>
      <c r="B142" s="52"/>
      <c r="C142" s="55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row>
    <row r="143" spans="1:45" ht="12.75" customHeight="1">
      <c r="A143" s="52"/>
      <c r="B143" s="52"/>
      <c r="C143" s="555"/>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row>
    <row r="144" spans="1:45" ht="12.75" customHeight="1">
      <c r="A144" s="52"/>
      <c r="B144" s="52"/>
      <c r="C144" s="555"/>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row>
    <row r="145" spans="1:45" ht="12.75" customHeight="1">
      <c r="A145" s="52"/>
      <c r="B145" s="52"/>
      <c r="C145" s="55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row>
    <row r="146" spans="1:45" ht="12.75" customHeight="1">
      <c r="A146" s="52"/>
      <c r="B146" s="52"/>
      <c r="C146" s="555"/>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row>
    <row r="147" spans="1:45" ht="12.75" customHeight="1">
      <c r="A147" s="52"/>
      <c r="B147" s="52"/>
      <c r="C147" s="555"/>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row>
    <row r="148" spans="1:45" ht="12.75" customHeight="1">
      <c r="A148" s="52"/>
      <c r="B148" s="52"/>
      <c r="C148" s="555"/>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row>
    <row r="149" spans="1:45" ht="12.75" customHeight="1">
      <c r="A149" s="52"/>
      <c r="B149" s="52"/>
      <c r="C149" s="555"/>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row>
    <row r="150" spans="1:45" ht="12.75" customHeight="1">
      <c r="A150" s="52"/>
      <c r="B150" s="52"/>
      <c r="C150" s="555"/>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row>
    <row r="151" spans="1:45" ht="12.75" customHeight="1">
      <c r="A151" s="52"/>
      <c r="B151" s="52"/>
      <c r="C151" s="555"/>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row>
    <row r="152" spans="1:45" ht="12.75" customHeight="1">
      <c r="A152" s="52"/>
      <c r="B152" s="52"/>
      <c r="C152" s="555"/>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row>
    <row r="153" spans="1:45" ht="12.75" customHeight="1">
      <c r="A153" s="52"/>
      <c r="B153" s="52"/>
      <c r="C153" s="555"/>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row>
    <row r="154" spans="1:45" ht="12.75" customHeight="1">
      <c r="A154" s="52"/>
      <c r="B154" s="52"/>
      <c r="C154" s="55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row>
    <row r="155" spans="1:45" ht="12.75" customHeight="1">
      <c r="A155" s="52"/>
      <c r="B155" s="52"/>
      <c r="C155" s="555"/>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row>
    <row r="156" spans="1:45" ht="12.75" customHeight="1">
      <c r="A156" s="52"/>
      <c r="B156" s="52"/>
      <c r="C156" s="55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row>
    <row r="157" spans="1:45" ht="12.75" customHeight="1">
      <c r="A157" s="52"/>
      <c r="B157" s="52"/>
      <c r="C157" s="555"/>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row>
    <row r="158" spans="1:45" ht="12.75" customHeight="1">
      <c r="A158" s="52"/>
      <c r="B158" s="52"/>
      <c r="C158" s="555"/>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row>
    <row r="159" spans="1:45" ht="12.75" customHeight="1">
      <c r="A159" s="52"/>
      <c r="B159" s="52"/>
      <c r="C159" s="55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row>
    <row r="160" spans="1:45" ht="12.75" customHeight="1">
      <c r="A160" s="52"/>
      <c r="B160" s="52"/>
      <c r="C160" s="555"/>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row>
    <row r="161" spans="1:45" ht="12.75" customHeight="1">
      <c r="A161" s="52"/>
      <c r="B161" s="52"/>
      <c r="C161" s="555"/>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row>
    <row r="162" spans="1:45" ht="12.75" customHeight="1">
      <c r="A162" s="52"/>
      <c r="B162" s="52"/>
      <c r="C162" s="555"/>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row>
    <row r="163" spans="1:45" ht="12.75" customHeight="1">
      <c r="A163" s="52"/>
      <c r="B163" s="52"/>
      <c r="C163" s="555"/>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row>
    <row r="164" spans="1:45" ht="12.75" customHeight="1">
      <c r="A164" s="52"/>
      <c r="B164" s="52"/>
      <c r="C164" s="555"/>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row>
    <row r="165" spans="1:45" ht="12.75" customHeight="1">
      <c r="A165" s="52"/>
      <c r="B165" s="52"/>
      <c r="C165" s="55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row>
    <row r="166" spans="1:45" ht="12.75" customHeight="1">
      <c r="A166" s="52"/>
      <c r="B166" s="52"/>
      <c r="C166" s="555"/>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row>
    <row r="167" spans="1:45" ht="12.75" customHeight="1">
      <c r="A167" s="52"/>
      <c r="B167" s="52"/>
      <c r="C167" s="555"/>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row>
    <row r="168" spans="1:45" ht="12.75" customHeight="1">
      <c r="A168" s="52"/>
      <c r="B168" s="52"/>
      <c r="C168" s="555"/>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row>
    <row r="169" spans="1:45" ht="12.75" customHeight="1">
      <c r="A169" s="52"/>
      <c r="B169" s="52"/>
      <c r="C169" s="55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row>
    <row r="170" spans="1:45" ht="12.75" customHeight="1">
      <c r="A170" s="52"/>
      <c r="B170" s="52"/>
      <c r="C170" s="55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row>
    <row r="171" spans="1:45" ht="12.75" customHeight="1">
      <c r="A171" s="52"/>
      <c r="B171" s="52"/>
      <c r="C171" s="555"/>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row>
    <row r="172" spans="1:45" ht="12.75" customHeight="1">
      <c r="A172" s="52"/>
      <c r="B172" s="52"/>
      <c r="C172" s="555"/>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row>
    <row r="173" spans="1:45" ht="12.75" customHeight="1">
      <c r="A173" s="52"/>
      <c r="B173" s="52"/>
      <c r="C173" s="555"/>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row>
    <row r="174" spans="1:45" ht="12.75" customHeight="1">
      <c r="A174" s="52"/>
      <c r="B174" s="52"/>
      <c r="C174" s="555"/>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row>
    <row r="175" spans="1:45" ht="12.75" customHeight="1">
      <c r="A175" s="52"/>
      <c r="B175" s="52"/>
      <c r="C175" s="555"/>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row>
    <row r="176" spans="1:45" ht="12.75" customHeight="1">
      <c r="A176" s="52"/>
      <c r="B176" s="52"/>
      <c r="C176" s="555"/>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row>
    <row r="177" spans="1:45" ht="12.75" customHeight="1">
      <c r="A177" s="52"/>
      <c r="B177" s="52"/>
      <c r="C177" s="555"/>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row>
    <row r="178" spans="1:45" ht="12.75" customHeight="1">
      <c r="A178" s="52"/>
      <c r="B178" s="52"/>
      <c r="C178" s="555"/>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row>
    <row r="179" spans="1:45" ht="12.75" customHeight="1">
      <c r="A179" s="52"/>
      <c r="B179" s="52"/>
      <c r="C179" s="555"/>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row>
    <row r="180" spans="1:45" ht="12.75" customHeight="1">
      <c r="A180" s="52"/>
      <c r="B180" s="52"/>
      <c r="C180" s="555"/>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row>
    <row r="181" spans="1:45" ht="12.75" customHeight="1">
      <c r="A181" s="52"/>
      <c r="B181" s="52"/>
      <c r="C181" s="555"/>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row>
    <row r="182" spans="1:45" ht="12.75" customHeight="1">
      <c r="A182" s="52"/>
      <c r="B182" s="52"/>
      <c r="C182" s="555"/>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row>
    <row r="183" spans="1:45" ht="12.75" customHeight="1">
      <c r="A183" s="52"/>
      <c r="B183" s="52"/>
      <c r="C183" s="555"/>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row>
    <row r="184" spans="1:45" ht="12.75" customHeight="1">
      <c r="A184" s="52"/>
      <c r="B184" s="52"/>
      <c r="C184" s="555"/>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row>
    <row r="185" spans="1:45" ht="12.75" customHeight="1">
      <c r="A185" s="52"/>
      <c r="B185" s="52"/>
      <c r="C185" s="555"/>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row>
    <row r="186" spans="1:45" ht="12.75" customHeight="1">
      <c r="A186" s="52"/>
      <c r="B186" s="52"/>
      <c r="C186" s="555"/>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row>
    <row r="187" spans="1:45" ht="12.75" customHeight="1">
      <c r="A187" s="52"/>
      <c r="B187" s="52"/>
      <c r="C187" s="555"/>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row>
    <row r="188" spans="1:45" ht="12.75" customHeight="1">
      <c r="A188" s="52"/>
      <c r="B188" s="52"/>
      <c r="C188" s="555"/>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row>
    <row r="189" spans="1:45" ht="12.75" customHeight="1">
      <c r="A189" s="52"/>
      <c r="B189" s="52"/>
      <c r="C189" s="555"/>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row>
    <row r="190" spans="1:45" ht="12.75" customHeight="1">
      <c r="A190" s="52"/>
      <c r="B190" s="52"/>
      <c r="C190" s="555"/>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row>
    <row r="191" spans="1:45" ht="12.75" customHeight="1">
      <c r="A191" s="52"/>
      <c r="B191" s="52"/>
      <c r="C191" s="555"/>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row>
    <row r="192" spans="1:45" ht="12.75" customHeight="1">
      <c r="A192" s="52"/>
      <c r="B192" s="52"/>
      <c r="C192" s="555"/>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75" customHeight="1">
      <c r="A193" s="52"/>
      <c r="B193" s="52"/>
      <c r="C193" s="555"/>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75" customHeight="1">
      <c r="A194" s="52"/>
      <c r="B194" s="52"/>
      <c r="C194" s="555"/>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75" customHeight="1">
      <c r="A195" s="52"/>
      <c r="B195" s="52"/>
      <c r="C195" s="555"/>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75" customHeight="1">
      <c r="A196" s="52"/>
      <c r="B196" s="52"/>
      <c r="C196" s="555"/>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75" customHeight="1">
      <c r="A197" s="52"/>
      <c r="B197" s="52"/>
      <c r="C197" s="555"/>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75" customHeight="1">
      <c r="A198" s="52"/>
      <c r="B198" s="52"/>
      <c r="C198" s="555"/>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75" customHeight="1">
      <c r="A199" s="52"/>
      <c r="B199" s="52"/>
      <c r="C199" s="555"/>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75" customHeight="1">
      <c r="A200" s="52"/>
      <c r="B200" s="52"/>
      <c r="C200" s="555"/>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75" customHeight="1">
      <c r="A201" s="52"/>
      <c r="B201" s="52"/>
      <c r="C201" s="555"/>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75" customHeight="1">
      <c r="A202" s="52"/>
      <c r="B202" s="52"/>
      <c r="C202" s="555"/>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75" customHeight="1">
      <c r="A203" s="52"/>
      <c r="B203" s="52"/>
      <c r="C203" s="555"/>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75" customHeight="1">
      <c r="A204" s="52"/>
      <c r="B204" s="52"/>
      <c r="C204" s="555"/>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75" customHeight="1">
      <c r="A205" s="52"/>
      <c r="B205" s="52"/>
      <c r="C205" s="555"/>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75" customHeight="1">
      <c r="A206" s="52"/>
      <c r="B206" s="52"/>
      <c r="C206" s="555"/>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75" customHeight="1">
      <c r="A207" s="52"/>
      <c r="B207" s="52"/>
      <c r="C207" s="555"/>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75" customHeight="1">
      <c r="A208" s="52"/>
      <c r="B208" s="52"/>
      <c r="C208" s="555"/>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75" customHeight="1">
      <c r="A209" s="52"/>
      <c r="B209" s="52"/>
      <c r="C209" s="55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75" customHeight="1">
      <c r="A210" s="52"/>
      <c r="B210" s="52"/>
      <c r="C210" s="555"/>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75" customHeight="1">
      <c r="A211" s="52"/>
      <c r="B211" s="52"/>
      <c r="C211" s="555"/>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75" customHeight="1">
      <c r="A212" s="52"/>
      <c r="B212" s="52"/>
      <c r="C212" s="555"/>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75" customHeight="1">
      <c r="A213" s="52"/>
      <c r="B213" s="52"/>
      <c r="C213" s="555"/>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75" customHeight="1">
      <c r="A214" s="52"/>
      <c r="B214" s="52"/>
      <c r="C214" s="555"/>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75" customHeight="1">
      <c r="A215" s="52"/>
      <c r="B215" s="52"/>
      <c r="C215" s="555"/>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75" customHeight="1">
      <c r="A216" s="52"/>
      <c r="B216" s="52"/>
      <c r="C216" s="555"/>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75" customHeight="1">
      <c r="A217" s="52"/>
      <c r="B217" s="52"/>
      <c r="C217" s="555"/>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75" customHeight="1">
      <c r="A218" s="52"/>
      <c r="B218" s="52"/>
      <c r="C218" s="555"/>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75" customHeight="1">
      <c r="A219" s="52"/>
      <c r="B219" s="52"/>
      <c r="C219" s="555"/>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75" customHeight="1">
      <c r="A220" s="52"/>
      <c r="B220" s="52"/>
      <c r="C220" s="555"/>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75" customHeight="1">
      <c r="A221" s="52"/>
      <c r="B221" s="52"/>
      <c r="C221" s="555"/>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75" customHeight="1">
      <c r="A222" s="52"/>
      <c r="B222" s="52"/>
      <c r="C222" s="555"/>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75" customHeight="1">
      <c r="A223" s="52"/>
      <c r="B223" s="52"/>
      <c r="C223" s="555"/>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75" customHeight="1">
      <c r="A224" s="52"/>
      <c r="B224" s="52"/>
      <c r="C224" s="555"/>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75" customHeight="1">
      <c r="A225" s="52"/>
      <c r="B225" s="52"/>
      <c r="C225" s="555"/>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75" customHeight="1">
      <c r="A226" s="52"/>
      <c r="B226" s="52"/>
      <c r="C226" s="555"/>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75" customHeight="1">
      <c r="A227" s="52"/>
      <c r="B227" s="52"/>
      <c r="C227" s="555"/>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75" customHeight="1">
      <c r="A228" s="52"/>
      <c r="B228" s="52"/>
      <c r="C228" s="555"/>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75" customHeight="1">
      <c r="A229" s="52"/>
      <c r="B229" s="52"/>
      <c r="C229" s="555"/>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75" customHeight="1">
      <c r="A230" s="52"/>
      <c r="B230" s="52"/>
      <c r="C230" s="555"/>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75" customHeight="1">
      <c r="A231" s="52"/>
      <c r="B231" s="52"/>
      <c r="C231" s="555"/>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75" customHeight="1">
      <c r="A232" s="52"/>
      <c r="B232" s="52"/>
      <c r="C232" s="555"/>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75" customHeight="1">
      <c r="A233" s="52"/>
      <c r="B233" s="52"/>
      <c r="C233" s="555"/>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75" customHeight="1">
      <c r="A234" s="52"/>
      <c r="B234" s="52"/>
      <c r="C234" s="555"/>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75" customHeight="1">
      <c r="A235" s="52"/>
      <c r="B235" s="52"/>
      <c r="C235" s="555"/>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75" customHeight="1">
      <c r="A236" s="52"/>
      <c r="B236" s="52"/>
      <c r="C236" s="555"/>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75" customHeight="1">
      <c r="A237" s="52"/>
      <c r="B237" s="52"/>
      <c r="C237" s="555"/>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75" customHeight="1">
      <c r="A238" s="52"/>
      <c r="B238" s="52"/>
      <c r="C238" s="555"/>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75" customHeight="1">
      <c r="A239" s="52"/>
      <c r="B239" s="52"/>
      <c r="C239" s="555"/>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75" customHeight="1">
      <c r="A240" s="52"/>
      <c r="B240" s="52"/>
      <c r="C240" s="555"/>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75" customHeight="1">
      <c r="A241" s="52"/>
      <c r="B241" s="52"/>
      <c r="C241" s="555"/>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75" customHeight="1">
      <c r="A242" s="52"/>
      <c r="B242" s="52"/>
      <c r="C242" s="555"/>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75" customHeight="1">
      <c r="A243" s="52"/>
      <c r="B243" s="52"/>
      <c r="C243" s="555"/>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75" customHeight="1">
      <c r="A244" s="52"/>
      <c r="B244" s="52"/>
      <c r="C244" s="555"/>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75" customHeight="1">
      <c r="A245" s="52"/>
      <c r="B245" s="52"/>
      <c r="C245" s="555"/>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75" customHeight="1">
      <c r="A246" s="52"/>
      <c r="B246" s="52"/>
      <c r="C246" s="555"/>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75" customHeight="1">
      <c r="A247" s="52"/>
      <c r="B247" s="52"/>
      <c r="C247" s="555"/>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75" customHeight="1">
      <c r="A248" s="52"/>
      <c r="B248" s="52"/>
      <c r="C248" s="555"/>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75" customHeight="1">
      <c r="A249" s="52"/>
      <c r="B249" s="52"/>
      <c r="C249" s="555"/>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75" customHeight="1">
      <c r="A250" s="52"/>
      <c r="B250" s="52"/>
      <c r="C250" s="555"/>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75" customHeight="1">
      <c r="A251" s="52"/>
      <c r="B251" s="52"/>
      <c r="C251" s="555"/>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75" customHeight="1">
      <c r="A252" s="52"/>
      <c r="B252" s="52"/>
      <c r="C252" s="555"/>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75" customHeight="1">
      <c r="A253" s="52"/>
      <c r="B253" s="52"/>
      <c r="C253" s="555"/>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75" customHeight="1">
      <c r="A254" s="52"/>
      <c r="B254" s="52"/>
      <c r="C254" s="555"/>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75" customHeight="1">
      <c r="A255" s="52"/>
      <c r="B255" s="52"/>
      <c r="C255" s="555"/>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75" customHeight="1">
      <c r="A256" s="52"/>
      <c r="B256" s="52"/>
      <c r="C256" s="555"/>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75" customHeight="1">
      <c r="A257" s="52"/>
      <c r="B257" s="52"/>
      <c r="C257" s="555"/>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75" customHeight="1">
      <c r="A258" s="52"/>
      <c r="B258" s="52"/>
      <c r="C258" s="555"/>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75" customHeight="1">
      <c r="A259" s="52"/>
      <c r="B259" s="52"/>
      <c r="C259" s="555"/>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75" customHeight="1">
      <c r="A260" s="52"/>
      <c r="B260" s="52"/>
      <c r="C260" s="555"/>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75" customHeight="1">
      <c r="A261" s="52"/>
      <c r="B261" s="52"/>
      <c r="C261" s="555"/>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75" customHeight="1">
      <c r="A262" s="52"/>
      <c r="B262" s="52"/>
      <c r="C262" s="555"/>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75" customHeight="1">
      <c r="A263" s="52"/>
      <c r="B263" s="52"/>
      <c r="C263" s="555"/>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75" customHeight="1">
      <c r="A264" s="52"/>
      <c r="B264" s="52"/>
      <c r="C264" s="555"/>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75" customHeight="1">
      <c r="A265" s="52"/>
      <c r="B265" s="52"/>
      <c r="C265" s="55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75" customHeight="1">
      <c r="A266" s="52"/>
      <c r="B266" s="52"/>
      <c r="C266" s="555"/>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75" customHeight="1">
      <c r="A267" s="52"/>
      <c r="B267" s="52"/>
      <c r="C267" s="555"/>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75" customHeight="1">
      <c r="A268" s="52"/>
      <c r="B268" s="52"/>
      <c r="C268" s="555"/>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75" customHeight="1">
      <c r="A269" s="52"/>
      <c r="B269" s="52"/>
      <c r="C269" s="555"/>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75" customHeight="1">
      <c r="A270" s="52"/>
      <c r="B270" s="52"/>
      <c r="C270" s="555"/>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75" customHeight="1">
      <c r="A271" s="52"/>
      <c r="B271" s="52"/>
      <c r="C271" s="555"/>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75" customHeight="1">
      <c r="A272" s="52"/>
      <c r="B272" s="52"/>
      <c r="C272" s="555"/>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75" customHeight="1">
      <c r="A273" s="52"/>
      <c r="B273" s="52"/>
      <c r="C273" s="555"/>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75" customHeight="1">
      <c r="A274" s="52"/>
      <c r="B274" s="52"/>
      <c r="C274" s="555"/>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75" customHeight="1">
      <c r="A275" s="52"/>
      <c r="B275" s="52"/>
      <c r="C275" s="555"/>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75" customHeight="1">
      <c r="A276" s="52"/>
      <c r="B276" s="52"/>
      <c r="C276" s="555"/>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75" customHeight="1">
      <c r="A277" s="52"/>
      <c r="B277" s="52"/>
      <c r="C277" s="555"/>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75" customHeight="1">
      <c r="A278" s="52"/>
      <c r="B278" s="52"/>
      <c r="C278" s="555"/>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75" customHeight="1">
      <c r="A279" s="52"/>
      <c r="B279" s="52"/>
      <c r="C279" s="555"/>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75" customHeight="1">
      <c r="A280" s="52"/>
      <c r="B280" s="52"/>
      <c r="C280" s="555"/>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75" customHeight="1">
      <c r="A281" s="52"/>
      <c r="B281" s="52"/>
      <c r="C281" s="555"/>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75" customHeight="1">
      <c r="A282" s="52"/>
      <c r="B282" s="52"/>
      <c r="C282" s="555"/>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75" customHeight="1">
      <c r="A283" s="52"/>
      <c r="B283" s="52"/>
      <c r="C283" s="555"/>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600-000000000000}">
      <formula1>"TOU,non-TOU"</formula1>
    </dataValidation>
    <dataValidation type="list" allowBlank="1" showErrorMessage="1" sqref="E15:E28 E30:E38 E40:E41 E43:E51 E57 E63" xr:uid="{00000000-0002-0000-2600-000001000000}">
      <formula1>#REF!</formula1>
    </dataValidation>
    <dataValidation type="list" allowBlank="1" showInputMessage="1" showErrorMessage="1" prompt="Select Charge Unit - monthly, per kWh, per kW" sqref="D15:D28 D30:D38 D40:D41 D43:D51 D57 D63" xr:uid="{00000000-0002-0000-2600-000002000000}">
      <formula1>"Monthly,per kWh,per kW"</formula1>
    </dataValidation>
  </dataValidations>
  <pageMargins left="0.74803149606299213" right="0.74803149606299213" top="0.98425196850393704" bottom="0.984251968503937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sqref="A1:D1"/>
    </sheetView>
  </sheetViews>
  <sheetFormatPr defaultColWidth="12.5703125" defaultRowHeight="15" customHeight="1"/>
  <cols>
    <col min="1" max="1" width="66.42578125" customWidth="1"/>
    <col min="2" max="2" width="2.42578125" customWidth="1"/>
    <col min="3" max="3" width="10.42578125" customWidth="1"/>
    <col min="4" max="4" width="9.42578125" customWidth="1"/>
    <col min="5" max="24" width="9.140625" customWidth="1"/>
  </cols>
  <sheetData>
    <row r="1" spans="1:26" ht="23.25" customHeight="1">
      <c r="A1" s="597" t="s">
        <v>26</v>
      </c>
      <c r="B1" s="595"/>
      <c r="C1" s="595"/>
      <c r="D1" s="596"/>
      <c r="E1" s="53"/>
      <c r="F1" s="53"/>
      <c r="G1" s="53"/>
      <c r="H1" s="53"/>
      <c r="I1" s="53"/>
      <c r="J1" s="53"/>
      <c r="K1" s="53"/>
      <c r="L1" s="53"/>
      <c r="M1" s="53"/>
      <c r="N1" s="53"/>
      <c r="O1" s="53"/>
      <c r="P1" s="53"/>
      <c r="Q1" s="53"/>
      <c r="R1" s="53"/>
      <c r="S1" s="53"/>
      <c r="T1" s="53"/>
      <c r="U1" s="53"/>
      <c r="V1" s="53"/>
      <c r="W1" s="53"/>
      <c r="X1" s="53"/>
      <c r="Y1" s="53"/>
      <c r="Z1" s="53"/>
    </row>
    <row r="2" spans="1:26" ht="18" customHeight="1">
      <c r="A2" s="598" t="s">
        <v>27</v>
      </c>
      <c r="B2" s="595"/>
      <c r="C2" s="595"/>
      <c r="D2" s="596"/>
      <c r="E2" s="53"/>
      <c r="F2" s="53"/>
      <c r="G2" s="53"/>
      <c r="H2" s="53"/>
      <c r="I2" s="53"/>
      <c r="J2" s="53"/>
      <c r="K2" s="53"/>
      <c r="L2" s="53"/>
      <c r="M2" s="53"/>
      <c r="N2" s="53"/>
      <c r="O2" s="53"/>
      <c r="P2" s="53"/>
      <c r="Q2" s="53"/>
      <c r="R2" s="53"/>
      <c r="S2" s="53"/>
      <c r="T2" s="53"/>
      <c r="U2" s="53"/>
      <c r="V2" s="53"/>
      <c r="W2" s="53"/>
      <c r="X2" s="53"/>
      <c r="Y2" s="53"/>
      <c r="Z2" s="53"/>
    </row>
    <row r="3" spans="1:26" ht="15.75" customHeight="1">
      <c r="A3" s="599" t="s">
        <v>208</v>
      </c>
      <c r="B3" s="595"/>
      <c r="C3" s="595"/>
      <c r="D3" s="596"/>
      <c r="E3" s="53"/>
      <c r="F3" s="53"/>
      <c r="G3" s="53"/>
      <c r="H3" s="53"/>
      <c r="I3" s="53"/>
      <c r="J3" s="53"/>
      <c r="K3" s="53"/>
      <c r="L3" s="53"/>
      <c r="M3" s="53"/>
      <c r="N3" s="53"/>
      <c r="O3" s="53"/>
      <c r="P3" s="53"/>
      <c r="Q3" s="53"/>
      <c r="R3" s="53"/>
      <c r="S3" s="53"/>
      <c r="T3" s="53"/>
      <c r="U3" s="53"/>
      <c r="V3" s="53"/>
      <c r="W3" s="53"/>
      <c r="X3" s="53"/>
      <c r="Y3" s="53"/>
      <c r="Z3" s="53"/>
    </row>
    <row r="4" spans="1:26" ht="11.25" customHeight="1">
      <c r="A4" s="600" t="s">
        <v>29</v>
      </c>
      <c r="B4" s="595"/>
      <c r="C4" s="595"/>
      <c r="D4" s="596"/>
      <c r="E4" s="53"/>
      <c r="F4" s="53"/>
      <c r="G4" s="53"/>
      <c r="H4" s="53"/>
      <c r="I4" s="53"/>
      <c r="J4" s="53"/>
      <c r="K4" s="53"/>
      <c r="L4" s="53"/>
      <c r="M4" s="53"/>
      <c r="N4" s="53"/>
      <c r="O4" s="53"/>
      <c r="P4" s="53"/>
      <c r="Q4" s="53"/>
      <c r="R4" s="53"/>
      <c r="S4" s="53"/>
      <c r="T4" s="53"/>
      <c r="U4" s="53"/>
      <c r="V4" s="53"/>
      <c r="W4" s="53"/>
      <c r="X4" s="53"/>
      <c r="Y4" s="53"/>
      <c r="Z4" s="53"/>
    </row>
    <row r="5" spans="1:26" ht="11.25" customHeight="1">
      <c r="A5" s="600" t="s">
        <v>30</v>
      </c>
      <c r="B5" s="595"/>
      <c r="C5" s="595"/>
      <c r="D5" s="596"/>
      <c r="E5" s="53"/>
      <c r="F5" s="53"/>
      <c r="G5" s="53"/>
      <c r="H5" s="53"/>
      <c r="I5" s="53"/>
      <c r="J5" s="53"/>
      <c r="K5" s="53"/>
      <c r="L5" s="53"/>
      <c r="M5" s="53"/>
      <c r="N5" s="53"/>
      <c r="O5" s="53"/>
      <c r="P5" s="53"/>
      <c r="Q5" s="53"/>
      <c r="R5" s="53"/>
      <c r="S5" s="53"/>
      <c r="T5" s="53"/>
      <c r="U5" s="53"/>
      <c r="V5" s="53"/>
      <c r="W5" s="53"/>
      <c r="X5" s="53"/>
      <c r="Y5" s="53"/>
      <c r="Z5" s="53"/>
    </row>
    <row r="6" spans="1:26" ht="11.25" customHeight="1">
      <c r="A6" s="601" t="s">
        <v>31</v>
      </c>
      <c r="B6" s="595"/>
      <c r="C6" s="595"/>
      <c r="D6" s="596"/>
      <c r="E6" s="53"/>
      <c r="F6" s="53"/>
      <c r="G6" s="53"/>
      <c r="H6" s="53"/>
      <c r="I6" s="53"/>
      <c r="J6" s="53"/>
      <c r="K6" s="53"/>
      <c r="L6" s="53"/>
      <c r="M6" s="53"/>
      <c r="N6" s="53"/>
      <c r="O6" s="53"/>
      <c r="P6" s="53"/>
      <c r="Q6" s="53"/>
      <c r="R6" s="53"/>
      <c r="S6" s="53"/>
      <c r="T6" s="53"/>
      <c r="U6" s="53"/>
      <c r="V6" s="53"/>
      <c r="W6" s="53"/>
      <c r="X6" s="53"/>
      <c r="Y6" s="53"/>
      <c r="Z6" s="53"/>
    </row>
    <row r="7" spans="1:26" ht="18.75" customHeight="1">
      <c r="A7" s="602" t="s">
        <v>32</v>
      </c>
      <c r="B7" s="595"/>
      <c r="C7" s="595"/>
      <c r="D7" s="596"/>
      <c r="E7" s="53"/>
      <c r="F7" s="53"/>
      <c r="G7" s="53"/>
      <c r="H7" s="53"/>
      <c r="I7" s="53"/>
      <c r="J7" s="53"/>
      <c r="K7" s="53"/>
      <c r="L7" s="53"/>
      <c r="M7" s="53"/>
      <c r="N7" s="53"/>
      <c r="O7" s="53"/>
      <c r="P7" s="53"/>
      <c r="Q7" s="53"/>
      <c r="R7" s="53"/>
      <c r="S7" s="53"/>
      <c r="T7" s="53"/>
      <c r="U7" s="53"/>
      <c r="V7" s="53"/>
      <c r="W7" s="53"/>
      <c r="X7" s="53"/>
      <c r="Y7" s="53"/>
      <c r="Z7" s="53"/>
    </row>
    <row r="8" spans="1:26" ht="72" customHeight="1">
      <c r="A8" s="603" t="s">
        <v>33</v>
      </c>
      <c r="B8" s="595"/>
      <c r="C8" s="595"/>
      <c r="D8" s="596"/>
      <c r="E8" s="53"/>
      <c r="F8" s="53"/>
      <c r="G8" s="53"/>
      <c r="H8" s="53"/>
      <c r="I8" s="53"/>
      <c r="J8" s="53"/>
      <c r="K8" s="53"/>
      <c r="L8" s="53"/>
      <c r="M8" s="53"/>
      <c r="N8" s="53"/>
      <c r="O8" s="53"/>
      <c r="P8" s="53"/>
      <c r="Q8" s="53"/>
      <c r="R8" s="53"/>
      <c r="S8" s="53"/>
      <c r="T8" s="53"/>
      <c r="U8" s="53"/>
      <c r="V8" s="53"/>
      <c r="W8" s="53"/>
      <c r="X8" s="53"/>
      <c r="Y8" s="53"/>
      <c r="Z8" s="53"/>
    </row>
    <row r="9" spans="1:26" ht="6.75" customHeight="1">
      <c r="A9" s="54"/>
      <c r="B9" s="54"/>
      <c r="C9" s="54"/>
      <c r="D9" s="55"/>
      <c r="E9" s="53"/>
      <c r="F9" s="53"/>
      <c r="G9" s="53"/>
      <c r="H9" s="53"/>
      <c r="I9" s="53"/>
      <c r="J9" s="53"/>
      <c r="K9" s="53"/>
      <c r="L9" s="53"/>
      <c r="M9" s="53"/>
      <c r="N9" s="53"/>
      <c r="O9" s="53"/>
      <c r="P9" s="53"/>
      <c r="Q9" s="53"/>
      <c r="R9" s="53"/>
      <c r="S9" s="53"/>
      <c r="T9" s="53"/>
      <c r="U9" s="53"/>
      <c r="V9" s="53"/>
      <c r="W9" s="53"/>
      <c r="X9" s="53"/>
      <c r="Y9" s="53"/>
      <c r="Z9" s="53"/>
    </row>
    <row r="10" spans="1:26" ht="11.25" customHeight="1">
      <c r="A10" s="604" t="s">
        <v>34</v>
      </c>
      <c r="B10" s="595"/>
      <c r="C10" s="595"/>
      <c r="D10" s="596"/>
      <c r="E10" s="53"/>
      <c r="F10" s="53"/>
      <c r="G10" s="53"/>
      <c r="H10" s="53"/>
      <c r="I10" s="53"/>
      <c r="J10" s="53"/>
      <c r="K10" s="53"/>
      <c r="L10" s="53"/>
      <c r="M10" s="53"/>
      <c r="N10" s="53"/>
      <c r="O10" s="53"/>
      <c r="P10" s="53"/>
      <c r="Q10" s="53"/>
      <c r="R10" s="53"/>
      <c r="S10" s="53"/>
      <c r="T10" s="53"/>
      <c r="U10" s="53"/>
      <c r="V10" s="53"/>
      <c r="W10" s="53"/>
      <c r="X10" s="53"/>
      <c r="Y10" s="53"/>
      <c r="Z10" s="53"/>
    </row>
    <row r="11" spans="1:26" ht="6.75" customHeight="1">
      <c r="A11" s="56"/>
      <c r="B11" s="57"/>
      <c r="C11" s="57"/>
      <c r="D11" s="58"/>
      <c r="E11" s="53"/>
      <c r="F11" s="53"/>
      <c r="G11" s="53"/>
      <c r="H11" s="53"/>
      <c r="I11" s="53"/>
      <c r="J11" s="53"/>
      <c r="K11" s="53"/>
      <c r="L11" s="53"/>
      <c r="M11" s="53"/>
      <c r="N11" s="53"/>
      <c r="O11" s="53"/>
      <c r="P11" s="53"/>
      <c r="Q11" s="53"/>
      <c r="R11" s="53"/>
      <c r="S11" s="53"/>
      <c r="T11" s="53"/>
      <c r="U11" s="53"/>
      <c r="V11" s="53"/>
      <c r="W11" s="53"/>
      <c r="X11" s="53"/>
      <c r="Y11" s="53"/>
      <c r="Z11" s="53"/>
    </row>
    <row r="12" spans="1:26" ht="36" customHeight="1">
      <c r="A12" s="603" t="s">
        <v>35</v>
      </c>
      <c r="B12" s="595"/>
      <c r="C12" s="595"/>
      <c r="D12" s="596"/>
      <c r="E12" s="53"/>
      <c r="F12" s="53"/>
      <c r="G12" s="53"/>
      <c r="H12" s="53"/>
      <c r="I12" s="53"/>
      <c r="J12" s="53"/>
      <c r="K12" s="53"/>
      <c r="L12" s="53"/>
      <c r="M12" s="53"/>
      <c r="N12" s="53"/>
      <c r="O12" s="53"/>
      <c r="P12" s="53"/>
      <c r="Q12" s="53"/>
      <c r="R12" s="53"/>
      <c r="S12" s="53"/>
      <c r="T12" s="53"/>
      <c r="U12" s="53"/>
      <c r="V12" s="53"/>
      <c r="W12" s="53"/>
      <c r="X12" s="53"/>
      <c r="Y12" s="53"/>
      <c r="Z12" s="53"/>
    </row>
    <row r="13" spans="1:26" ht="6.75" customHeight="1">
      <c r="A13" s="54"/>
      <c r="B13" s="54"/>
      <c r="C13" s="54"/>
      <c r="D13" s="55"/>
      <c r="E13" s="53"/>
      <c r="F13" s="53"/>
      <c r="G13" s="53"/>
      <c r="H13" s="53"/>
      <c r="I13" s="53"/>
      <c r="J13" s="53"/>
      <c r="K13" s="53"/>
      <c r="L13" s="53"/>
      <c r="M13" s="53"/>
      <c r="N13" s="53"/>
      <c r="O13" s="53"/>
      <c r="P13" s="53"/>
      <c r="Q13" s="53"/>
      <c r="R13" s="53"/>
      <c r="S13" s="53"/>
      <c r="T13" s="53"/>
      <c r="U13" s="53"/>
      <c r="V13" s="53"/>
      <c r="W13" s="53"/>
      <c r="X13" s="53"/>
      <c r="Y13" s="53"/>
      <c r="Z13" s="53"/>
    </row>
    <row r="14" spans="1:26" ht="48" customHeight="1">
      <c r="A14" s="603" t="s">
        <v>36</v>
      </c>
      <c r="B14" s="595"/>
      <c r="C14" s="595"/>
      <c r="D14" s="596"/>
      <c r="E14" s="53"/>
      <c r="F14" s="53"/>
      <c r="G14" s="53"/>
      <c r="H14" s="53"/>
      <c r="I14" s="53"/>
      <c r="J14" s="53"/>
      <c r="K14" s="53"/>
      <c r="L14" s="53"/>
      <c r="M14" s="53"/>
      <c r="N14" s="53"/>
      <c r="O14" s="53"/>
      <c r="P14" s="53"/>
      <c r="Q14" s="53"/>
      <c r="R14" s="53"/>
      <c r="S14" s="53"/>
      <c r="T14" s="53"/>
      <c r="U14" s="53"/>
      <c r="V14" s="53"/>
      <c r="W14" s="53"/>
      <c r="X14" s="53"/>
      <c r="Y14" s="53"/>
      <c r="Z14" s="53"/>
    </row>
    <row r="15" spans="1:26" ht="6.75" customHeight="1">
      <c r="A15" s="54"/>
      <c r="B15" s="54"/>
      <c r="C15" s="54"/>
      <c r="D15" s="55"/>
      <c r="E15" s="53"/>
      <c r="F15" s="53"/>
      <c r="G15" s="53"/>
      <c r="H15" s="53"/>
      <c r="I15" s="53"/>
      <c r="J15" s="53"/>
      <c r="K15" s="53"/>
      <c r="L15" s="53"/>
      <c r="M15" s="53"/>
      <c r="N15" s="53"/>
      <c r="O15" s="53"/>
      <c r="P15" s="53"/>
      <c r="Q15" s="53"/>
      <c r="R15" s="53"/>
      <c r="S15" s="53"/>
      <c r="T15" s="53"/>
      <c r="U15" s="53"/>
      <c r="V15" s="53"/>
      <c r="W15" s="53"/>
      <c r="X15" s="53"/>
      <c r="Y15" s="53"/>
      <c r="Z15" s="53"/>
    </row>
    <row r="16" spans="1:26" ht="48" customHeight="1">
      <c r="A16" s="603" t="s">
        <v>37</v>
      </c>
      <c r="B16" s="595"/>
      <c r="C16" s="595"/>
      <c r="D16" s="596"/>
      <c r="E16" s="53"/>
      <c r="F16" s="53"/>
      <c r="G16" s="53"/>
      <c r="H16" s="53"/>
      <c r="I16" s="53"/>
      <c r="J16" s="53"/>
      <c r="K16" s="53"/>
      <c r="L16" s="53"/>
      <c r="M16" s="53"/>
      <c r="N16" s="53"/>
      <c r="O16" s="53"/>
      <c r="P16" s="53"/>
      <c r="Q16" s="53"/>
      <c r="R16" s="53"/>
      <c r="S16" s="53"/>
      <c r="T16" s="53"/>
      <c r="U16" s="53"/>
      <c r="V16" s="53"/>
      <c r="W16" s="53"/>
      <c r="X16" s="53"/>
      <c r="Y16" s="53"/>
      <c r="Z16" s="53"/>
    </row>
    <row r="17" spans="1:26" ht="6.75" customHeight="1">
      <c r="A17" s="54"/>
      <c r="B17" s="54"/>
      <c r="C17" s="54"/>
      <c r="D17" s="55"/>
      <c r="E17" s="53"/>
      <c r="F17" s="53"/>
      <c r="G17" s="53"/>
      <c r="H17" s="53"/>
      <c r="I17" s="53"/>
      <c r="J17" s="53"/>
      <c r="K17" s="53"/>
      <c r="L17" s="53"/>
      <c r="M17" s="53"/>
      <c r="N17" s="53"/>
      <c r="O17" s="53"/>
      <c r="P17" s="53"/>
      <c r="Q17" s="53"/>
      <c r="R17" s="53"/>
      <c r="S17" s="53"/>
      <c r="T17" s="53"/>
      <c r="U17" s="53"/>
      <c r="V17" s="53"/>
      <c r="W17" s="53"/>
      <c r="X17" s="53"/>
      <c r="Y17" s="53"/>
      <c r="Z17" s="53"/>
    </row>
    <row r="18" spans="1:26" ht="36" customHeight="1">
      <c r="A18" s="603" t="s">
        <v>38</v>
      </c>
      <c r="B18" s="595"/>
      <c r="C18" s="595"/>
      <c r="D18" s="596"/>
      <c r="E18" s="53"/>
      <c r="F18" s="53"/>
      <c r="G18" s="53"/>
      <c r="H18" s="53"/>
      <c r="I18" s="53"/>
      <c r="J18" s="53"/>
      <c r="K18" s="53"/>
      <c r="L18" s="53"/>
      <c r="M18" s="53"/>
      <c r="N18" s="53"/>
      <c r="O18" s="53"/>
      <c r="P18" s="53"/>
      <c r="Q18" s="53"/>
      <c r="R18" s="53"/>
      <c r="S18" s="53"/>
      <c r="T18" s="53"/>
      <c r="U18" s="53"/>
      <c r="V18" s="53"/>
      <c r="W18" s="53"/>
      <c r="X18" s="53"/>
      <c r="Y18" s="53"/>
      <c r="Z18" s="53"/>
    </row>
    <row r="19" spans="1:26" ht="6.75" customHeight="1">
      <c r="A19" s="54"/>
      <c r="B19" s="54"/>
      <c r="C19" s="54"/>
      <c r="D19" s="55"/>
      <c r="E19" s="53"/>
      <c r="F19" s="53"/>
      <c r="G19" s="53"/>
      <c r="H19" s="53"/>
      <c r="I19" s="53"/>
      <c r="J19" s="53"/>
      <c r="K19" s="53"/>
      <c r="L19" s="53"/>
      <c r="M19" s="53"/>
      <c r="N19" s="53"/>
      <c r="O19" s="53"/>
      <c r="P19" s="53"/>
      <c r="Q19" s="53"/>
      <c r="R19" s="53"/>
      <c r="S19" s="53"/>
      <c r="T19" s="53"/>
      <c r="U19" s="53"/>
      <c r="V19" s="53"/>
      <c r="W19" s="53"/>
      <c r="X19" s="53"/>
      <c r="Y19" s="53"/>
      <c r="Z19" s="53"/>
    </row>
    <row r="20" spans="1:26" ht="15" customHeight="1">
      <c r="A20" s="594" t="s">
        <v>39</v>
      </c>
      <c r="B20" s="595"/>
      <c r="C20" s="595"/>
      <c r="D20" s="596"/>
      <c r="E20" s="53"/>
      <c r="F20" s="53"/>
      <c r="G20" s="53"/>
      <c r="H20" s="53"/>
      <c r="I20" s="53"/>
      <c r="J20" s="53"/>
      <c r="K20" s="53"/>
      <c r="L20" s="53"/>
      <c r="M20" s="53"/>
      <c r="N20" s="53"/>
      <c r="O20" s="53"/>
      <c r="P20" s="53"/>
      <c r="Q20" s="53"/>
      <c r="R20" s="53"/>
      <c r="S20" s="53"/>
      <c r="T20" s="53"/>
      <c r="U20" s="53"/>
      <c r="V20" s="53"/>
      <c r="W20" s="53"/>
      <c r="X20" s="53"/>
      <c r="Y20" s="53"/>
      <c r="Z20" s="53"/>
    </row>
    <row r="21" spans="1:26" ht="6" customHeight="1">
      <c r="A21" s="59"/>
      <c r="B21" s="60"/>
      <c r="C21" s="60"/>
      <c r="D21" s="61"/>
      <c r="E21" s="53"/>
      <c r="F21" s="53"/>
      <c r="G21" s="53"/>
      <c r="H21" s="53"/>
      <c r="I21" s="53"/>
      <c r="J21" s="53"/>
      <c r="K21" s="53"/>
      <c r="L21" s="53"/>
      <c r="M21" s="53"/>
      <c r="N21" s="53"/>
      <c r="O21" s="53"/>
      <c r="P21" s="53"/>
      <c r="Q21" s="53"/>
      <c r="R21" s="53"/>
      <c r="S21" s="53"/>
      <c r="T21" s="53"/>
      <c r="U21" s="53"/>
      <c r="V21" s="53"/>
      <c r="W21" s="53"/>
      <c r="X21" s="53"/>
      <c r="Y21" s="53"/>
      <c r="Z21" s="53"/>
    </row>
    <row r="22" spans="1:26" ht="11.25" customHeight="1">
      <c r="A22" s="62" t="s">
        <v>40</v>
      </c>
      <c r="B22" s="63"/>
      <c r="C22" s="64" t="s">
        <v>41</v>
      </c>
      <c r="D22" s="280">
        <f>'Proposed Rates'!G8</f>
        <v>44.13</v>
      </c>
      <c r="E22" s="53"/>
      <c r="F22" s="53"/>
      <c r="G22" s="53"/>
      <c r="H22" s="53"/>
      <c r="I22" s="53"/>
      <c r="J22" s="53"/>
      <c r="K22" s="53"/>
      <c r="L22" s="53"/>
      <c r="M22" s="53"/>
      <c r="N22" s="53"/>
      <c r="O22" s="53"/>
      <c r="P22" s="53"/>
      <c r="Q22" s="53"/>
      <c r="R22" s="53"/>
      <c r="S22" s="53"/>
      <c r="T22" s="53"/>
      <c r="U22" s="53"/>
      <c r="V22" s="53"/>
      <c r="W22" s="53"/>
      <c r="X22" s="53"/>
      <c r="Y22" s="53"/>
      <c r="Z22" s="53"/>
    </row>
    <row r="23" spans="1:26" ht="15" hidden="1" customHeight="1">
      <c r="A23" s="62" t="s">
        <v>42</v>
      </c>
      <c r="B23" s="63"/>
      <c r="C23" s="64" t="s">
        <v>41</v>
      </c>
      <c r="D23" s="281">
        <f>'Proposed Rates'!G90</f>
        <v>0</v>
      </c>
      <c r="E23" s="53"/>
      <c r="F23" s="53"/>
      <c r="G23" s="53"/>
      <c r="H23" s="53"/>
      <c r="I23" s="53"/>
      <c r="J23" s="53"/>
      <c r="K23" s="53"/>
      <c r="L23" s="53"/>
      <c r="M23" s="53"/>
      <c r="N23" s="53"/>
      <c r="O23" s="53"/>
      <c r="P23" s="53"/>
      <c r="Q23" s="53"/>
      <c r="R23" s="53"/>
      <c r="S23" s="53"/>
      <c r="T23" s="53"/>
      <c r="U23" s="53"/>
      <c r="V23" s="53"/>
      <c r="W23" s="53"/>
      <c r="X23" s="53"/>
      <c r="Y23" s="53"/>
      <c r="Z23" s="53"/>
    </row>
    <row r="24" spans="1:26" ht="15" hidden="1" customHeight="1">
      <c r="A24" s="62" t="s">
        <v>43</v>
      </c>
      <c r="B24" s="63"/>
      <c r="C24" s="64" t="s">
        <v>41</v>
      </c>
      <c r="D24" s="281">
        <f>'Proposed Rates'!G64</f>
        <v>0</v>
      </c>
      <c r="E24" s="53"/>
      <c r="F24" s="53"/>
      <c r="G24" s="53"/>
      <c r="H24" s="53"/>
      <c r="I24" s="53"/>
      <c r="J24" s="53"/>
      <c r="K24" s="53"/>
      <c r="L24" s="53"/>
      <c r="M24" s="53"/>
      <c r="N24" s="53"/>
      <c r="O24" s="53"/>
      <c r="P24" s="53"/>
      <c r="Q24" s="53"/>
      <c r="R24" s="53"/>
      <c r="S24" s="53"/>
      <c r="T24" s="53"/>
      <c r="U24" s="53"/>
      <c r="V24" s="53"/>
      <c r="W24" s="53"/>
      <c r="X24" s="53"/>
      <c r="Y24" s="53"/>
      <c r="Z24" s="53"/>
    </row>
    <row r="25" spans="1:26" ht="11.25" customHeight="1">
      <c r="A25" s="62" t="s">
        <v>44</v>
      </c>
      <c r="B25" s="63"/>
      <c r="C25" s="64" t="s">
        <v>41</v>
      </c>
      <c r="D25" s="282">
        <f>'Proposed Rates'!G273</f>
        <v>0.42</v>
      </c>
      <c r="E25" s="53"/>
      <c r="F25" s="53"/>
      <c r="G25" s="53"/>
      <c r="H25" s="53"/>
      <c r="I25" s="53"/>
      <c r="J25" s="53"/>
      <c r="K25" s="53"/>
      <c r="L25" s="53"/>
      <c r="M25" s="53"/>
      <c r="N25" s="53"/>
      <c r="O25" s="53"/>
      <c r="P25" s="53"/>
      <c r="Q25" s="53"/>
      <c r="R25" s="53"/>
      <c r="S25" s="53"/>
      <c r="T25" s="53"/>
      <c r="U25" s="53"/>
      <c r="V25" s="53"/>
      <c r="W25" s="53"/>
      <c r="X25" s="53"/>
      <c r="Y25" s="53"/>
      <c r="Z25" s="53"/>
    </row>
    <row r="26" spans="1:26" ht="11.25" customHeight="1">
      <c r="A26" s="62" t="s">
        <v>45</v>
      </c>
      <c r="B26" s="63"/>
      <c r="C26" s="64" t="s">
        <v>46</v>
      </c>
      <c r="D26" s="283">
        <f>'Proposed Rates'!G260</f>
        <v>6.9999999999999994E-5</v>
      </c>
      <c r="E26" s="53"/>
      <c r="F26" s="53"/>
      <c r="G26" s="53"/>
      <c r="H26" s="53"/>
      <c r="I26" s="53"/>
      <c r="J26" s="53"/>
      <c r="K26" s="53"/>
      <c r="L26" s="53"/>
      <c r="M26" s="53"/>
      <c r="N26" s="53"/>
      <c r="O26" s="53"/>
      <c r="P26" s="53"/>
      <c r="Q26" s="53"/>
      <c r="R26" s="53"/>
      <c r="S26" s="53"/>
      <c r="T26" s="53"/>
      <c r="U26" s="53"/>
      <c r="V26" s="53"/>
      <c r="W26" s="53"/>
      <c r="X26" s="53"/>
      <c r="Y26" s="53"/>
      <c r="Z26" s="53"/>
    </row>
    <row r="27" spans="1:26" ht="15" hidden="1" customHeight="1">
      <c r="A27" s="62" t="s">
        <v>47</v>
      </c>
      <c r="B27" s="63"/>
      <c r="C27" s="64" t="s">
        <v>46</v>
      </c>
      <c r="D27" s="281">
        <f>'Proposed Rates'!G37</f>
        <v>0</v>
      </c>
      <c r="E27" s="53"/>
      <c r="F27" s="53"/>
      <c r="G27" s="53"/>
      <c r="H27" s="53"/>
      <c r="I27" s="53"/>
      <c r="J27" s="53"/>
      <c r="K27" s="53"/>
      <c r="L27" s="53"/>
      <c r="M27" s="53"/>
      <c r="N27" s="53"/>
      <c r="O27" s="53"/>
      <c r="P27" s="53"/>
      <c r="Q27" s="53"/>
      <c r="R27" s="53"/>
      <c r="S27" s="53"/>
      <c r="T27" s="53"/>
      <c r="U27" s="53"/>
      <c r="V27" s="53"/>
      <c r="W27" s="53"/>
      <c r="X27" s="53"/>
      <c r="Y27" s="53"/>
      <c r="Z27" s="53"/>
    </row>
    <row r="28" spans="1:26" ht="15" hidden="1" customHeight="1">
      <c r="A28" s="62" t="s">
        <v>48</v>
      </c>
      <c r="B28" s="63"/>
      <c r="C28" s="64" t="s">
        <v>46</v>
      </c>
      <c r="D28" s="281">
        <f>'Proposed Rates'!G142</f>
        <v>0</v>
      </c>
      <c r="E28" s="53"/>
      <c r="F28" s="53"/>
      <c r="G28" s="53"/>
      <c r="H28" s="53"/>
      <c r="I28" s="53"/>
      <c r="J28" s="53"/>
      <c r="K28" s="53"/>
      <c r="L28" s="53"/>
      <c r="M28" s="53"/>
      <c r="N28" s="53"/>
      <c r="O28" s="53"/>
      <c r="P28" s="53"/>
      <c r="Q28" s="53"/>
      <c r="R28" s="53"/>
      <c r="S28" s="53"/>
      <c r="T28" s="53"/>
      <c r="U28" s="53"/>
      <c r="V28" s="53"/>
      <c r="W28" s="53"/>
      <c r="X28" s="53"/>
      <c r="Y28" s="53"/>
      <c r="Z28" s="53"/>
    </row>
    <row r="29" spans="1:26" ht="11.25" customHeight="1">
      <c r="A29" s="62" t="s">
        <v>49</v>
      </c>
      <c r="B29" s="63"/>
      <c r="C29" s="64" t="s">
        <v>46</v>
      </c>
      <c r="D29" s="281">
        <f>'Proposed Rates'!G183</f>
        <v>1.38E-2</v>
      </c>
      <c r="E29" s="53"/>
      <c r="F29" s="53"/>
      <c r="G29" s="53"/>
      <c r="H29" s="53"/>
      <c r="I29" s="53"/>
      <c r="J29" s="53"/>
      <c r="K29" s="53"/>
      <c r="L29" s="53"/>
      <c r="M29" s="53"/>
      <c r="N29" s="53"/>
      <c r="O29" s="53"/>
      <c r="P29" s="53"/>
      <c r="Q29" s="53"/>
      <c r="R29" s="53"/>
      <c r="S29" s="53"/>
      <c r="T29" s="53"/>
      <c r="U29" s="53"/>
      <c r="V29" s="53"/>
      <c r="W29" s="53"/>
      <c r="X29" s="53"/>
      <c r="Y29" s="53"/>
      <c r="Z29" s="53"/>
    </row>
    <row r="30" spans="1:26" ht="11.25" customHeight="1">
      <c r="A30" s="62" t="s">
        <v>50</v>
      </c>
      <c r="B30" s="63"/>
      <c r="C30" s="64" t="s">
        <v>46</v>
      </c>
      <c r="D30" s="281">
        <f>'Proposed Rates'!G196</f>
        <v>7.7999999999999996E-3</v>
      </c>
      <c r="E30" s="53"/>
      <c r="F30" s="53"/>
      <c r="G30" s="53"/>
      <c r="H30" s="53"/>
      <c r="I30" s="53"/>
      <c r="J30" s="53"/>
      <c r="K30" s="53"/>
      <c r="L30" s="53"/>
      <c r="M30" s="53"/>
      <c r="N30" s="53"/>
      <c r="O30" s="53"/>
      <c r="P30" s="53"/>
      <c r="Q30" s="53"/>
      <c r="R30" s="53"/>
      <c r="S30" s="53"/>
      <c r="T30" s="53"/>
      <c r="U30" s="53"/>
      <c r="V30" s="53"/>
      <c r="W30" s="53"/>
      <c r="X30" s="53"/>
      <c r="Y30" s="53"/>
      <c r="Z30" s="53"/>
    </row>
    <row r="31" spans="1:26" ht="6.75" customHeight="1">
      <c r="A31" s="64"/>
      <c r="B31" s="64"/>
      <c r="C31" s="64"/>
      <c r="D31" s="69"/>
      <c r="E31" s="53"/>
      <c r="F31" s="53"/>
      <c r="G31" s="53"/>
      <c r="H31" s="53"/>
      <c r="I31" s="53"/>
      <c r="J31" s="53"/>
      <c r="K31" s="53"/>
      <c r="L31" s="53"/>
      <c r="M31" s="53"/>
      <c r="N31" s="53"/>
      <c r="O31" s="53"/>
      <c r="P31" s="53"/>
      <c r="Q31" s="53"/>
      <c r="R31" s="53"/>
      <c r="S31" s="53"/>
      <c r="T31" s="53"/>
      <c r="U31" s="53"/>
      <c r="V31" s="53"/>
      <c r="W31" s="53"/>
      <c r="X31" s="53"/>
      <c r="Y31" s="53"/>
      <c r="Z31" s="53"/>
    </row>
    <row r="32" spans="1:26" ht="15" customHeight="1">
      <c r="A32" s="70" t="s">
        <v>51</v>
      </c>
      <c r="B32" s="63"/>
      <c r="C32" s="64"/>
      <c r="D32" s="69"/>
      <c r="E32" s="53"/>
      <c r="F32" s="53"/>
      <c r="G32" s="53"/>
      <c r="H32" s="53"/>
      <c r="I32" s="53"/>
      <c r="J32" s="53"/>
      <c r="K32" s="53"/>
      <c r="L32" s="53"/>
      <c r="M32" s="53"/>
      <c r="N32" s="53"/>
      <c r="O32" s="53"/>
      <c r="P32" s="53"/>
      <c r="Q32" s="53"/>
      <c r="R32" s="53"/>
      <c r="S32" s="53"/>
      <c r="T32" s="53"/>
      <c r="U32" s="53"/>
      <c r="V32" s="53"/>
      <c r="W32" s="53"/>
      <c r="X32" s="53"/>
      <c r="Y32" s="53"/>
      <c r="Z32" s="53"/>
    </row>
    <row r="33" spans="1:26" ht="6.75" customHeight="1">
      <c r="A33" s="59"/>
      <c r="B33" s="64"/>
      <c r="C33" s="64"/>
      <c r="D33" s="69"/>
      <c r="E33" s="53"/>
      <c r="F33" s="53"/>
      <c r="G33" s="53"/>
      <c r="H33" s="53"/>
      <c r="I33" s="53"/>
      <c r="J33" s="53"/>
      <c r="K33" s="53"/>
      <c r="L33" s="53"/>
      <c r="M33" s="53"/>
      <c r="N33" s="53"/>
      <c r="O33" s="53"/>
      <c r="P33" s="53"/>
      <c r="Q33" s="53"/>
      <c r="R33" s="53"/>
      <c r="S33" s="53"/>
      <c r="T33" s="53"/>
      <c r="U33" s="53"/>
      <c r="V33" s="53"/>
      <c r="W33" s="53"/>
      <c r="X33" s="53"/>
      <c r="Y33" s="53"/>
      <c r="Z33" s="53"/>
    </row>
    <row r="34" spans="1:26" ht="11.25" customHeight="1">
      <c r="A34" s="62" t="s">
        <v>52</v>
      </c>
      <c r="B34" s="63"/>
      <c r="C34" s="64" t="s">
        <v>46</v>
      </c>
      <c r="D34" s="69">
        <v>4.1000000000000003E-3</v>
      </c>
      <c r="E34" s="53"/>
      <c r="F34" s="53"/>
      <c r="G34" s="53"/>
      <c r="H34" s="53"/>
      <c r="I34" s="53"/>
      <c r="J34" s="53"/>
      <c r="K34" s="53"/>
      <c r="L34" s="53"/>
      <c r="M34" s="53"/>
      <c r="N34" s="53"/>
      <c r="O34" s="53"/>
      <c r="P34" s="53"/>
      <c r="Q34" s="53"/>
      <c r="R34" s="53"/>
      <c r="S34" s="53"/>
      <c r="T34" s="53"/>
      <c r="U34" s="53"/>
      <c r="V34" s="53"/>
      <c r="W34" s="53"/>
      <c r="X34" s="53"/>
      <c r="Y34" s="53"/>
      <c r="Z34" s="53"/>
    </row>
    <row r="35" spans="1:26" ht="11.25" customHeight="1">
      <c r="A35" s="62" t="s">
        <v>53</v>
      </c>
      <c r="B35" s="63"/>
      <c r="C35" s="64" t="s">
        <v>46</v>
      </c>
      <c r="D35" s="66">
        <f>'Proposed Rates'!G209-'2026'!D34</f>
        <v>3.9999999999999931E-4</v>
      </c>
      <c r="E35" s="53"/>
      <c r="F35" s="53"/>
      <c r="G35" s="53"/>
      <c r="H35" s="53"/>
      <c r="I35" s="53"/>
      <c r="J35" s="53"/>
      <c r="K35" s="53"/>
      <c r="L35" s="53"/>
      <c r="M35" s="53"/>
      <c r="N35" s="53"/>
      <c r="O35" s="53"/>
      <c r="P35" s="53"/>
      <c r="Q35" s="53"/>
      <c r="R35" s="53"/>
      <c r="S35" s="53"/>
      <c r="T35" s="53"/>
      <c r="U35" s="53"/>
      <c r="V35" s="53"/>
      <c r="W35" s="53"/>
      <c r="X35" s="53"/>
      <c r="Y35" s="53"/>
      <c r="Z35" s="53"/>
    </row>
    <row r="36" spans="1:26" ht="11.25" customHeight="1">
      <c r="A36" s="62" t="s">
        <v>54</v>
      </c>
      <c r="B36" s="63"/>
      <c r="C36" s="64" t="s">
        <v>46</v>
      </c>
      <c r="D36" s="66">
        <f>'Proposed Rates'!G222</f>
        <v>1.5E-3</v>
      </c>
      <c r="E36" s="53"/>
      <c r="F36" s="53"/>
      <c r="G36" s="53"/>
      <c r="H36" s="53"/>
      <c r="I36" s="53"/>
      <c r="J36" s="53"/>
      <c r="K36" s="53"/>
      <c r="L36" s="53"/>
      <c r="M36" s="53"/>
      <c r="N36" s="53"/>
      <c r="O36" s="53"/>
      <c r="P36" s="53"/>
      <c r="Q36" s="53"/>
      <c r="R36" s="53"/>
      <c r="S36" s="53"/>
      <c r="T36" s="53"/>
      <c r="U36" s="53"/>
      <c r="V36" s="53"/>
      <c r="W36" s="53"/>
      <c r="X36" s="53"/>
      <c r="Y36" s="53"/>
      <c r="Z36" s="53"/>
    </row>
    <row r="37" spans="1:26" ht="11.25" customHeight="1">
      <c r="A37" s="62" t="s">
        <v>55</v>
      </c>
      <c r="B37" s="63"/>
      <c r="C37" s="64" t="s">
        <v>41</v>
      </c>
      <c r="D37" s="66">
        <f>'Proposed Rates'!G236</f>
        <v>1.54</v>
      </c>
      <c r="E37" s="53"/>
      <c r="F37" s="53"/>
      <c r="G37" s="53"/>
      <c r="H37" s="53"/>
      <c r="I37" s="53"/>
      <c r="J37" s="53"/>
      <c r="K37" s="53"/>
      <c r="L37" s="53"/>
      <c r="M37" s="53"/>
      <c r="N37" s="53"/>
      <c r="O37" s="53"/>
      <c r="P37" s="53"/>
      <c r="Q37" s="53"/>
      <c r="R37" s="53"/>
      <c r="S37" s="53"/>
      <c r="T37" s="53"/>
      <c r="U37" s="53"/>
      <c r="V37" s="53"/>
      <c r="W37" s="53"/>
      <c r="X37" s="53"/>
      <c r="Y37" s="53"/>
      <c r="Z37" s="53"/>
    </row>
    <row r="38" spans="1:26" ht="4.5" customHeight="1">
      <c r="A38" s="62"/>
      <c r="B38" s="63"/>
      <c r="C38" s="64"/>
      <c r="D38" s="69"/>
      <c r="E38" s="53"/>
      <c r="F38" s="53"/>
      <c r="G38" s="53"/>
      <c r="H38" s="53"/>
      <c r="I38" s="53"/>
      <c r="J38" s="53"/>
      <c r="K38" s="53"/>
      <c r="L38" s="53"/>
      <c r="M38" s="53"/>
      <c r="N38" s="53"/>
      <c r="O38" s="53"/>
      <c r="P38" s="53"/>
      <c r="Q38" s="53"/>
      <c r="R38" s="53"/>
      <c r="S38" s="53"/>
      <c r="T38" s="53"/>
      <c r="U38" s="53"/>
      <c r="V38" s="53"/>
      <c r="W38" s="53"/>
      <c r="X38" s="53"/>
      <c r="Y38" s="53"/>
      <c r="Z38" s="53"/>
    </row>
    <row r="39" spans="1:26" ht="23.25" customHeight="1">
      <c r="A39" s="597" t="str">
        <f>$A$1</f>
        <v>Hydro Ottawa Limited</v>
      </c>
      <c r="B39" s="595"/>
      <c r="C39" s="595"/>
      <c r="D39" s="596"/>
      <c r="E39" s="53"/>
      <c r="F39" s="53"/>
      <c r="G39" s="53"/>
      <c r="H39" s="53"/>
      <c r="I39" s="53"/>
      <c r="J39" s="53"/>
      <c r="K39" s="53"/>
      <c r="L39" s="53"/>
      <c r="M39" s="53"/>
      <c r="N39" s="53"/>
      <c r="O39" s="53"/>
      <c r="P39" s="53"/>
      <c r="Q39" s="53"/>
      <c r="R39" s="53"/>
      <c r="S39" s="53"/>
      <c r="T39" s="53"/>
      <c r="U39" s="53"/>
      <c r="V39" s="53"/>
      <c r="W39" s="53"/>
      <c r="X39" s="53"/>
      <c r="Y39" s="53"/>
      <c r="Z39" s="53"/>
    </row>
    <row r="40" spans="1:26" ht="18" customHeight="1">
      <c r="A40" s="598" t="str">
        <f>$A$2</f>
        <v>PROPOSED - TARIFF OF RATES AND CHARGES</v>
      </c>
      <c r="B40" s="595"/>
      <c r="C40" s="595"/>
      <c r="D40" s="596"/>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99" t="str">
        <f>$A$3</f>
        <v>Effective and Implementation Date January 1, 2027</v>
      </c>
      <c r="B41" s="595"/>
      <c r="C41" s="595"/>
      <c r="D41" s="596"/>
      <c r="E41" s="53"/>
      <c r="F41" s="53"/>
      <c r="G41" s="53"/>
      <c r="H41" s="53"/>
      <c r="I41" s="53"/>
      <c r="J41" s="53"/>
      <c r="K41" s="53"/>
      <c r="L41" s="53"/>
      <c r="M41" s="53"/>
      <c r="N41" s="53"/>
      <c r="O41" s="53"/>
      <c r="P41" s="53"/>
      <c r="Q41" s="53"/>
      <c r="R41" s="53"/>
      <c r="S41" s="53"/>
      <c r="T41" s="53"/>
      <c r="U41" s="53"/>
      <c r="V41" s="53"/>
      <c r="W41" s="53"/>
      <c r="X41" s="53"/>
      <c r="Y41" s="53"/>
      <c r="Z41" s="53"/>
    </row>
    <row r="42" spans="1:26" ht="11.25" customHeight="1">
      <c r="A42" s="600" t="str">
        <f>$A$4</f>
        <v>This schedule supersedes and replaces all previously</v>
      </c>
      <c r="B42" s="595"/>
      <c r="C42" s="595"/>
      <c r="D42" s="596"/>
      <c r="E42" s="53"/>
      <c r="F42" s="53"/>
      <c r="G42" s="53"/>
      <c r="H42" s="53"/>
      <c r="I42" s="53"/>
      <c r="J42" s="53"/>
      <c r="K42" s="53"/>
      <c r="L42" s="53"/>
      <c r="M42" s="53"/>
      <c r="N42" s="53"/>
      <c r="O42" s="53"/>
      <c r="P42" s="53"/>
      <c r="Q42" s="53"/>
      <c r="R42" s="53"/>
      <c r="S42" s="53"/>
      <c r="T42" s="53"/>
      <c r="U42" s="53"/>
      <c r="V42" s="53"/>
      <c r="W42" s="53"/>
      <c r="X42" s="53"/>
      <c r="Y42" s="53"/>
      <c r="Z42" s="53"/>
    </row>
    <row r="43" spans="1:26" ht="11.25" customHeight="1">
      <c r="A43" s="600" t="str">
        <f>$A$5</f>
        <v>approved schedules of Rates, Charges and Loss Factors</v>
      </c>
      <c r="B43" s="595"/>
      <c r="C43" s="595"/>
      <c r="D43" s="596"/>
      <c r="E43" s="53"/>
      <c r="F43" s="53"/>
      <c r="G43" s="53"/>
      <c r="H43" s="53"/>
      <c r="I43" s="53"/>
      <c r="J43" s="53"/>
      <c r="K43" s="53"/>
      <c r="L43" s="53"/>
      <c r="M43" s="53"/>
      <c r="N43" s="53"/>
      <c r="O43" s="53"/>
      <c r="P43" s="53"/>
      <c r="Q43" s="53"/>
      <c r="R43" s="53"/>
      <c r="S43" s="53"/>
      <c r="T43" s="53"/>
      <c r="U43" s="53"/>
      <c r="V43" s="53"/>
      <c r="W43" s="53"/>
      <c r="X43" s="53"/>
      <c r="Y43" s="53"/>
      <c r="Z43" s="53"/>
    </row>
    <row r="44" spans="1:26" ht="11.25" customHeight="1">
      <c r="A44" s="601" t="str">
        <f>$A$6</f>
        <v>EB-2024-0115</v>
      </c>
      <c r="B44" s="595"/>
      <c r="C44" s="595"/>
      <c r="D44" s="596"/>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602" t="s">
        <v>56</v>
      </c>
      <c r="B45" s="595"/>
      <c r="C45" s="595"/>
      <c r="D45" s="596"/>
      <c r="E45" s="53"/>
      <c r="F45" s="53"/>
      <c r="G45" s="53"/>
      <c r="H45" s="53"/>
      <c r="I45" s="53"/>
      <c r="J45" s="53"/>
      <c r="K45" s="53"/>
      <c r="L45" s="53"/>
      <c r="M45" s="53"/>
      <c r="N45" s="53"/>
      <c r="O45" s="53"/>
      <c r="P45" s="53"/>
      <c r="Q45" s="53"/>
      <c r="R45" s="53"/>
      <c r="S45" s="53"/>
      <c r="T45" s="53"/>
      <c r="U45" s="53"/>
      <c r="V45" s="53"/>
      <c r="W45" s="53"/>
      <c r="X45" s="53"/>
      <c r="Y45" s="53"/>
      <c r="Z45" s="53"/>
    </row>
    <row r="46" spans="1:26" ht="48" customHeight="1">
      <c r="A46" s="603" t="s">
        <v>57</v>
      </c>
      <c r="B46" s="595"/>
      <c r="C46" s="595"/>
      <c r="D46" s="596"/>
      <c r="E46" s="53"/>
      <c r="F46" s="53"/>
      <c r="G46" s="53"/>
      <c r="H46" s="53"/>
      <c r="I46" s="53"/>
      <c r="J46" s="53"/>
      <c r="K46" s="53"/>
      <c r="L46" s="53"/>
      <c r="M46" s="53"/>
      <c r="N46" s="53"/>
      <c r="O46" s="53"/>
      <c r="P46" s="53"/>
      <c r="Q46" s="53"/>
      <c r="R46" s="53"/>
      <c r="S46" s="53"/>
      <c r="T46" s="53"/>
      <c r="U46" s="53"/>
      <c r="V46" s="53"/>
      <c r="W46" s="53"/>
      <c r="X46" s="53"/>
      <c r="Y46" s="53"/>
      <c r="Z46" s="53"/>
    </row>
    <row r="47" spans="1:26" ht="6.75" customHeight="1">
      <c r="A47" s="54"/>
      <c r="B47" s="54"/>
      <c r="C47" s="54"/>
      <c r="D47" s="55"/>
      <c r="E47" s="53"/>
      <c r="F47" s="53"/>
      <c r="G47" s="53"/>
      <c r="H47" s="53"/>
      <c r="I47" s="53"/>
      <c r="J47" s="53"/>
      <c r="K47" s="53"/>
      <c r="L47" s="53"/>
      <c r="M47" s="53"/>
      <c r="N47" s="53"/>
      <c r="O47" s="53"/>
      <c r="P47" s="53"/>
      <c r="Q47" s="53"/>
      <c r="R47" s="53"/>
      <c r="S47" s="53"/>
      <c r="T47" s="53"/>
      <c r="U47" s="53"/>
      <c r="V47" s="53"/>
      <c r="W47" s="53"/>
      <c r="X47" s="53"/>
      <c r="Y47" s="53"/>
      <c r="Z47" s="53"/>
    </row>
    <row r="48" spans="1:26" ht="11.25" customHeight="1">
      <c r="A48" s="604" t="s">
        <v>34</v>
      </c>
      <c r="B48" s="595"/>
      <c r="C48" s="595"/>
      <c r="D48" s="596"/>
      <c r="E48" s="53"/>
      <c r="F48" s="53"/>
      <c r="G48" s="53"/>
      <c r="H48" s="53"/>
      <c r="I48" s="53"/>
      <c r="J48" s="53"/>
      <c r="K48" s="53"/>
      <c r="L48" s="53"/>
      <c r="M48" s="53"/>
      <c r="N48" s="53"/>
      <c r="O48" s="53"/>
      <c r="P48" s="53"/>
      <c r="Q48" s="53"/>
      <c r="R48" s="53"/>
      <c r="S48" s="53"/>
      <c r="T48" s="53"/>
      <c r="U48" s="53"/>
      <c r="V48" s="53"/>
      <c r="W48" s="53"/>
      <c r="X48" s="53"/>
      <c r="Y48" s="53"/>
      <c r="Z48" s="53"/>
    </row>
    <row r="49" spans="1:26" ht="6.75" customHeight="1">
      <c r="A49" s="56"/>
      <c r="B49" s="57"/>
      <c r="C49" s="57"/>
      <c r="D49" s="58"/>
      <c r="E49" s="53"/>
      <c r="F49" s="53"/>
      <c r="G49" s="53"/>
      <c r="H49" s="53"/>
      <c r="I49" s="53"/>
      <c r="J49" s="53"/>
      <c r="K49" s="53"/>
      <c r="L49" s="53"/>
      <c r="M49" s="53"/>
      <c r="N49" s="53"/>
      <c r="O49" s="53"/>
      <c r="P49" s="53"/>
      <c r="Q49" s="53"/>
      <c r="R49" s="53"/>
      <c r="S49" s="53"/>
      <c r="T49" s="53"/>
      <c r="U49" s="53"/>
      <c r="V49" s="53"/>
      <c r="W49" s="53"/>
      <c r="X49" s="53"/>
      <c r="Y49" s="53"/>
      <c r="Z49" s="53"/>
    </row>
    <row r="50" spans="1:26" ht="36" customHeight="1">
      <c r="A50" s="603" t="s">
        <v>35</v>
      </c>
      <c r="B50" s="595"/>
      <c r="C50" s="595"/>
      <c r="D50" s="596"/>
      <c r="E50" s="53"/>
      <c r="F50" s="53"/>
      <c r="G50" s="53"/>
      <c r="H50" s="53"/>
      <c r="I50" s="53"/>
      <c r="J50" s="53"/>
      <c r="K50" s="53"/>
      <c r="L50" s="53"/>
      <c r="M50" s="53"/>
      <c r="N50" s="53"/>
      <c r="O50" s="53"/>
      <c r="P50" s="53"/>
      <c r="Q50" s="53"/>
      <c r="R50" s="53"/>
      <c r="S50" s="53"/>
      <c r="T50" s="53"/>
      <c r="U50" s="53"/>
      <c r="V50" s="53"/>
      <c r="W50" s="53"/>
      <c r="X50" s="53"/>
      <c r="Y50" s="53"/>
      <c r="Z50" s="53"/>
    </row>
    <row r="51" spans="1:26" ht="6.75" customHeight="1">
      <c r="A51" s="54"/>
      <c r="B51" s="54"/>
      <c r="C51" s="54"/>
      <c r="D51" s="55"/>
      <c r="E51" s="53"/>
      <c r="F51" s="53"/>
      <c r="G51" s="53"/>
      <c r="H51" s="53"/>
      <c r="I51" s="53"/>
      <c r="J51" s="53"/>
      <c r="K51" s="53"/>
      <c r="L51" s="53"/>
      <c r="M51" s="53"/>
      <c r="N51" s="53"/>
      <c r="O51" s="53"/>
      <c r="P51" s="53"/>
      <c r="Q51" s="53"/>
      <c r="R51" s="53"/>
      <c r="S51" s="53"/>
      <c r="T51" s="53"/>
      <c r="U51" s="53"/>
      <c r="V51" s="53"/>
      <c r="W51" s="53"/>
      <c r="X51" s="53"/>
      <c r="Y51" s="53"/>
      <c r="Z51" s="53"/>
    </row>
    <row r="52" spans="1:26" ht="48" customHeight="1">
      <c r="A52" s="603" t="s">
        <v>36</v>
      </c>
      <c r="B52" s="595"/>
      <c r="C52" s="595"/>
      <c r="D52" s="596"/>
      <c r="E52" s="53"/>
      <c r="F52" s="53"/>
      <c r="G52" s="53"/>
      <c r="H52" s="53"/>
      <c r="I52" s="53"/>
      <c r="J52" s="53"/>
      <c r="K52" s="53"/>
      <c r="L52" s="53"/>
      <c r="M52" s="53"/>
      <c r="N52" s="53"/>
      <c r="O52" s="53"/>
      <c r="P52" s="53"/>
      <c r="Q52" s="53"/>
      <c r="R52" s="53"/>
      <c r="S52" s="53"/>
      <c r="T52" s="53"/>
      <c r="U52" s="53"/>
      <c r="V52" s="53"/>
      <c r="W52" s="53"/>
      <c r="X52" s="53"/>
      <c r="Y52" s="53"/>
      <c r="Z52" s="53"/>
    </row>
    <row r="53" spans="1:26" ht="6.75" customHeight="1">
      <c r="A53" s="54"/>
      <c r="B53" s="54"/>
      <c r="C53" s="54"/>
      <c r="D53" s="55"/>
      <c r="E53" s="53"/>
      <c r="F53" s="53"/>
      <c r="G53" s="53"/>
      <c r="H53" s="53"/>
      <c r="I53" s="53"/>
      <c r="J53" s="53"/>
      <c r="K53" s="53"/>
      <c r="L53" s="53"/>
      <c r="M53" s="53"/>
      <c r="N53" s="53"/>
      <c r="O53" s="53"/>
      <c r="P53" s="53"/>
      <c r="Q53" s="53"/>
      <c r="R53" s="53"/>
      <c r="S53" s="53"/>
      <c r="T53" s="53"/>
      <c r="U53" s="53"/>
      <c r="V53" s="53"/>
      <c r="W53" s="53"/>
      <c r="X53" s="53"/>
      <c r="Y53" s="53"/>
      <c r="Z53" s="53"/>
    </row>
    <row r="54" spans="1:26" ht="48" customHeight="1">
      <c r="A54" s="603" t="s">
        <v>37</v>
      </c>
      <c r="B54" s="595"/>
      <c r="C54" s="595"/>
      <c r="D54" s="596"/>
      <c r="E54" s="53"/>
      <c r="F54" s="53"/>
      <c r="G54" s="53"/>
      <c r="H54" s="53"/>
      <c r="I54" s="53"/>
      <c r="J54" s="53"/>
      <c r="K54" s="53"/>
      <c r="L54" s="53"/>
      <c r="M54" s="53"/>
      <c r="N54" s="53"/>
      <c r="O54" s="53"/>
      <c r="P54" s="53"/>
      <c r="Q54" s="53"/>
      <c r="R54" s="53"/>
      <c r="S54" s="53"/>
      <c r="T54" s="53"/>
      <c r="U54" s="53"/>
      <c r="V54" s="53"/>
      <c r="W54" s="53"/>
      <c r="X54" s="53"/>
      <c r="Y54" s="53"/>
      <c r="Z54" s="53"/>
    </row>
    <row r="55" spans="1:26" ht="6.75" customHeight="1">
      <c r="A55" s="54"/>
      <c r="B55" s="54"/>
      <c r="C55" s="54"/>
      <c r="D55" s="55"/>
      <c r="E55" s="53"/>
      <c r="F55" s="53"/>
      <c r="G55" s="53"/>
      <c r="H55" s="53"/>
      <c r="I55" s="53"/>
      <c r="J55" s="53"/>
      <c r="K55" s="53"/>
      <c r="L55" s="53"/>
      <c r="M55" s="53"/>
      <c r="N55" s="53"/>
      <c r="O55" s="53"/>
      <c r="P55" s="53"/>
      <c r="Q55" s="53"/>
      <c r="R55" s="53"/>
      <c r="S55" s="53"/>
      <c r="T55" s="53"/>
      <c r="U55" s="53"/>
      <c r="V55" s="53"/>
      <c r="W55" s="53"/>
      <c r="X55" s="53"/>
      <c r="Y55" s="53"/>
      <c r="Z55" s="53"/>
    </row>
    <row r="56" spans="1:26" ht="36" customHeight="1">
      <c r="A56" s="603" t="s">
        <v>58</v>
      </c>
      <c r="B56" s="595"/>
      <c r="C56" s="595"/>
      <c r="D56" s="596"/>
      <c r="E56" s="53"/>
      <c r="F56" s="53"/>
      <c r="G56" s="53"/>
      <c r="H56" s="53"/>
      <c r="I56" s="53"/>
      <c r="J56" s="53"/>
      <c r="K56" s="53"/>
      <c r="L56" s="53"/>
      <c r="M56" s="53"/>
      <c r="N56" s="53"/>
      <c r="O56" s="53"/>
      <c r="P56" s="53"/>
      <c r="Q56" s="53"/>
      <c r="R56" s="53"/>
      <c r="S56" s="53"/>
      <c r="T56" s="53"/>
      <c r="U56" s="53"/>
      <c r="V56" s="53"/>
      <c r="W56" s="53"/>
      <c r="X56" s="53"/>
      <c r="Y56" s="53"/>
      <c r="Z56" s="53"/>
    </row>
    <row r="57" spans="1:26" ht="6.75" customHeight="1">
      <c r="A57" s="54"/>
      <c r="B57" s="54"/>
      <c r="C57" s="54"/>
      <c r="D57" s="55"/>
      <c r="E57" s="53"/>
      <c r="F57" s="53"/>
      <c r="G57" s="53"/>
      <c r="H57" s="53"/>
      <c r="I57" s="53"/>
      <c r="J57" s="53"/>
      <c r="K57" s="53"/>
      <c r="L57" s="53"/>
      <c r="M57" s="53"/>
      <c r="N57" s="53"/>
      <c r="O57" s="53"/>
      <c r="P57" s="53"/>
      <c r="Q57" s="53"/>
      <c r="R57" s="53"/>
      <c r="S57" s="53"/>
      <c r="T57" s="53"/>
      <c r="U57" s="53"/>
      <c r="V57" s="53"/>
      <c r="W57" s="53"/>
      <c r="X57" s="53"/>
      <c r="Y57" s="53"/>
      <c r="Z57" s="53"/>
    </row>
    <row r="58" spans="1:26" ht="15" customHeight="1">
      <c r="A58" s="594" t="s">
        <v>39</v>
      </c>
      <c r="B58" s="595"/>
      <c r="C58" s="595"/>
      <c r="D58" s="596"/>
      <c r="E58" s="53"/>
      <c r="F58" s="53"/>
      <c r="G58" s="53"/>
      <c r="H58" s="53"/>
      <c r="I58" s="53"/>
      <c r="J58" s="53"/>
      <c r="K58" s="53"/>
      <c r="L58" s="53"/>
      <c r="M58" s="53"/>
      <c r="N58" s="53"/>
      <c r="O58" s="53"/>
      <c r="P58" s="53"/>
      <c r="Q58" s="53"/>
      <c r="R58" s="53"/>
      <c r="S58" s="53"/>
      <c r="T58" s="53"/>
      <c r="U58" s="53"/>
      <c r="V58" s="53"/>
      <c r="W58" s="53"/>
      <c r="X58" s="53"/>
      <c r="Y58" s="53"/>
      <c r="Z58" s="53"/>
    </row>
    <row r="59" spans="1:26" ht="6.75" customHeight="1">
      <c r="A59" s="59"/>
      <c r="B59" s="60"/>
      <c r="C59" s="60"/>
      <c r="D59" s="61"/>
      <c r="E59" s="53"/>
      <c r="F59" s="53"/>
      <c r="G59" s="53"/>
      <c r="H59" s="53"/>
      <c r="I59" s="53"/>
      <c r="J59" s="53"/>
      <c r="K59" s="53"/>
      <c r="L59" s="53"/>
      <c r="M59" s="53"/>
      <c r="N59" s="53"/>
      <c r="O59" s="53"/>
      <c r="P59" s="53"/>
      <c r="Q59" s="53"/>
      <c r="R59" s="53"/>
      <c r="S59" s="53"/>
      <c r="T59" s="53"/>
      <c r="U59" s="53"/>
      <c r="V59" s="53"/>
      <c r="W59" s="53"/>
      <c r="X59" s="53"/>
      <c r="Y59" s="53"/>
      <c r="Z59" s="53"/>
    </row>
    <row r="60" spans="1:26" ht="12" customHeight="1">
      <c r="A60" s="62" t="s">
        <v>40</v>
      </c>
      <c r="B60" s="63"/>
      <c r="C60" s="64" t="s">
        <v>41</v>
      </c>
      <c r="D60" s="280">
        <f>'Proposed Rates'!G9</f>
        <v>30.2</v>
      </c>
      <c r="E60" s="53"/>
      <c r="F60" s="53"/>
      <c r="G60" s="53"/>
      <c r="H60" s="53"/>
      <c r="I60" s="53"/>
      <c r="J60" s="53"/>
      <c r="K60" s="53"/>
      <c r="L60" s="53"/>
      <c r="M60" s="53"/>
      <c r="N60" s="53"/>
      <c r="O60" s="53"/>
      <c r="P60" s="53"/>
      <c r="Q60" s="53"/>
      <c r="R60" s="53"/>
      <c r="S60" s="53"/>
      <c r="T60" s="53"/>
      <c r="U60" s="53"/>
      <c r="V60" s="53"/>
      <c r="W60" s="53"/>
      <c r="X60" s="53"/>
      <c r="Y60" s="53"/>
      <c r="Z60" s="53"/>
    </row>
    <row r="61" spans="1:26" ht="12" customHeight="1">
      <c r="A61" s="62" t="s">
        <v>44</v>
      </c>
      <c r="B61" s="63"/>
      <c r="C61" s="64" t="s">
        <v>41</v>
      </c>
      <c r="D61" s="282">
        <f>'Proposed Rates'!G274</f>
        <v>0.42</v>
      </c>
      <c r="E61" s="53"/>
      <c r="F61" s="53"/>
      <c r="G61" s="53"/>
      <c r="H61" s="53"/>
      <c r="I61" s="53"/>
      <c r="J61" s="53"/>
      <c r="K61" s="53"/>
      <c r="L61" s="53"/>
      <c r="M61" s="53"/>
      <c r="N61" s="53"/>
      <c r="O61" s="53"/>
      <c r="P61" s="53"/>
      <c r="Q61" s="53"/>
      <c r="R61" s="53"/>
      <c r="S61" s="53"/>
      <c r="T61" s="53"/>
      <c r="U61" s="53"/>
      <c r="V61" s="53"/>
      <c r="W61" s="53"/>
      <c r="X61" s="53"/>
      <c r="Y61" s="53"/>
      <c r="Z61" s="53"/>
    </row>
    <row r="62" spans="1:26" ht="12" customHeight="1">
      <c r="A62" s="62" t="s">
        <v>59</v>
      </c>
      <c r="B62" s="63"/>
      <c r="C62" s="64" t="s">
        <v>46</v>
      </c>
      <c r="D62" s="281">
        <f>'Proposed Rates'!G22</f>
        <v>3.9100000000000003E-2</v>
      </c>
      <c r="E62" s="53"/>
      <c r="F62" s="53"/>
      <c r="G62" s="53"/>
      <c r="H62" s="53"/>
      <c r="I62" s="53"/>
      <c r="J62" s="53"/>
      <c r="K62" s="53"/>
      <c r="L62" s="53"/>
      <c r="M62" s="53"/>
      <c r="N62" s="53"/>
      <c r="O62" s="53"/>
      <c r="P62" s="53"/>
      <c r="Q62" s="53"/>
      <c r="R62" s="53"/>
      <c r="S62" s="53"/>
      <c r="T62" s="53"/>
      <c r="U62" s="53"/>
      <c r="V62" s="53"/>
      <c r="W62" s="53"/>
      <c r="X62" s="53"/>
      <c r="Y62" s="53"/>
      <c r="Z62" s="53"/>
    </row>
    <row r="63" spans="1:26" ht="12" customHeight="1">
      <c r="A63" s="62" t="s">
        <v>45</v>
      </c>
      <c r="B63" s="63"/>
      <c r="C63" s="64" t="s">
        <v>46</v>
      </c>
      <c r="D63" s="283">
        <f>'Proposed Rates'!G261</f>
        <v>6.0000000000000002E-5</v>
      </c>
      <c r="E63" s="53"/>
      <c r="F63" s="53"/>
      <c r="G63" s="53"/>
      <c r="H63" s="53"/>
      <c r="I63" s="53"/>
      <c r="J63" s="53"/>
      <c r="K63" s="53"/>
      <c r="L63" s="53"/>
      <c r="M63" s="53"/>
      <c r="N63" s="53"/>
      <c r="O63" s="53"/>
      <c r="P63" s="53"/>
      <c r="Q63" s="53"/>
      <c r="R63" s="53"/>
      <c r="S63" s="53"/>
      <c r="T63" s="53"/>
      <c r="U63" s="53"/>
      <c r="V63" s="53"/>
      <c r="W63" s="53"/>
      <c r="X63" s="53"/>
      <c r="Y63" s="53"/>
      <c r="Z63" s="53"/>
    </row>
    <row r="64" spans="1:26" ht="15" hidden="1" customHeight="1">
      <c r="A64" s="62" t="s">
        <v>47</v>
      </c>
      <c r="B64" s="63"/>
      <c r="C64" s="64" t="s">
        <v>46</v>
      </c>
      <c r="D64" s="281">
        <f>'Proposed Rates'!G38</f>
        <v>0</v>
      </c>
      <c r="E64" s="53"/>
      <c r="F64" s="53"/>
      <c r="G64" s="53"/>
      <c r="H64" s="53"/>
      <c r="I64" s="53"/>
      <c r="J64" s="53"/>
      <c r="K64" s="53"/>
      <c r="L64" s="53"/>
      <c r="M64" s="53"/>
      <c r="N64" s="53"/>
      <c r="O64" s="53"/>
      <c r="P64" s="53"/>
      <c r="Q64" s="53"/>
      <c r="R64" s="53"/>
      <c r="S64" s="53"/>
      <c r="T64" s="53"/>
      <c r="U64" s="53"/>
      <c r="V64" s="53"/>
      <c r="W64" s="53"/>
      <c r="X64" s="53"/>
      <c r="Y64" s="53"/>
      <c r="Z64" s="53"/>
    </row>
    <row r="65" spans="1:26" ht="15" hidden="1" customHeight="1">
      <c r="A65" s="62" t="s">
        <v>43</v>
      </c>
      <c r="B65" s="63"/>
      <c r="C65" s="64" t="s">
        <v>46</v>
      </c>
      <c r="D65" s="281">
        <f>'Proposed Rates'!G65</f>
        <v>0</v>
      </c>
      <c r="E65" s="53"/>
      <c r="F65" s="53"/>
      <c r="G65" s="53"/>
      <c r="H65" s="53"/>
      <c r="I65" s="53"/>
      <c r="J65" s="53"/>
      <c r="K65" s="53"/>
      <c r="L65" s="53"/>
      <c r="M65" s="53"/>
      <c r="N65" s="53"/>
      <c r="O65" s="53"/>
      <c r="P65" s="53"/>
      <c r="Q65" s="53"/>
      <c r="R65" s="53"/>
      <c r="S65" s="53"/>
      <c r="T65" s="53"/>
      <c r="U65" s="53"/>
      <c r="V65" s="53"/>
      <c r="W65" s="53"/>
      <c r="X65" s="53"/>
      <c r="Y65" s="53"/>
      <c r="Z65" s="53"/>
    </row>
    <row r="66" spans="1:26" ht="15" hidden="1" customHeight="1">
      <c r="A66" s="62" t="s">
        <v>48</v>
      </c>
      <c r="B66" s="63"/>
      <c r="C66" s="64" t="s">
        <v>46</v>
      </c>
      <c r="D66" s="281">
        <f>'Proposed Rates'!G143</f>
        <v>0</v>
      </c>
      <c r="E66" s="53"/>
      <c r="F66" s="53"/>
      <c r="G66" s="53"/>
      <c r="H66" s="53"/>
      <c r="I66" s="53"/>
      <c r="J66" s="53"/>
      <c r="K66" s="53"/>
      <c r="L66" s="53"/>
      <c r="M66" s="53"/>
      <c r="N66" s="53"/>
      <c r="O66" s="53"/>
      <c r="P66" s="53"/>
      <c r="Q66" s="53"/>
      <c r="R66" s="53"/>
      <c r="S66" s="53"/>
      <c r="T66" s="53"/>
      <c r="U66" s="53"/>
      <c r="V66" s="53"/>
      <c r="W66" s="53"/>
      <c r="X66" s="53"/>
      <c r="Y66" s="53"/>
      <c r="Z66" s="53"/>
    </row>
    <row r="67" spans="1:26" ht="12" customHeight="1">
      <c r="A67" s="62" t="s">
        <v>49</v>
      </c>
      <c r="B67" s="63"/>
      <c r="C67" s="64" t="s">
        <v>46</v>
      </c>
      <c r="D67" s="281">
        <f>'Proposed Rates'!G184</f>
        <v>1.0699999999999999E-2</v>
      </c>
      <c r="E67" s="53"/>
      <c r="F67" s="53"/>
      <c r="G67" s="53"/>
      <c r="H67" s="53"/>
      <c r="I67" s="53"/>
      <c r="J67" s="53"/>
      <c r="K67" s="53"/>
      <c r="L67" s="53"/>
      <c r="M67" s="53"/>
      <c r="N67" s="53"/>
      <c r="O67" s="53"/>
      <c r="P67" s="53"/>
      <c r="Q67" s="53"/>
      <c r="R67" s="53"/>
      <c r="S67" s="53"/>
      <c r="T67" s="53"/>
      <c r="U67" s="53"/>
      <c r="V67" s="53"/>
      <c r="W67" s="53"/>
      <c r="X67" s="53"/>
      <c r="Y67" s="53"/>
      <c r="Z67" s="53"/>
    </row>
    <row r="68" spans="1:26" ht="12" customHeight="1">
      <c r="A68" s="62" t="s">
        <v>50</v>
      </c>
      <c r="B68" s="64"/>
      <c r="C68" s="64" t="s">
        <v>46</v>
      </c>
      <c r="D68" s="281">
        <f>'Proposed Rates'!G197</f>
        <v>6.1000000000000004E-3</v>
      </c>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64"/>
      <c r="B69" s="63"/>
      <c r="C69" s="64"/>
      <c r="D69" s="284"/>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70" t="s">
        <v>51</v>
      </c>
      <c r="B70" s="64"/>
      <c r="C70" s="64"/>
      <c r="D70" s="284"/>
      <c r="E70" s="53"/>
      <c r="F70" s="53"/>
      <c r="G70" s="53"/>
      <c r="H70" s="53"/>
      <c r="I70" s="53"/>
      <c r="J70" s="53"/>
      <c r="K70" s="53"/>
      <c r="L70" s="53"/>
      <c r="M70" s="53"/>
      <c r="N70" s="53"/>
      <c r="O70" s="53"/>
      <c r="P70" s="53"/>
      <c r="Q70" s="53"/>
      <c r="R70" s="53"/>
      <c r="S70" s="53"/>
      <c r="T70" s="53"/>
      <c r="U70" s="53"/>
      <c r="V70" s="53"/>
      <c r="W70" s="53"/>
      <c r="X70" s="53"/>
      <c r="Y70" s="53"/>
      <c r="Z70" s="53"/>
    </row>
    <row r="71" spans="1:26" ht="11.25" customHeight="1">
      <c r="A71" s="59"/>
      <c r="B71" s="63"/>
      <c r="C71" s="64"/>
      <c r="D71" s="284"/>
      <c r="E71" s="53"/>
      <c r="F71" s="53"/>
      <c r="G71" s="53"/>
      <c r="H71" s="53"/>
      <c r="I71" s="53"/>
      <c r="J71" s="53"/>
      <c r="K71" s="53"/>
      <c r="L71" s="53"/>
      <c r="M71" s="53"/>
      <c r="N71" s="53"/>
      <c r="O71" s="53"/>
      <c r="P71" s="53"/>
      <c r="Q71" s="53"/>
      <c r="R71" s="53"/>
      <c r="S71" s="53"/>
      <c r="T71" s="53"/>
      <c r="U71" s="53"/>
      <c r="V71" s="53"/>
      <c r="W71" s="53"/>
      <c r="X71" s="53"/>
      <c r="Y71" s="53"/>
      <c r="Z71" s="53"/>
    </row>
    <row r="72" spans="1:26" ht="12" customHeight="1">
      <c r="A72" s="62" t="s">
        <v>52</v>
      </c>
      <c r="B72" s="63"/>
      <c r="C72" s="64" t="s">
        <v>46</v>
      </c>
      <c r="D72" s="284">
        <f>$D$34</f>
        <v>4.1000000000000003E-3</v>
      </c>
      <c r="E72" s="53"/>
      <c r="F72" s="53"/>
      <c r="G72" s="53"/>
      <c r="H72" s="53"/>
      <c r="I72" s="53"/>
      <c r="J72" s="53"/>
      <c r="K72" s="53"/>
      <c r="L72" s="53"/>
      <c r="M72" s="53"/>
      <c r="N72" s="53"/>
      <c r="O72" s="53"/>
      <c r="P72" s="53"/>
      <c r="Q72" s="53"/>
      <c r="R72" s="53"/>
      <c r="S72" s="53"/>
      <c r="T72" s="53"/>
      <c r="U72" s="53"/>
      <c r="V72" s="53"/>
      <c r="W72" s="53"/>
      <c r="X72" s="53"/>
      <c r="Y72" s="53"/>
      <c r="Z72" s="53"/>
    </row>
    <row r="73" spans="1:26" ht="12" customHeight="1">
      <c r="A73" s="62" t="s">
        <v>53</v>
      </c>
      <c r="B73" s="63"/>
      <c r="C73" s="64" t="s">
        <v>46</v>
      </c>
      <c r="D73" s="281">
        <f>'Proposed Rates'!G210-'2026'!D73</f>
        <v>3.9999999999999931E-4</v>
      </c>
      <c r="E73" s="53"/>
      <c r="F73" s="53"/>
      <c r="G73" s="53"/>
      <c r="H73" s="53"/>
      <c r="I73" s="53"/>
      <c r="J73" s="53"/>
      <c r="K73" s="53"/>
      <c r="L73" s="53"/>
      <c r="M73" s="53"/>
      <c r="N73" s="53"/>
      <c r="O73" s="53"/>
      <c r="P73" s="53"/>
      <c r="Q73" s="53"/>
      <c r="R73" s="53"/>
      <c r="S73" s="53"/>
      <c r="T73" s="53"/>
      <c r="U73" s="53"/>
      <c r="V73" s="53"/>
      <c r="W73" s="53"/>
      <c r="X73" s="53"/>
      <c r="Y73" s="53"/>
      <c r="Z73" s="53"/>
    </row>
    <row r="74" spans="1:26" ht="12" customHeight="1">
      <c r="A74" s="62" t="s">
        <v>54</v>
      </c>
      <c r="B74" s="63"/>
      <c r="C74" s="64" t="s">
        <v>46</v>
      </c>
      <c r="D74" s="281">
        <f>'Proposed Rates'!G223</f>
        <v>1.5E-3</v>
      </c>
      <c r="E74" s="53"/>
      <c r="F74" s="53"/>
      <c r="G74" s="53"/>
      <c r="H74" s="53"/>
      <c r="I74" s="53"/>
      <c r="J74" s="53"/>
      <c r="K74" s="53"/>
      <c r="L74" s="53"/>
      <c r="M74" s="53"/>
      <c r="N74" s="53"/>
      <c r="O74" s="53"/>
      <c r="P74" s="53"/>
      <c r="Q74" s="53"/>
      <c r="R74" s="53"/>
      <c r="S74" s="53"/>
      <c r="T74" s="53"/>
      <c r="U74" s="53"/>
      <c r="V74" s="53"/>
      <c r="W74" s="53"/>
      <c r="X74" s="53"/>
      <c r="Y74" s="53"/>
      <c r="Z74" s="53"/>
    </row>
    <row r="75" spans="1:26" ht="12" customHeight="1">
      <c r="A75" s="62" t="s">
        <v>55</v>
      </c>
      <c r="B75" s="63"/>
      <c r="C75" s="64" t="s">
        <v>41</v>
      </c>
      <c r="D75" s="281">
        <f>'Proposed Rates'!G237</f>
        <v>1.54</v>
      </c>
      <c r="E75" s="71"/>
      <c r="F75" s="71"/>
      <c r="G75" s="71"/>
      <c r="H75" s="71"/>
      <c r="I75" s="71"/>
      <c r="J75" s="71"/>
      <c r="K75" s="71"/>
      <c r="L75" s="71"/>
      <c r="M75" s="71"/>
      <c r="N75" s="71"/>
      <c r="O75" s="71"/>
      <c r="P75" s="71"/>
      <c r="Q75" s="71"/>
      <c r="R75" s="71"/>
      <c r="S75" s="71"/>
      <c r="T75" s="71"/>
      <c r="U75" s="71"/>
      <c r="V75" s="71"/>
      <c r="W75" s="71"/>
      <c r="X75" s="71"/>
      <c r="Y75" s="71"/>
      <c r="Z75" s="71"/>
    </row>
    <row r="76" spans="1:26" ht="9" customHeight="1">
      <c r="A76" s="76"/>
      <c r="B76" s="63"/>
      <c r="C76" s="77"/>
      <c r="D76" s="284"/>
      <c r="E76" s="285"/>
      <c r="F76" s="285"/>
      <c r="G76" s="285"/>
      <c r="H76" s="285"/>
      <c r="I76" s="285"/>
      <c r="J76" s="285"/>
      <c r="K76" s="285"/>
      <c r="L76" s="285"/>
      <c r="M76" s="285"/>
      <c r="N76" s="285"/>
      <c r="O76" s="285"/>
      <c r="P76" s="285"/>
      <c r="Q76" s="285"/>
      <c r="R76" s="285"/>
      <c r="S76" s="285"/>
      <c r="T76" s="285"/>
      <c r="U76" s="285"/>
      <c r="V76" s="285"/>
      <c r="W76" s="285"/>
      <c r="X76" s="285"/>
      <c r="Y76" s="285"/>
      <c r="Z76" s="285"/>
    </row>
    <row r="77" spans="1:26" ht="23.25" customHeight="1">
      <c r="A77" s="597" t="str">
        <f>$A$1</f>
        <v>Hydro Ottawa Limited</v>
      </c>
      <c r="B77" s="595"/>
      <c r="C77" s="595"/>
      <c r="D77" s="596"/>
      <c r="E77" s="53"/>
      <c r="F77" s="53"/>
      <c r="G77" s="53"/>
      <c r="H77" s="53"/>
      <c r="I77" s="53"/>
      <c r="J77" s="53"/>
      <c r="K77" s="53"/>
      <c r="L77" s="53"/>
      <c r="M77" s="53"/>
      <c r="N77" s="53"/>
      <c r="O77" s="53"/>
      <c r="P77" s="53"/>
      <c r="Q77" s="53"/>
      <c r="R77" s="53"/>
      <c r="S77" s="53"/>
      <c r="T77" s="53"/>
      <c r="U77" s="53"/>
      <c r="V77" s="53"/>
      <c r="W77" s="53"/>
      <c r="X77" s="53"/>
      <c r="Y77" s="53"/>
      <c r="Z77" s="53"/>
    </row>
    <row r="78" spans="1:26" ht="18" customHeight="1">
      <c r="A78" s="598" t="str">
        <f>$A$2</f>
        <v>PROPOSED - TARIFF OF RATES AND CHARGES</v>
      </c>
      <c r="B78" s="595"/>
      <c r="C78" s="595"/>
      <c r="D78" s="596"/>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99" t="str">
        <f>$A$3</f>
        <v>Effective and Implementation Date January 1, 2027</v>
      </c>
      <c r="B79" s="595"/>
      <c r="C79" s="595"/>
      <c r="D79" s="596"/>
      <c r="E79" s="53"/>
      <c r="F79" s="53"/>
      <c r="G79" s="53"/>
      <c r="H79" s="53"/>
      <c r="I79" s="53"/>
      <c r="J79" s="53"/>
      <c r="K79" s="53"/>
      <c r="L79" s="53"/>
      <c r="M79" s="53"/>
      <c r="N79" s="53"/>
      <c r="O79" s="53"/>
      <c r="P79" s="53"/>
      <c r="Q79" s="53"/>
      <c r="R79" s="53"/>
      <c r="S79" s="53"/>
      <c r="T79" s="53"/>
      <c r="U79" s="53"/>
      <c r="V79" s="53"/>
      <c r="W79" s="53"/>
      <c r="X79" s="53"/>
      <c r="Y79" s="53"/>
      <c r="Z79" s="53"/>
    </row>
    <row r="80" spans="1:26" ht="11.25" customHeight="1">
      <c r="A80" s="600" t="str">
        <f>$A$4</f>
        <v>This schedule supersedes and replaces all previously</v>
      </c>
      <c r="B80" s="595"/>
      <c r="C80" s="595"/>
      <c r="D80" s="596"/>
      <c r="E80" s="53"/>
      <c r="F80" s="53"/>
      <c r="G80" s="53"/>
      <c r="H80" s="53"/>
      <c r="I80" s="53"/>
      <c r="J80" s="53"/>
      <c r="K80" s="53"/>
      <c r="L80" s="53"/>
      <c r="M80" s="53"/>
      <c r="N80" s="53"/>
      <c r="O80" s="53"/>
      <c r="P80" s="53"/>
      <c r="Q80" s="53"/>
      <c r="R80" s="53"/>
      <c r="S80" s="53"/>
      <c r="T80" s="53"/>
      <c r="U80" s="53"/>
      <c r="V80" s="53"/>
      <c r="W80" s="53"/>
      <c r="X80" s="53"/>
      <c r="Y80" s="53"/>
      <c r="Z80" s="53"/>
    </row>
    <row r="81" spans="1:26" ht="11.25" customHeight="1">
      <c r="A81" s="600" t="str">
        <f>$A$5</f>
        <v>approved schedules of Rates, Charges and Loss Factors</v>
      </c>
      <c r="B81" s="595"/>
      <c r="C81" s="595"/>
      <c r="D81" s="596"/>
      <c r="E81" s="53"/>
      <c r="F81" s="53"/>
      <c r="G81" s="53"/>
      <c r="H81" s="53"/>
      <c r="I81" s="53"/>
      <c r="J81" s="53"/>
      <c r="K81" s="53"/>
      <c r="L81" s="53"/>
      <c r="M81" s="53"/>
      <c r="N81" s="53"/>
      <c r="O81" s="53"/>
      <c r="P81" s="53"/>
      <c r="Q81" s="53"/>
      <c r="R81" s="53"/>
      <c r="S81" s="53"/>
      <c r="T81" s="53"/>
      <c r="U81" s="53"/>
      <c r="V81" s="53"/>
      <c r="W81" s="53"/>
      <c r="X81" s="53"/>
      <c r="Y81" s="53"/>
      <c r="Z81" s="53"/>
    </row>
    <row r="82" spans="1:26" ht="11.25" customHeight="1">
      <c r="A82" s="601" t="str">
        <f>$A$6</f>
        <v>EB-2024-0115</v>
      </c>
      <c r="B82" s="595"/>
      <c r="C82" s="595"/>
      <c r="D82" s="596"/>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602" t="s">
        <v>61</v>
      </c>
      <c r="B83" s="595"/>
      <c r="C83" s="595"/>
      <c r="D83" s="596"/>
      <c r="E83" s="71"/>
      <c r="F83" s="71"/>
      <c r="G83" s="71"/>
      <c r="H83" s="71"/>
      <c r="I83" s="71"/>
      <c r="J83" s="71"/>
      <c r="K83" s="71"/>
      <c r="L83" s="71"/>
      <c r="M83" s="71"/>
      <c r="N83" s="71"/>
      <c r="O83" s="71"/>
      <c r="P83" s="71"/>
      <c r="Q83" s="71"/>
      <c r="R83" s="71"/>
      <c r="S83" s="71"/>
      <c r="T83" s="71"/>
      <c r="U83" s="71"/>
      <c r="V83" s="71"/>
      <c r="W83" s="71"/>
      <c r="X83" s="71"/>
      <c r="Y83" s="71"/>
      <c r="Z83" s="71"/>
    </row>
    <row r="84" spans="1:26" ht="48" customHeight="1">
      <c r="A84" s="603" t="s">
        <v>62</v>
      </c>
      <c r="B84" s="595"/>
      <c r="C84" s="595"/>
      <c r="D84" s="596"/>
      <c r="E84" s="53"/>
      <c r="F84" s="53"/>
      <c r="G84" s="53"/>
      <c r="H84" s="53"/>
      <c r="I84" s="53"/>
      <c r="J84" s="53"/>
      <c r="K84" s="53"/>
      <c r="L84" s="53"/>
      <c r="M84" s="53"/>
      <c r="N84" s="53"/>
      <c r="O84" s="53"/>
      <c r="P84" s="53"/>
      <c r="Q84" s="53"/>
      <c r="R84" s="53"/>
      <c r="S84" s="53"/>
      <c r="T84" s="53"/>
      <c r="U84" s="53"/>
      <c r="V84" s="53"/>
      <c r="W84" s="53"/>
      <c r="X84" s="53"/>
      <c r="Y84" s="53"/>
      <c r="Z84" s="53"/>
    </row>
    <row r="85" spans="1:26" ht="6.75" customHeight="1">
      <c r="A85" s="54"/>
      <c r="B85" s="54"/>
      <c r="C85" s="54"/>
      <c r="D85" s="55"/>
      <c r="E85" s="53"/>
      <c r="F85" s="53"/>
      <c r="G85" s="53"/>
      <c r="H85" s="53"/>
      <c r="I85" s="53"/>
      <c r="J85" s="53"/>
      <c r="K85" s="53"/>
      <c r="L85" s="53"/>
      <c r="M85" s="53"/>
      <c r="N85" s="53"/>
      <c r="O85" s="53"/>
      <c r="P85" s="53"/>
      <c r="Q85" s="53"/>
      <c r="R85" s="53"/>
      <c r="S85" s="53"/>
      <c r="T85" s="53"/>
      <c r="U85" s="53"/>
      <c r="V85" s="53"/>
      <c r="W85" s="53"/>
      <c r="X85" s="53"/>
      <c r="Y85" s="53"/>
      <c r="Z85" s="53"/>
    </row>
    <row r="86" spans="1:26" ht="11.25" customHeight="1">
      <c r="A86" s="604" t="s">
        <v>34</v>
      </c>
      <c r="B86" s="595"/>
      <c r="C86" s="595"/>
      <c r="D86" s="596"/>
      <c r="E86" s="53"/>
      <c r="F86" s="53"/>
      <c r="G86" s="53"/>
      <c r="H86" s="53"/>
      <c r="I86" s="53"/>
      <c r="J86" s="53"/>
      <c r="K86" s="53"/>
      <c r="L86" s="53"/>
      <c r="M86" s="53"/>
      <c r="N86" s="53"/>
      <c r="O86" s="53"/>
      <c r="P86" s="53"/>
      <c r="Q86" s="53"/>
      <c r="R86" s="53"/>
      <c r="S86" s="53"/>
      <c r="T86" s="53"/>
      <c r="U86" s="53"/>
      <c r="V86" s="53"/>
      <c r="W86" s="53"/>
      <c r="X86" s="53"/>
      <c r="Y86" s="53"/>
      <c r="Z86" s="53"/>
    </row>
    <row r="87" spans="1:26" ht="6.75" customHeight="1">
      <c r="A87" s="56"/>
      <c r="B87" s="57"/>
      <c r="C87" s="57"/>
      <c r="D87" s="58"/>
      <c r="E87" s="53"/>
      <c r="F87" s="53"/>
      <c r="G87" s="53"/>
      <c r="H87" s="53"/>
      <c r="I87" s="53"/>
      <c r="J87" s="53"/>
      <c r="K87" s="53"/>
      <c r="L87" s="53"/>
      <c r="M87" s="53"/>
      <c r="N87" s="53"/>
      <c r="O87" s="53"/>
      <c r="P87" s="53"/>
      <c r="Q87" s="53"/>
      <c r="R87" s="53"/>
      <c r="S87" s="53"/>
      <c r="T87" s="53"/>
      <c r="U87" s="53"/>
      <c r="V87" s="53"/>
      <c r="W87" s="53"/>
      <c r="X87" s="53"/>
      <c r="Y87" s="53"/>
      <c r="Z87" s="53"/>
    </row>
    <row r="88" spans="1:26" ht="36" customHeight="1">
      <c r="A88" s="603" t="s">
        <v>35</v>
      </c>
      <c r="B88" s="595"/>
      <c r="C88" s="595"/>
      <c r="D88" s="596"/>
      <c r="E88" s="53"/>
      <c r="F88" s="53"/>
      <c r="G88" s="53"/>
      <c r="H88" s="53"/>
      <c r="I88" s="53"/>
      <c r="J88" s="53"/>
      <c r="K88" s="53"/>
      <c r="L88" s="53"/>
      <c r="M88" s="53"/>
      <c r="N88" s="53"/>
      <c r="O88" s="53"/>
      <c r="P88" s="53"/>
      <c r="Q88" s="53"/>
      <c r="R88" s="53"/>
      <c r="S88" s="53"/>
      <c r="T88" s="53"/>
      <c r="U88" s="53"/>
      <c r="V88" s="53"/>
      <c r="W88" s="53"/>
      <c r="X88" s="53"/>
      <c r="Y88" s="53"/>
      <c r="Z88" s="53"/>
    </row>
    <row r="89" spans="1:26" ht="6.75" customHeight="1">
      <c r="A89" s="54"/>
      <c r="B89" s="54"/>
      <c r="C89" s="54"/>
      <c r="D89" s="55"/>
      <c r="E89" s="53"/>
      <c r="F89" s="53"/>
      <c r="G89" s="53"/>
      <c r="H89" s="53"/>
      <c r="I89" s="53"/>
      <c r="J89" s="53"/>
      <c r="K89" s="53"/>
      <c r="L89" s="53"/>
      <c r="M89" s="53"/>
      <c r="N89" s="53"/>
      <c r="O89" s="53"/>
      <c r="P89" s="53"/>
      <c r="Q89" s="53"/>
      <c r="R89" s="53"/>
      <c r="S89" s="53"/>
      <c r="T89" s="53"/>
      <c r="U89" s="53"/>
      <c r="V89" s="53"/>
      <c r="W89" s="53"/>
      <c r="X89" s="53"/>
      <c r="Y89" s="53"/>
      <c r="Z89" s="53"/>
    </row>
    <row r="90" spans="1:26" ht="48" customHeight="1">
      <c r="A90" s="603" t="s">
        <v>36</v>
      </c>
      <c r="B90" s="595"/>
      <c r="C90" s="595"/>
      <c r="D90" s="596"/>
      <c r="E90" s="53"/>
      <c r="F90" s="53"/>
      <c r="G90" s="53"/>
      <c r="H90" s="53"/>
      <c r="I90" s="53"/>
      <c r="J90" s="53"/>
      <c r="K90" s="53"/>
      <c r="L90" s="53"/>
      <c r="M90" s="53"/>
      <c r="N90" s="53"/>
      <c r="O90" s="53"/>
      <c r="P90" s="53"/>
      <c r="Q90" s="53"/>
      <c r="R90" s="53"/>
      <c r="S90" s="53"/>
      <c r="T90" s="53"/>
      <c r="U90" s="53"/>
      <c r="V90" s="53"/>
      <c r="W90" s="53"/>
      <c r="X90" s="53"/>
      <c r="Y90" s="53"/>
      <c r="Z90" s="53"/>
    </row>
    <row r="91" spans="1:26" ht="6.75" customHeight="1">
      <c r="A91" s="54"/>
      <c r="B91" s="54"/>
      <c r="C91" s="54"/>
      <c r="D91" s="55"/>
      <c r="E91" s="53"/>
      <c r="F91" s="53"/>
      <c r="G91" s="53"/>
      <c r="H91" s="53"/>
      <c r="I91" s="53"/>
      <c r="J91" s="53"/>
      <c r="K91" s="53"/>
      <c r="L91" s="53"/>
      <c r="M91" s="53"/>
      <c r="N91" s="53"/>
      <c r="O91" s="53"/>
      <c r="P91" s="53"/>
      <c r="Q91" s="53"/>
      <c r="R91" s="53"/>
      <c r="S91" s="53"/>
      <c r="T91" s="53"/>
      <c r="U91" s="53"/>
      <c r="V91" s="53"/>
      <c r="W91" s="53"/>
      <c r="X91" s="53"/>
      <c r="Y91" s="53"/>
      <c r="Z91" s="53"/>
    </row>
    <row r="92" spans="1:26" ht="48" customHeight="1">
      <c r="A92" s="603" t="s">
        <v>37</v>
      </c>
      <c r="B92" s="595"/>
      <c r="C92" s="595"/>
      <c r="D92" s="596"/>
      <c r="E92" s="53"/>
      <c r="F92" s="53"/>
      <c r="G92" s="53"/>
      <c r="H92" s="53"/>
      <c r="I92" s="53"/>
      <c r="J92" s="53"/>
      <c r="K92" s="53"/>
      <c r="L92" s="53"/>
      <c r="M92" s="53"/>
      <c r="N92" s="53"/>
      <c r="O92" s="53"/>
      <c r="P92" s="53"/>
      <c r="Q92" s="53"/>
      <c r="R92" s="53"/>
      <c r="S92" s="53"/>
      <c r="T92" s="53"/>
      <c r="U92" s="53"/>
      <c r="V92" s="53"/>
      <c r="W92" s="53"/>
      <c r="X92" s="53"/>
      <c r="Y92" s="53"/>
      <c r="Z92" s="53"/>
    </row>
    <row r="93" spans="1:26" ht="6.75" customHeight="1">
      <c r="A93" s="54"/>
      <c r="B93" s="54"/>
      <c r="C93" s="54"/>
      <c r="D93" s="55"/>
      <c r="E93" s="53"/>
      <c r="F93" s="53"/>
      <c r="G93" s="53"/>
      <c r="H93" s="53"/>
      <c r="I93" s="53"/>
      <c r="J93" s="53"/>
      <c r="K93" s="53"/>
      <c r="L93" s="53"/>
      <c r="M93" s="53"/>
      <c r="N93" s="53"/>
      <c r="O93" s="53"/>
      <c r="P93" s="53"/>
      <c r="Q93" s="53"/>
      <c r="R93" s="53"/>
      <c r="S93" s="53"/>
      <c r="T93" s="53"/>
      <c r="U93" s="53"/>
      <c r="V93" s="53"/>
      <c r="W93" s="53"/>
      <c r="X93" s="53"/>
      <c r="Y93" s="53"/>
      <c r="Z93" s="53"/>
    </row>
    <row r="94" spans="1:26" ht="96" customHeight="1">
      <c r="A94" s="603" t="s">
        <v>63</v>
      </c>
      <c r="B94" s="595"/>
      <c r="C94" s="595"/>
      <c r="D94" s="596"/>
      <c r="E94" s="53"/>
      <c r="F94" s="53"/>
      <c r="G94" s="53"/>
      <c r="H94" s="53"/>
      <c r="I94" s="53"/>
      <c r="J94" s="53"/>
      <c r="K94" s="53"/>
      <c r="L94" s="53"/>
      <c r="M94" s="53"/>
      <c r="N94" s="53"/>
      <c r="O94" s="53"/>
      <c r="P94" s="53"/>
      <c r="Q94" s="53"/>
      <c r="R94" s="53"/>
      <c r="S94" s="53"/>
      <c r="T94" s="53"/>
      <c r="U94" s="53"/>
      <c r="V94" s="53"/>
      <c r="W94" s="53"/>
      <c r="X94" s="53"/>
      <c r="Y94" s="53"/>
      <c r="Z94" s="53"/>
    </row>
    <row r="95" spans="1:26" ht="96" customHeight="1">
      <c r="A95" s="603" t="s">
        <v>64</v>
      </c>
      <c r="B95" s="595"/>
      <c r="C95" s="595"/>
      <c r="D95" s="596"/>
      <c r="E95" s="53"/>
      <c r="F95" s="53"/>
      <c r="G95" s="53"/>
      <c r="H95" s="53"/>
      <c r="I95" s="53"/>
      <c r="J95" s="53"/>
      <c r="K95" s="53"/>
      <c r="L95" s="53"/>
      <c r="M95" s="53"/>
      <c r="N95" s="53"/>
      <c r="O95" s="53"/>
      <c r="P95" s="53"/>
      <c r="Q95" s="53"/>
      <c r="R95" s="53"/>
      <c r="S95" s="53"/>
      <c r="T95" s="53"/>
      <c r="U95" s="53"/>
      <c r="V95" s="53"/>
      <c r="W95" s="53"/>
      <c r="X95" s="53"/>
      <c r="Y95" s="53"/>
      <c r="Z95" s="53"/>
    </row>
    <row r="96" spans="1:26" ht="36" customHeight="1">
      <c r="A96" s="603" t="s">
        <v>38</v>
      </c>
      <c r="B96" s="595"/>
      <c r="C96" s="595"/>
      <c r="D96" s="596"/>
      <c r="E96" s="53"/>
      <c r="F96" s="53"/>
      <c r="G96" s="53"/>
      <c r="H96" s="53"/>
      <c r="I96" s="53"/>
      <c r="J96" s="53"/>
      <c r="K96" s="53"/>
      <c r="L96" s="53"/>
      <c r="M96" s="53"/>
      <c r="N96" s="53"/>
      <c r="O96" s="53"/>
      <c r="P96" s="53"/>
      <c r="Q96" s="53"/>
      <c r="R96" s="53"/>
      <c r="S96" s="53"/>
      <c r="T96" s="53"/>
      <c r="U96" s="53"/>
      <c r="V96" s="53"/>
      <c r="W96" s="53"/>
      <c r="X96" s="53"/>
      <c r="Y96" s="53"/>
      <c r="Z96" s="53"/>
    </row>
    <row r="97" spans="1:26" ht="24" customHeight="1">
      <c r="A97" s="608" t="s">
        <v>65</v>
      </c>
      <c r="B97" s="595"/>
      <c r="C97" s="595"/>
      <c r="D97" s="596"/>
      <c r="E97" s="53"/>
      <c r="F97" s="53"/>
      <c r="G97" s="53"/>
      <c r="H97" s="53"/>
      <c r="I97" s="53"/>
      <c r="J97" s="53"/>
      <c r="K97" s="53"/>
      <c r="L97" s="53"/>
      <c r="M97" s="53"/>
      <c r="N97" s="53"/>
      <c r="O97" s="53"/>
      <c r="P97" s="53"/>
      <c r="Q97" s="53"/>
      <c r="R97" s="53"/>
      <c r="S97" s="53"/>
      <c r="T97" s="53"/>
      <c r="U97" s="53"/>
      <c r="V97" s="53"/>
      <c r="W97" s="53"/>
      <c r="X97" s="53"/>
      <c r="Y97" s="53"/>
      <c r="Z97" s="53"/>
    </row>
    <row r="98" spans="1:26" ht="6.75" customHeight="1">
      <c r="A98" s="74"/>
      <c r="B98" s="74"/>
      <c r="C98" s="74"/>
      <c r="D98" s="75"/>
      <c r="E98" s="53"/>
      <c r="F98" s="53"/>
      <c r="G98" s="53"/>
      <c r="H98" s="53"/>
      <c r="I98" s="53"/>
      <c r="J98" s="53"/>
      <c r="K98" s="53"/>
      <c r="L98" s="53"/>
      <c r="M98" s="53"/>
      <c r="N98" s="53"/>
      <c r="O98" s="53"/>
      <c r="P98" s="53"/>
      <c r="Q98" s="53"/>
      <c r="R98" s="53"/>
      <c r="S98" s="53"/>
      <c r="T98" s="53"/>
      <c r="U98" s="53"/>
      <c r="V98" s="53"/>
      <c r="W98" s="53"/>
      <c r="X98" s="53"/>
      <c r="Y98" s="53"/>
      <c r="Z98" s="53"/>
    </row>
    <row r="99" spans="1:26" ht="15" customHeight="1">
      <c r="A99" s="594" t="s">
        <v>39</v>
      </c>
      <c r="B99" s="595"/>
      <c r="C99" s="595"/>
      <c r="D99" s="596"/>
      <c r="E99" s="53"/>
      <c r="F99" s="53"/>
      <c r="G99" s="53"/>
      <c r="H99" s="53"/>
      <c r="I99" s="53"/>
      <c r="J99" s="53"/>
      <c r="K99" s="53"/>
      <c r="L99" s="53"/>
      <c r="M99" s="53"/>
      <c r="N99" s="53"/>
      <c r="O99" s="53"/>
      <c r="P99" s="53"/>
      <c r="Q99" s="53"/>
      <c r="R99" s="53"/>
      <c r="S99" s="53"/>
      <c r="T99" s="53"/>
      <c r="U99" s="53"/>
      <c r="V99" s="53"/>
      <c r="W99" s="53"/>
      <c r="X99" s="53"/>
      <c r="Y99" s="53"/>
      <c r="Z99" s="53"/>
    </row>
    <row r="100" spans="1:26" ht="6.75" customHeight="1">
      <c r="A100" s="59"/>
      <c r="B100" s="60"/>
      <c r="C100" s="60"/>
      <c r="D100" s="61"/>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 customHeight="1">
      <c r="A101" s="62" t="s">
        <v>40</v>
      </c>
      <c r="B101" s="63"/>
      <c r="C101" s="64" t="s">
        <v>41</v>
      </c>
      <c r="D101" s="280">
        <f>'Proposed Rates'!G10</f>
        <v>200</v>
      </c>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62" t="s">
        <v>59</v>
      </c>
      <c r="B102" s="63"/>
      <c r="C102" s="64" t="s">
        <v>66</v>
      </c>
      <c r="D102" s="281">
        <f>'Proposed Rates'!G23</f>
        <v>8.7552000000000003</v>
      </c>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62" t="s">
        <v>45</v>
      </c>
      <c r="B103" s="63"/>
      <c r="C103" s="64" t="s">
        <v>66</v>
      </c>
      <c r="D103" s="283">
        <f>'Proposed Rates'!G262</f>
        <v>2.3939999999999999E-2</v>
      </c>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 hidden="1" customHeight="1">
      <c r="A104" s="62" t="s">
        <v>47</v>
      </c>
      <c r="B104" s="63"/>
      <c r="C104" s="64" t="s">
        <v>66</v>
      </c>
      <c r="D104" s="281">
        <f>'Proposed Rates'!G39</f>
        <v>0</v>
      </c>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 hidden="1" customHeight="1">
      <c r="A105" s="62" t="s">
        <v>43</v>
      </c>
      <c r="B105" s="63"/>
      <c r="C105" s="64" t="s">
        <v>66</v>
      </c>
      <c r="D105" s="281">
        <f>'Proposed Rates'!G66</f>
        <v>0</v>
      </c>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 hidden="1" customHeight="1">
      <c r="A106" s="62" t="s">
        <v>42</v>
      </c>
      <c r="B106" s="63"/>
      <c r="C106" s="64" t="s">
        <v>66</v>
      </c>
      <c r="D106" s="281">
        <f>'Proposed Rates'!G92</f>
        <v>2.9499999999999998E-2</v>
      </c>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 hidden="1" customHeight="1">
      <c r="A107" s="62" t="s">
        <v>48</v>
      </c>
      <c r="B107" s="63"/>
      <c r="C107" s="64" t="s">
        <v>46</v>
      </c>
      <c r="D107" s="281">
        <f>'Proposed Rates'!G145</f>
        <v>0</v>
      </c>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73" t="s">
        <v>42</v>
      </c>
      <c r="B108" s="63"/>
      <c r="C108" s="64" t="s">
        <v>66</v>
      </c>
      <c r="D108" s="66">
        <f>'Proposed Rates'!G92</f>
        <v>2.9499999999999998E-2</v>
      </c>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 hidden="1" customHeight="1">
      <c r="A109" s="62" t="s">
        <v>67</v>
      </c>
      <c r="B109" s="63"/>
      <c r="C109" s="64" t="s">
        <v>46</v>
      </c>
      <c r="D109" s="281">
        <f>'Proposed Rates'!G158</f>
        <v>0</v>
      </c>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62" t="s">
        <v>49</v>
      </c>
      <c r="B110" s="63"/>
      <c r="C110" s="64" t="s">
        <v>66</v>
      </c>
      <c r="D110" s="281">
        <f>'Proposed Rates'!G185</f>
        <v>4.5787000000000004</v>
      </c>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62" t="s">
        <v>50</v>
      </c>
      <c r="B111" s="63"/>
      <c r="C111" s="64" t="s">
        <v>66</v>
      </c>
      <c r="D111" s="281">
        <f>'Proposed Rates'!G198</f>
        <v>2.5918000000000001</v>
      </c>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6.75" customHeight="1">
      <c r="A112" s="64"/>
      <c r="B112" s="64"/>
      <c r="C112" s="64"/>
      <c r="D112" s="284"/>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 customHeight="1">
      <c r="A113" s="70" t="s">
        <v>51</v>
      </c>
      <c r="B113" s="63"/>
      <c r="C113" s="64"/>
      <c r="D113" s="284"/>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6.75" customHeight="1">
      <c r="A114" s="59"/>
      <c r="B114" s="64"/>
      <c r="C114" s="64"/>
      <c r="D114" s="284"/>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62" t="s">
        <v>52</v>
      </c>
      <c r="B115" s="63"/>
      <c r="C115" s="64" t="s">
        <v>46</v>
      </c>
      <c r="D115" s="284">
        <f>$D$34</f>
        <v>4.1000000000000003E-3</v>
      </c>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62" t="s">
        <v>53</v>
      </c>
      <c r="B116" s="63"/>
      <c r="C116" s="64" t="s">
        <v>46</v>
      </c>
      <c r="D116" s="281">
        <f>'Proposed Rates'!G211-'2026'!D114</f>
        <v>3.9999999999999931E-4</v>
      </c>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62" t="s">
        <v>54</v>
      </c>
      <c r="B117" s="63"/>
      <c r="C117" s="64" t="s">
        <v>46</v>
      </c>
      <c r="D117" s="281">
        <f>'Proposed Rates'!G224</f>
        <v>1.5E-3</v>
      </c>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62" t="s">
        <v>55</v>
      </c>
      <c r="B118" s="63"/>
      <c r="C118" s="64" t="s">
        <v>41</v>
      </c>
      <c r="D118" s="281">
        <f>'Proposed Rates'!G238</f>
        <v>1.54</v>
      </c>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 customHeight="1">
      <c r="A119" s="62"/>
      <c r="B119" s="63"/>
      <c r="C119" s="64"/>
      <c r="D119" s="69"/>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23.25" customHeight="1">
      <c r="A120" s="597" t="str">
        <f>$A$1</f>
        <v>Hydro Ottawa Limited</v>
      </c>
      <c r="B120" s="595"/>
      <c r="C120" s="595"/>
      <c r="D120" s="596"/>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8" customHeight="1">
      <c r="A121" s="598" t="str">
        <f>$A$2</f>
        <v>PROPOSED - TARIFF OF RATES AND CHARGES</v>
      </c>
      <c r="B121" s="595"/>
      <c r="C121" s="595"/>
      <c r="D121" s="596"/>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99" t="str">
        <f>$A$3</f>
        <v>Effective and Implementation Date January 1, 2027</v>
      </c>
      <c r="B122" s="595"/>
      <c r="C122" s="595"/>
      <c r="D122" s="596"/>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1.25" customHeight="1">
      <c r="A123" s="600" t="str">
        <f>$A$4</f>
        <v>This schedule supersedes and replaces all previously</v>
      </c>
      <c r="B123" s="595"/>
      <c r="C123" s="595"/>
      <c r="D123" s="596"/>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1.25" customHeight="1">
      <c r="A124" s="600" t="str">
        <f>$A$5</f>
        <v>approved schedules of Rates, Charges and Loss Factors</v>
      </c>
      <c r="B124" s="595"/>
      <c r="C124" s="595"/>
      <c r="D124" s="596"/>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1.25" customHeight="1">
      <c r="A125" s="601" t="str">
        <f>$A$6</f>
        <v>EB-2024-0115</v>
      </c>
      <c r="B125" s="595"/>
      <c r="C125" s="595"/>
      <c r="D125" s="596"/>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8.75" customHeight="1">
      <c r="A126" s="602" t="s">
        <v>68</v>
      </c>
      <c r="B126" s="595"/>
      <c r="C126" s="595"/>
      <c r="D126" s="596"/>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48" customHeight="1">
      <c r="A127" s="603" t="s">
        <v>69</v>
      </c>
      <c r="B127" s="595"/>
      <c r="C127" s="595"/>
      <c r="D127" s="596"/>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6.75" customHeight="1">
      <c r="A128" s="54"/>
      <c r="B128" s="54"/>
      <c r="C128" s="54"/>
      <c r="D128" s="55"/>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1.25" customHeight="1">
      <c r="A129" s="604" t="s">
        <v>34</v>
      </c>
      <c r="B129" s="595"/>
      <c r="C129" s="595"/>
      <c r="D129" s="596"/>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6.75" customHeight="1">
      <c r="A130" s="56"/>
      <c r="B130" s="57"/>
      <c r="C130" s="57"/>
      <c r="D130" s="58"/>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36" customHeight="1">
      <c r="A131" s="603" t="s">
        <v>35</v>
      </c>
      <c r="B131" s="595"/>
      <c r="C131" s="595"/>
      <c r="D131" s="596"/>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6.75" customHeight="1">
      <c r="A132" s="54"/>
      <c r="B132" s="54"/>
      <c r="C132" s="54"/>
      <c r="D132" s="55"/>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48" customHeight="1">
      <c r="A133" s="603" t="s">
        <v>70</v>
      </c>
      <c r="B133" s="595"/>
      <c r="C133" s="595"/>
      <c r="D133" s="596"/>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6.75" customHeight="1">
      <c r="A134" s="54"/>
      <c r="B134" s="54"/>
      <c r="C134" s="54"/>
      <c r="D134" s="55"/>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48" customHeight="1">
      <c r="A135" s="603" t="s">
        <v>37</v>
      </c>
      <c r="B135" s="595"/>
      <c r="C135" s="595"/>
      <c r="D135" s="596"/>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6.75" customHeight="1">
      <c r="A136" s="54"/>
      <c r="B136" s="54"/>
      <c r="C136" s="54"/>
      <c r="D136" s="55"/>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96" customHeight="1">
      <c r="A137" s="603" t="s">
        <v>63</v>
      </c>
      <c r="B137" s="595"/>
      <c r="C137" s="595"/>
      <c r="D137" s="596"/>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96" customHeight="1">
      <c r="A138" s="603" t="s">
        <v>64</v>
      </c>
      <c r="B138" s="595"/>
      <c r="C138" s="595"/>
      <c r="D138" s="596"/>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36" customHeight="1">
      <c r="A139" s="603" t="s">
        <v>38</v>
      </c>
      <c r="B139" s="595"/>
      <c r="C139" s="595"/>
      <c r="D139" s="596"/>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24" customHeight="1">
      <c r="A140" s="608" t="s">
        <v>65</v>
      </c>
      <c r="B140" s="595"/>
      <c r="C140" s="595"/>
      <c r="D140" s="596"/>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6.75" customHeight="1">
      <c r="A141" s="74"/>
      <c r="B141" s="74"/>
      <c r="C141" s="74"/>
      <c r="D141" s="75"/>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 customHeight="1">
      <c r="A142" s="594" t="s">
        <v>39</v>
      </c>
      <c r="B142" s="595"/>
      <c r="C142" s="595"/>
      <c r="D142" s="596"/>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6.75" customHeight="1">
      <c r="A143" s="59"/>
      <c r="B143" s="60"/>
      <c r="C143" s="60"/>
      <c r="D143" s="61"/>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 customHeight="1">
      <c r="A144" s="62" t="s">
        <v>40</v>
      </c>
      <c r="B144" s="63"/>
      <c r="C144" s="64" t="s">
        <v>41</v>
      </c>
      <c r="D144" s="280">
        <f>'Proposed Rates'!G11</f>
        <v>4126.75</v>
      </c>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 customHeight="1">
      <c r="A145" s="62" t="s">
        <v>59</v>
      </c>
      <c r="B145" s="63"/>
      <c r="C145" s="64" t="s">
        <v>66</v>
      </c>
      <c r="D145" s="281">
        <f>'Proposed Rates'!G24</f>
        <v>8.4490999999999996</v>
      </c>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 customHeight="1">
      <c r="A146" s="62" t="s">
        <v>45</v>
      </c>
      <c r="B146" s="63"/>
      <c r="C146" s="64" t="s">
        <v>66</v>
      </c>
      <c r="D146" s="283">
        <f>'Proposed Rates'!G263</f>
        <v>2.375E-2</v>
      </c>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 hidden="1" customHeight="1">
      <c r="A147" s="62" t="s">
        <v>47</v>
      </c>
      <c r="B147" s="63"/>
      <c r="C147" s="64" t="s">
        <v>66</v>
      </c>
      <c r="D147" s="281">
        <f>'Proposed Rates'!G40</f>
        <v>0</v>
      </c>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 hidden="1" customHeight="1">
      <c r="A148" s="62" t="s">
        <v>43</v>
      </c>
      <c r="B148" s="63"/>
      <c r="C148" s="64" t="s">
        <v>66</v>
      </c>
      <c r="D148" s="281">
        <f>'Proposed Rates'!G67</f>
        <v>0</v>
      </c>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 hidden="1" customHeight="1">
      <c r="A149" s="62" t="s">
        <v>48</v>
      </c>
      <c r="B149" s="63"/>
      <c r="C149" s="64" t="s">
        <v>46</v>
      </c>
      <c r="D149" s="281">
        <f>'Proposed Rates'!G145</f>
        <v>0</v>
      </c>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 hidden="1" customHeight="1">
      <c r="A150" s="62" t="s">
        <v>67</v>
      </c>
      <c r="B150" s="63"/>
      <c r="C150" s="64" t="s">
        <v>46</v>
      </c>
      <c r="D150" s="281">
        <f>'Proposed Rates'!G159</f>
        <v>0</v>
      </c>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 customHeight="1">
      <c r="A151" s="62" t="s">
        <v>49</v>
      </c>
      <c r="B151" s="63"/>
      <c r="C151" s="64" t="s">
        <v>66</v>
      </c>
      <c r="D151" s="281">
        <f>'Proposed Rates'!G186</f>
        <v>4.5423999999999998</v>
      </c>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 customHeight="1">
      <c r="A152" s="62" t="s">
        <v>50</v>
      </c>
      <c r="B152" s="63"/>
      <c r="C152" s="64" t="s">
        <v>66</v>
      </c>
      <c r="D152" s="281">
        <f>'Proposed Rates'!G199</f>
        <v>2.5712000000000002</v>
      </c>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6.75" customHeight="1">
      <c r="A153" s="64"/>
      <c r="B153" s="64"/>
      <c r="C153" s="64"/>
      <c r="D153" s="284"/>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1.25" customHeight="1">
      <c r="A154" s="70" t="s">
        <v>51</v>
      </c>
      <c r="B154" s="63"/>
      <c r="C154" s="64"/>
      <c r="D154" s="284"/>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6" customHeight="1">
      <c r="A155" s="59"/>
      <c r="B155" s="64"/>
      <c r="C155" s="64"/>
      <c r="D155" s="284"/>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 customHeight="1">
      <c r="A156" s="62" t="s">
        <v>52</v>
      </c>
      <c r="B156" s="63"/>
      <c r="C156" s="64" t="s">
        <v>46</v>
      </c>
      <c r="D156" s="284">
        <f>$D$34</f>
        <v>4.1000000000000003E-3</v>
      </c>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 customHeight="1">
      <c r="A157" s="62" t="s">
        <v>53</v>
      </c>
      <c r="B157" s="63"/>
      <c r="C157" s="64" t="s">
        <v>46</v>
      </c>
      <c r="D157" s="281">
        <f>'Proposed Rates'!G212-'2026'!D155</f>
        <v>3.9999999999999931E-4</v>
      </c>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 customHeight="1">
      <c r="A158" s="62" t="s">
        <v>54</v>
      </c>
      <c r="B158" s="63"/>
      <c r="C158" s="64" t="s">
        <v>46</v>
      </c>
      <c r="D158" s="281">
        <f>'Proposed Rates'!G225</f>
        <v>1.5E-3</v>
      </c>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 customHeight="1">
      <c r="A159" s="62" t="s">
        <v>55</v>
      </c>
      <c r="B159" s="63"/>
      <c r="C159" s="64" t="s">
        <v>41</v>
      </c>
      <c r="D159" s="281">
        <f>'Proposed Rates'!G239</f>
        <v>1.54</v>
      </c>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 customHeight="1">
      <c r="A160" s="62"/>
      <c r="B160" s="63"/>
      <c r="C160" s="64"/>
      <c r="D160" s="281"/>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9" customHeight="1">
      <c r="A161" s="62"/>
      <c r="B161" s="63"/>
      <c r="C161" s="64"/>
      <c r="D161" s="69"/>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23.25" customHeight="1">
      <c r="A162" s="597" t="str">
        <f>$A$1</f>
        <v>Hydro Ottawa Limited</v>
      </c>
      <c r="B162" s="595"/>
      <c r="C162" s="595"/>
      <c r="D162" s="596"/>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8" customHeight="1">
      <c r="A163" s="598" t="str">
        <f>$A$2</f>
        <v>PROPOSED - TARIFF OF RATES AND CHARGES</v>
      </c>
      <c r="B163" s="595"/>
      <c r="C163" s="595"/>
      <c r="D163" s="596"/>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99" t="str">
        <f>$A$3</f>
        <v>Effective and Implementation Date January 1, 2027</v>
      </c>
      <c r="B164" s="595"/>
      <c r="C164" s="595"/>
      <c r="D164" s="596"/>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1.25" customHeight="1">
      <c r="A165" s="600" t="str">
        <f>$A$4</f>
        <v>This schedule supersedes and replaces all previously</v>
      </c>
      <c r="B165" s="595"/>
      <c r="C165" s="595"/>
      <c r="D165" s="596"/>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1.25" customHeight="1">
      <c r="A166" s="600" t="str">
        <f>$A$5</f>
        <v>approved schedules of Rates, Charges and Loss Factors</v>
      </c>
      <c r="B166" s="595"/>
      <c r="C166" s="595"/>
      <c r="D166" s="596"/>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1.25" customHeight="1">
      <c r="A167" s="601" t="str">
        <f>$A$6</f>
        <v>EB-2024-0115</v>
      </c>
      <c r="B167" s="595"/>
      <c r="C167" s="595"/>
      <c r="D167" s="596"/>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8.75" customHeight="1">
      <c r="A168" s="602" t="s">
        <v>71</v>
      </c>
      <c r="B168" s="595"/>
      <c r="C168" s="595"/>
      <c r="D168" s="596"/>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48" customHeight="1">
      <c r="A169" s="603" t="s">
        <v>72</v>
      </c>
      <c r="B169" s="595"/>
      <c r="C169" s="595"/>
      <c r="D169" s="596"/>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6.75" customHeight="1">
      <c r="A170" s="54"/>
      <c r="B170" s="54"/>
      <c r="C170" s="54"/>
      <c r="D170" s="55"/>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1.25" customHeight="1">
      <c r="A171" s="604" t="s">
        <v>34</v>
      </c>
      <c r="B171" s="595"/>
      <c r="C171" s="595"/>
      <c r="D171" s="596"/>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6.75" customHeight="1">
      <c r="A172" s="56"/>
      <c r="B172" s="57"/>
      <c r="C172" s="57"/>
      <c r="D172" s="58"/>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36" customHeight="1">
      <c r="A173" s="603" t="s">
        <v>35</v>
      </c>
      <c r="B173" s="595"/>
      <c r="C173" s="595"/>
      <c r="D173" s="596"/>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6.75" customHeight="1">
      <c r="A174" s="54"/>
      <c r="B174" s="54"/>
      <c r="C174" s="54"/>
      <c r="D174" s="55"/>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48" customHeight="1">
      <c r="A175" s="603" t="s">
        <v>73</v>
      </c>
      <c r="B175" s="595"/>
      <c r="C175" s="595"/>
      <c r="D175" s="596"/>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6.75" customHeight="1">
      <c r="A176" s="54"/>
      <c r="B176" s="54"/>
      <c r="C176" s="54"/>
      <c r="D176" s="55"/>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48" customHeight="1">
      <c r="A177" s="603" t="s">
        <v>37</v>
      </c>
      <c r="B177" s="595"/>
      <c r="C177" s="595"/>
      <c r="D177" s="596"/>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6.75" customHeight="1">
      <c r="A178" s="54"/>
      <c r="B178" s="54"/>
      <c r="C178" s="54"/>
      <c r="D178" s="55"/>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96" customHeight="1">
      <c r="A179" s="603" t="s">
        <v>63</v>
      </c>
      <c r="B179" s="595"/>
      <c r="C179" s="595"/>
      <c r="D179" s="596"/>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96" customHeight="1">
      <c r="A180" s="603" t="s">
        <v>64</v>
      </c>
      <c r="B180" s="595"/>
      <c r="C180" s="595"/>
      <c r="D180" s="596"/>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36" customHeight="1">
      <c r="A181" s="603" t="s">
        <v>38</v>
      </c>
      <c r="B181" s="595"/>
      <c r="C181" s="595"/>
      <c r="D181" s="596"/>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24" customHeight="1">
      <c r="A182" s="608" t="s">
        <v>65</v>
      </c>
      <c r="B182" s="595"/>
      <c r="C182" s="595"/>
      <c r="D182" s="596"/>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6.75" customHeight="1">
      <c r="A183" s="74"/>
      <c r="B183" s="74"/>
      <c r="C183" s="74"/>
      <c r="D183" s="75"/>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 customHeight="1">
      <c r="A184" s="594" t="s">
        <v>39</v>
      </c>
      <c r="B184" s="595"/>
      <c r="C184" s="595"/>
      <c r="D184" s="596"/>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6.75" customHeight="1">
      <c r="A185" s="59"/>
      <c r="B185" s="60"/>
      <c r="C185" s="60"/>
      <c r="D185" s="61"/>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0.5" customHeight="1">
      <c r="A186" s="62" t="s">
        <v>40</v>
      </c>
      <c r="B186" s="63"/>
      <c r="C186" s="64" t="s">
        <v>41</v>
      </c>
      <c r="D186" s="280">
        <f>'Proposed Rates'!G12</f>
        <v>14946.93</v>
      </c>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0.5" customHeight="1">
      <c r="A187" s="62" t="s">
        <v>59</v>
      </c>
      <c r="B187" s="63"/>
      <c r="C187" s="64" t="s">
        <v>66</v>
      </c>
      <c r="D187" s="281">
        <f>'Proposed Rates'!G25</f>
        <v>8.8231999999999999</v>
      </c>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0.5" customHeight="1">
      <c r="A188" s="62" t="s">
        <v>45</v>
      </c>
      <c r="B188" s="63"/>
      <c r="C188" s="64" t="s">
        <v>66</v>
      </c>
      <c r="D188" s="283">
        <f>'Proposed Rates'!G264</f>
        <v>2.7890000000000002E-2</v>
      </c>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 hidden="1" customHeight="1">
      <c r="A189" s="62" t="s">
        <v>47</v>
      </c>
      <c r="B189" s="63"/>
      <c r="C189" s="64" t="s">
        <v>66</v>
      </c>
      <c r="D189" s="281">
        <f>'Proposed Rates'!G41</f>
        <v>0</v>
      </c>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 hidden="1" customHeight="1">
      <c r="A190" s="62" t="s">
        <v>43</v>
      </c>
      <c r="B190" s="63"/>
      <c r="C190" s="64" t="s">
        <v>66</v>
      </c>
      <c r="D190" s="281">
        <f>'Proposed Rates'!G68</f>
        <v>0</v>
      </c>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 hidden="1" customHeight="1">
      <c r="A191" s="62" t="s">
        <v>48</v>
      </c>
      <c r="B191" s="63"/>
      <c r="C191" s="64" t="s">
        <v>46</v>
      </c>
      <c r="D191" s="281">
        <f>'Proposed Rates'!G146</f>
        <v>0</v>
      </c>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0.5" customHeight="1">
      <c r="A192" s="62" t="s">
        <v>49</v>
      </c>
      <c r="B192" s="63"/>
      <c r="C192" s="64" t="s">
        <v>66</v>
      </c>
      <c r="D192" s="281">
        <f>'Proposed Rates'!G187</f>
        <v>5.3339999999999996</v>
      </c>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0.5" customHeight="1">
      <c r="A193" s="62" t="s">
        <v>50</v>
      </c>
      <c r="B193" s="63"/>
      <c r="C193" s="64" t="s">
        <v>66</v>
      </c>
      <c r="D193" s="281">
        <f>'Proposed Rates'!G200</f>
        <v>3.0192999999999999</v>
      </c>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 customHeight="1">
      <c r="A194" s="64"/>
      <c r="B194" s="64"/>
      <c r="C194" s="64"/>
      <c r="D194" s="284"/>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70" t="s">
        <v>51</v>
      </c>
      <c r="B195" s="63"/>
      <c r="C195" s="64"/>
      <c r="D195" s="284"/>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1.25" customHeight="1">
      <c r="A196" s="59"/>
      <c r="B196" s="64"/>
      <c r="C196" s="64"/>
      <c r="D196" s="284"/>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0.5" customHeight="1">
      <c r="A197" s="62" t="s">
        <v>52</v>
      </c>
      <c r="B197" s="63"/>
      <c r="C197" s="64" t="s">
        <v>46</v>
      </c>
      <c r="D197" s="284">
        <f>$D$34</f>
        <v>4.1000000000000003E-3</v>
      </c>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0.5" customHeight="1">
      <c r="A198" s="62" t="s">
        <v>53</v>
      </c>
      <c r="B198" s="63"/>
      <c r="C198" s="64" t="s">
        <v>46</v>
      </c>
      <c r="D198" s="281">
        <f>'Proposed Rates'!G213-'2026'!D196</f>
        <v>3.9999999999999931E-4</v>
      </c>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0.5" customHeight="1">
      <c r="A199" s="62" t="s">
        <v>54</v>
      </c>
      <c r="B199" s="63"/>
      <c r="C199" s="64" t="s">
        <v>46</v>
      </c>
      <c r="D199" s="281">
        <f>'Proposed Rates'!G226</f>
        <v>1.5E-3</v>
      </c>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0.5" customHeight="1">
      <c r="A200" s="62" t="s">
        <v>55</v>
      </c>
      <c r="B200" s="63"/>
      <c r="C200" s="64" t="s">
        <v>41</v>
      </c>
      <c r="D200" s="281">
        <f>'Proposed Rates'!G240</f>
        <v>1.54</v>
      </c>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c r="A201" s="85"/>
      <c r="B201" s="63"/>
      <c r="C201" s="64"/>
      <c r="D201" s="69"/>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23.25" customHeight="1">
      <c r="A202" s="597" t="str">
        <f>$A$1</f>
        <v>Hydro Ottawa Limited</v>
      </c>
      <c r="B202" s="595"/>
      <c r="C202" s="595"/>
      <c r="D202" s="596"/>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8" customHeight="1">
      <c r="A203" s="598" t="str">
        <f>$A$2</f>
        <v>PROPOSED - TARIFF OF RATES AND CHARGES</v>
      </c>
      <c r="B203" s="595"/>
      <c r="C203" s="595"/>
      <c r="D203" s="596"/>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99" t="str">
        <f>$A$3</f>
        <v>Effective and Implementation Date January 1, 2027</v>
      </c>
      <c r="B204" s="595"/>
      <c r="C204" s="595"/>
      <c r="D204" s="596"/>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1.25" customHeight="1">
      <c r="A205" s="600" t="str">
        <f>$A$4</f>
        <v>This schedule supersedes and replaces all previously</v>
      </c>
      <c r="B205" s="595"/>
      <c r="C205" s="595"/>
      <c r="D205" s="596"/>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1.25" customHeight="1">
      <c r="A206" s="600" t="str">
        <f>$A$5</f>
        <v>approved schedules of Rates, Charges and Loss Factors</v>
      </c>
      <c r="B206" s="595"/>
      <c r="C206" s="595"/>
      <c r="D206" s="596"/>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1.25" customHeight="1">
      <c r="A207" s="601" t="str">
        <f>$A$6</f>
        <v>EB-2024-0115</v>
      </c>
      <c r="B207" s="595"/>
      <c r="C207" s="595"/>
      <c r="D207" s="596"/>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8.75" customHeight="1">
      <c r="A208" s="602" t="s">
        <v>74</v>
      </c>
      <c r="B208" s="595"/>
      <c r="C208" s="595"/>
      <c r="D208" s="596"/>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84" customHeight="1">
      <c r="A209" s="603" t="s">
        <v>75</v>
      </c>
      <c r="B209" s="595"/>
      <c r="C209" s="595"/>
      <c r="D209" s="596"/>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6.75" customHeight="1">
      <c r="A210" s="54"/>
      <c r="B210" s="54"/>
      <c r="C210" s="54"/>
      <c r="D210" s="55"/>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1.25" customHeight="1">
      <c r="A211" s="604" t="s">
        <v>34</v>
      </c>
      <c r="B211" s="595"/>
      <c r="C211" s="595"/>
      <c r="D211" s="596"/>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6.75" customHeight="1">
      <c r="A212" s="56"/>
      <c r="B212" s="57"/>
      <c r="C212" s="57"/>
      <c r="D212" s="58"/>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36" customHeight="1">
      <c r="A213" s="603" t="s">
        <v>35</v>
      </c>
      <c r="B213" s="595"/>
      <c r="C213" s="595"/>
      <c r="D213" s="596"/>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6.75" customHeight="1">
      <c r="A214" s="54"/>
      <c r="B214" s="54"/>
      <c r="C214" s="54"/>
      <c r="D214" s="55"/>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48" customHeight="1">
      <c r="A215" s="603" t="s">
        <v>36</v>
      </c>
      <c r="B215" s="595"/>
      <c r="C215" s="595"/>
      <c r="D215" s="596"/>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6.75" customHeight="1">
      <c r="A216" s="54"/>
      <c r="B216" s="54"/>
      <c r="C216" s="54"/>
      <c r="D216" s="55"/>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48" customHeight="1">
      <c r="A217" s="603" t="s">
        <v>37</v>
      </c>
      <c r="B217" s="595"/>
      <c r="C217" s="595"/>
      <c r="D217" s="596"/>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6.75" customHeight="1">
      <c r="A218" s="54"/>
      <c r="B218" s="54"/>
      <c r="C218" s="54"/>
      <c r="D218" s="55"/>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36" customHeight="1">
      <c r="A219" s="603" t="s">
        <v>38</v>
      </c>
      <c r="B219" s="595"/>
      <c r="C219" s="595"/>
      <c r="D219" s="596"/>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6.75" customHeight="1">
      <c r="A220" s="54"/>
      <c r="B220" s="54"/>
      <c r="C220" s="54"/>
      <c r="D220" s="55"/>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 customHeight="1">
      <c r="A221" s="70" t="s">
        <v>39</v>
      </c>
      <c r="B221" s="63"/>
      <c r="C221" s="63"/>
      <c r="D221" s="6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6.75" customHeight="1">
      <c r="A222" s="59"/>
      <c r="B222" s="60"/>
      <c r="C222" s="60"/>
      <c r="D222" s="61"/>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1.25" customHeight="1">
      <c r="A223" s="62" t="s">
        <v>76</v>
      </c>
      <c r="B223" s="63"/>
      <c r="C223" s="64" t="s">
        <v>41</v>
      </c>
      <c r="D223" s="280">
        <f>'Proposed Rates'!G15</f>
        <v>8.69</v>
      </c>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1.25" customHeight="1">
      <c r="A224" s="62" t="s">
        <v>59</v>
      </c>
      <c r="B224" s="63"/>
      <c r="C224" s="64" t="s">
        <v>46</v>
      </c>
      <c r="D224" s="281">
        <f>'Proposed Rates'!G28</f>
        <v>4.1500000000000002E-2</v>
      </c>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1.25" customHeight="1">
      <c r="A225" s="62" t="s">
        <v>45</v>
      </c>
      <c r="B225" s="63"/>
      <c r="C225" s="64" t="s">
        <v>46</v>
      </c>
      <c r="D225" s="283">
        <f>'Proposed Rates'!G267</f>
        <v>4.0000000000000003E-5</v>
      </c>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 hidden="1" customHeight="1">
      <c r="A226" s="62" t="s">
        <v>47</v>
      </c>
      <c r="B226" s="63"/>
      <c r="C226" s="64" t="s">
        <v>46</v>
      </c>
      <c r="D226" s="281">
        <f>'Proposed Rates'!G44</f>
        <v>0</v>
      </c>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 hidden="1" customHeight="1">
      <c r="A227" s="62" t="s">
        <v>43</v>
      </c>
      <c r="B227" s="63"/>
      <c r="C227" s="64" t="s">
        <v>46</v>
      </c>
      <c r="D227" s="281">
        <f>'Proposed Rates'!G71</f>
        <v>0</v>
      </c>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1.25" customHeight="1">
      <c r="A228" s="62" t="s">
        <v>49</v>
      </c>
      <c r="B228" s="63"/>
      <c r="C228" s="64" t="s">
        <v>46</v>
      </c>
      <c r="D228" s="281">
        <f>'Proposed Rates'!G190</f>
        <v>7.4999999999999997E-3</v>
      </c>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1.25" customHeight="1">
      <c r="A229" s="62" t="s">
        <v>50</v>
      </c>
      <c r="B229" s="63"/>
      <c r="C229" s="64" t="s">
        <v>46</v>
      </c>
      <c r="D229" s="281">
        <f>'Proposed Rates'!G203</f>
        <v>4.3E-3</v>
      </c>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6.75" customHeight="1">
      <c r="A230" s="64"/>
      <c r="B230" s="64"/>
      <c r="C230" s="64"/>
      <c r="D230" s="284"/>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 customHeight="1">
      <c r="A231" s="70" t="s">
        <v>51</v>
      </c>
      <c r="B231" s="63"/>
      <c r="C231" s="64"/>
      <c r="D231" s="284"/>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6.75" customHeight="1">
      <c r="A232" s="59"/>
      <c r="B232" s="64"/>
      <c r="C232" s="64"/>
      <c r="D232" s="284"/>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1.25" customHeight="1">
      <c r="A233" s="62" t="s">
        <v>52</v>
      </c>
      <c r="B233" s="63"/>
      <c r="C233" s="64" t="s">
        <v>46</v>
      </c>
      <c r="D233" s="284">
        <f>$D$34</f>
        <v>4.1000000000000003E-3</v>
      </c>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1.25" customHeight="1">
      <c r="A234" s="62" t="s">
        <v>53</v>
      </c>
      <c r="B234" s="63"/>
      <c r="C234" s="64" t="s">
        <v>46</v>
      </c>
      <c r="D234" s="281">
        <f>'Proposed Rates'!G216-'2026'!D233</f>
        <v>3.9999999999999931E-4</v>
      </c>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1.25" customHeight="1">
      <c r="A235" s="62" t="s">
        <v>54</v>
      </c>
      <c r="B235" s="63"/>
      <c r="C235" s="64" t="s">
        <v>46</v>
      </c>
      <c r="D235" s="281">
        <f>'Proposed Rates'!G229</f>
        <v>1.5E-3</v>
      </c>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1.25" customHeight="1">
      <c r="A236" s="62" t="s">
        <v>55</v>
      </c>
      <c r="B236" s="63"/>
      <c r="C236" s="64" t="s">
        <v>41</v>
      </c>
      <c r="D236" s="281">
        <f>'Proposed Rates'!G243</f>
        <v>1.54</v>
      </c>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3.5" customHeight="1">
      <c r="A237" s="62"/>
      <c r="B237" s="63"/>
      <c r="C237" s="64"/>
      <c r="D237" s="69"/>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23.25" customHeight="1">
      <c r="A238" s="597" t="str">
        <f>$A$1</f>
        <v>Hydro Ottawa Limited</v>
      </c>
      <c r="B238" s="595"/>
      <c r="C238" s="595"/>
      <c r="D238" s="596"/>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8" customHeight="1">
      <c r="A239" s="598" t="str">
        <f>$A$2</f>
        <v>PROPOSED - TARIFF OF RATES AND CHARGES</v>
      </c>
      <c r="B239" s="595"/>
      <c r="C239" s="595"/>
      <c r="D239" s="596"/>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99" t="str">
        <f>$A$3</f>
        <v>Effective and Implementation Date January 1, 2027</v>
      </c>
      <c r="B240" s="595"/>
      <c r="C240" s="595"/>
      <c r="D240" s="596"/>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1.25" customHeight="1">
      <c r="A241" s="600" t="str">
        <f>$A$4</f>
        <v>This schedule supersedes and replaces all previously</v>
      </c>
      <c r="B241" s="595"/>
      <c r="C241" s="595"/>
      <c r="D241" s="596"/>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1.25" customHeight="1">
      <c r="A242" s="600" t="str">
        <f>$A$5</f>
        <v>approved schedules of Rates, Charges and Loss Factors</v>
      </c>
      <c r="B242" s="595"/>
      <c r="C242" s="595"/>
      <c r="D242" s="596"/>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1.25" customHeight="1">
      <c r="A243" s="601" t="str">
        <f>$A$6</f>
        <v>EB-2024-0115</v>
      </c>
      <c r="B243" s="595"/>
      <c r="C243" s="595"/>
      <c r="D243" s="596"/>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8.75" customHeight="1">
      <c r="A244" s="602" t="s">
        <v>77</v>
      </c>
      <c r="B244" s="595"/>
      <c r="C244" s="595"/>
      <c r="D244" s="596"/>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36" customHeight="1">
      <c r="A245" s="603" t="s">
        <v>78</v>
      </c>
      <c r="B245" s="595"/>
      <c r="C245" s="595"/>
      <c r="D245" s="596"/>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6.75" customHeight="1">
      <c r="A246" s="54"/>
      <c r="B246" s="54"/>
      <c r="C246" s="54"/>
      <c r="D246" s="55"/>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1.25" customHeight="1">
      <c r="A247" s="604" t="s">
        <v>34</v>
      </c>
      <c r="B247" s="595"/>
      <c r="C247" s="595"/>
      <c r="D247" s="596"/>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6.75" customHeight="1">
      <c r="A248" s="56"/>
      <c r="B248" s="57"/>
      <c r="C248" s="57"/>
      <c r="D248" s="58"/>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36" customHeight="1">
      <c r="A249" s="603" t="s">
        <v>35</v>
      </c>
      <c r="B249" s="595"/>
      <c r="C249" s="595"/>
      <c r="D249" s="596"/>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6.75" customHeight="1">
      <c r="A250" s="54"/>
      <c r="B250" s="54"/>
      <c r="C250" s="54"/>
      <c r="D250" s="55"/>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48" customHeight="1">
      <c r="A251" s="603" t="s">
        <v>36</v>
      </c>
      <c r="B251" s="595"/>
      <c r="C251" s="595"/>
      <c r="D251" s="596"/>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6.75" customHeight="1">
      <c r="A252" s="54"/>
      <c r="B252" s="54"/>
      <c r="C252" s="54"/>
      <c r="D252" s="55"/>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24" customHeight="1">
      <c r="A253" s="603" t="s">
        <v>79</v>
      </c>
      <c r="B253" s="595"/>
      <c r="C253" s="595"/>
      <c r="D253" s="596"/>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6.75" customHeight="1">
      <c r="A254" s="54"/>
      <c r="B254" s="54"/>
      <c r="C254" s="54"/>
      <c r="D254" s="55"/>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36" customHeight="1">
      <c r="A255" s="603" t="s">
        <v>80</v>
      </c>
      <c r="B255" s="595"/>
      <c r="C255" s="595"/>
      <c r="D255" s="596"/>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6.75" customHeight="1">
      <c r="A256" s="54"/>
      <c r="B256" s="54"/>
      <c r="C256" s="54"/>
      <c r="D256" s="55"/>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 customHeight="1">
      <c r="A257" s="594" t="s">
        <v>81</v>
      </c>
      <c r="B257" s="595"/>
      <c r="C257" s="595"/>
      <c r="D257" s="596"/>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6.75" customHeight="1">
      <c r="A258" s="59"/>
      <c r="B258" s="60"/>
      <c r="C258" s="60"/>
      <c r="D258" s="61"/>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3.5" customHeight="1">
      <c r="A259" s="286" t="s">
        <v>40</v>
      </c>
      <c r="B259" s="80"/>
      <c r="C259" s="287" t="s">
        <v>41</v>
      </c>
      <c r="D259" s="288">
        <f>'Proposed Rates'!G16</f>
        <v>186.89</v>
      </c>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1.25" customHeight="1">
      <c r="A260" s="286" t="s">
        <v>82</v>
      </c>
      <c r="B260" s="80"/>
      <c r="C260" s="287" t="s">
        <v>66</v>
      </c>
      <c r="D260" s="289">
        <f>'Proposed Rates'!G29</f>
        <v>4.3769999999999998</v>
      </c>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1.25" customHeight="1">
      <c r="A261" s="286" t="s">
        <v>83</v>
      </c>
      <c r="B261" s="80"/>
      <c r="C261" s="287" t="s">
        <v>66</v>
      </c>
      <c r="D261" s="289">
        <f>'Proposed Rates'!G30</f>
        <v>4.2225999999999999</v>
      </c>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1.25" customHeight="1">
      <c r="A262" s="286" t="s">
        <v>84</v>
      </c>
      <c r="B262" s="80"/>
      <c r="C262" s="287" t="s">
        <v>66</v>
      </c>
      <c r="D262" s="289">
        <f>'Proposed Rates'!G31</f>
        <v>4.4112999999999998</v>
      </c>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4.25" customHeight="1">
      <c r="A263" s="85"/>
      <c r="B263" s="63"/>
      <c r="C263" s="64"/>
      <c r="D263" s="284"/>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23.25" customHeight="1">
      <c r="A264" s="597" t="str">
        <f>$A$1</f>
        <v>Hydro Ottawa Limited</v>
      </c>
      <c r="B264" s="595"/>
      <c r="C264" s="595"/>
      <c r="D264" s="596"/>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8" customHeight="1">
      <c r="A265" s="598" t="str">
        <f>$A$2</f>
        <v>PROPOSED - TARIFF OF RATES AND CHARGES</v>
      </c>
      <c r="B265" s="595"/>
      <c r="C265" s="595"/>
      <c r="D265" s="596"/>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99" t="str">
        <f>$A$3</f>
        <v>Effective and Implementation Date January 1, 2027</v>
      </c>
      <c r="B266" s="595"/>
      <c r="C266" s="595"/>
      <c r="D266" s="596"/>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1.25" customHeight="1">
      <c r="A267" s="600" t="str">
        <f>$A$4</f>
        <v>This schedule supersedes and replaces all previously</v>
      </c>
      <c r="B267" s="595"/>
      <c r="C267" s="595"/>
      <c r="D267" s="596"/>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1.25" customHeight="1">
      <c r="A268" s="600" t="str">
        <f>$A$5</f>
        <v>approved schedules of Rates, Charges and Loss Factors</v>
      </c>
      <c r="B268" s="595"/>
      <c r="C268" s="595"/>
      <c r="D268" s="596"/>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1.25" customHeight="1">
      <c r="A269" s="601" t="str">
        <f>$A$6</f>
        <v>EB-2024-0115</v>
      </c>
      <c r="B269" s="595"/>
      <c r="C269" s="595"/>
      <c r="D269" s="596"/>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8.75" customHeight="1">
      <c r="A270" s="602" t="s">
        <v>85</v>
      </c>
      <c r="B270" s="595"/>
      <c r="C270" s="595"/>
      <c r="D270" s="596"/>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36" customHeight="1">
      <c r="A271" s="603" t="s">
        <v>86</v>
      </c>
      <c r="B271" s="595"/>
      <c r="C271" s="595"/>
      <c r="D271" s="596"/>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6.75" customHeight="1">
      <c r="A272" s="54"/>
      <c r="B272" s="54"/>
      <c r="C272" s="54"/>
      <c r="D272" s="55"/>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1.25" customHeight="1">
      <c r="A273" s="604" t="s">
        <v>34</v>
      </c>
      <c r="B273" s="595"/>
      <c r="C273" s="595"/>
      <c r="D273" s="596"/>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6.75" customHeight="1">
      <c r="A274" s="56"/>
      <c r="B274" s="57"/>
      <c r="C274" s="57"/>
      <c r="D274" s="58"/>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36" customHeight="1">
      <c r="A275" s="603" t="s">
        <v>35</v>
      </c>
      <c r="B275" s="595"/>
      <c r="C275" s="595"/>
      <c r="D275" s="596"/>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6.75" customHeight="1">
      <c r="A276" s="54"/>
      <c r="B276" s="54"/>
      <c r="C276" s="54"/>
      <c r="D276" s="55"/>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48" customHeight="1">
      <c r="A277" s="603" t="s">
        <v>36</v>
      </c>
      <c r="B277" s="595"/>
      <c r="C277" s="595"/>
      <c r="D277" s="596"/>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6.75" customHeight="1">
      <c r="A278" s="54"/>
      <c r="B278" s="54"/>
      <c r="C278" s="54"/>
      <c r="D278" s="55"/>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48" customHeight="1">
      <c r="A279" s="603" t="s">
        <v>37</v>
      </c>
      <c r="B279" s="595"/>
      <c r="C279" s="595"/>
      <c r="D279" s="596"/>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6.75" customHeight="1">
      <c r="A280" s="54"/>
      <c r="B280" s="54"/>
      <c r="C280" s="54"/>
      <c r="D280" s="55"/>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36" customHeight="1">
      <c r="A281" s="603" t="s">
        <v>38</v>
      </c>
      <c r="B281" s="595"/>
      <c r="C281" s="595"/>
      <c r="D281" s="596"/>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6.75" customHeight="1">
      <c r="A282" s="54"/>
      <c r="B282" s="54"/>
      <c r="C282" s="54"/>
      <c r="D282" s="55"/>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 customHeight="1">
      <c r="A283" s="594" t="s">
        <v>39</v>
      </c>
      <c r="B283" s="595"/>
      <c r="C283" s="595"/>
      <c r="D283" s="596"/>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6.75" customHeight="1">
      <c r="A284" s="59"/>
      <c r="B284" s="60"/>
      <c r="C284" s="60"/>
      <c r="D284" s="61"/>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1.25" customHeight="1">
      <c r="A285" s="62" t="s">
        <v>76</v>
      </c>
      <c r="B285" s="63"/>
      <c r="C285" s="64" t="s">
        <v>41</v>
      </c>
      <c r="D285" s="280">
        <f>'Proposed Rates'!G14</f>
        <v>9.0500000000000007</v>
      </c>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1.25" customHeight="1">
      <c r="A286" s="62" t="s">
        <v>59</v>
      </c>
      <c r="B286" s="63"/>
      <c r="C286" s="64" t="s">
        <v>66</v>
      </c>
      <c r="D286" s="281">
        <f>'Proposed Rates'!G27</f>
        <v>42.374499999999998</v>
      </c>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1.25" customHeight="1">
      <c r="A287" s="62" t="s">
        <v>45</v>
      </c>
      <c r="B287" s="63"/>
      <c r="C287" s="64" t="s">
        <v>66</v>
      </c>
      <c r="D287" s="283">
        <f>'Proposed Rates'!G266</f>
        <v>4.47E-3</v>
      </c>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 hidden="1" customHeight="1">
      <c r="A288" s="62" t="s">
        <v>47</v>
      </c>
      <c r="B288" s="63"/>
      <c r="C288" s="64" t="s">
        <v>66</v>
      </c>
      <c r="D288" s="281">
        <f>'Proposed Rates'!G43</f>
        <v>0</v>
      </c>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 hidden="1" customHeight="1">
      <c r="A289" s="62" t="s">
        <v>43</v>
      </c>
      <c r="B289" s="63"/>
      <c r="C289" s="64" t="s">
        <v>66</v>
      </c>
      <c r="D289" s="281">
        <f>'Proposed Rates'!G70</f>
        <v>0</v>
      </c>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 hidden="1" customHeight="1">
      <c r="A290" s="62" t="s">
        <v>48</v>
      </c>
      <c r="B290" s="63"/>
      <c r="C290" s="64" t="s">
        <v>46</v>
      </c>
      <c r="D290" s="281">
        <f>'Proposed Rates'!G148</f>
        <v>0</v>
      </c>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 customHeight="1">
      <c r="A291" s="62" t="s">
        <v>49</v>
      </c>
      <c r="B291" s="63"/>
      <c r="C291" s="64" t="s">
        <v>66</v>
      </c>
      <c r="D291" s="281">
        <f>'Proposed Rates'!G189</f>
        <v>0.85450000000000004</v>
      </c>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89" t="s">
        <v>50</v>
      </c>
      <c r="B292" s="63"/>
      <c r="C292" s="90" t="s">
        <v>66</v>
      </c>
      <c r="D292" s="290">
        <f>'Proposed Rates'!G202</f>
        <v>0.48370000000000002</v>
      </c>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4.5" customHeight="1">
      <c r="A293" s="89"/>
      <c r="B293" s="63"/>
      <c r="C293" s="90"/>
      <c r="D293" s="291"/>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 customHeight="1">
      <c r="A294" s="70" t="s">
        <v>51</v>
      </c>
      <c r="B294" s="63"/>
      <c r="C294" s="64"/>
      <c r="D294" s="284"/>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6.75" customHeight="1">
      <c r="A295" s="59"/>
      <c r="B295" s="64"/>
      <c r="C295" s="64"/>
      <c r="D295" s="284"/>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0.5" customHeight="1">
      <c r="A296" s="62" t="s">
        <v>52</v>
      </c>
      <c r="B296" s="63"/>
      <c r="C296" s="64" t="s">
        <v>46</v>
      </c>
      <c r="D296" s="284">
        <f>$D$34</f>
        <v>4.1000000000000003E-3</v>
      </c>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1.25" customHeight="1">
      <c r="A297" s="62" t="s">
        <v>53</v>
      </c>
      <c r="B297" s="63"/>
      <c r="C297" s="64" t="s">
        <v>46</v>
      </c>
      <c r="D297" s="281">
        <f>'Proposed Rates'!G215-'2026'!D296</f>
        <v>3.9999999999999931E-4</v>
      </c>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1.25" customHeight="1">
      <c r="A298" s="62" t="s">
        <v>54</v>
      </c>
      <c r="B298" s="63"/>
      <c r="C298" s="64" t="s">
        <v>46</v>
      </c>
      <c r="D298" s="281">
        <f>'Proposed Rates'!G228</f>
        <v>1.5E-3</v>
      </c>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1.25" customHeight="1">
      <c r="A299" s="62" t="s">
        <v>55</v>
      </c>
      <c r="B299" s="63"/>
      <c r="C299" s="64" t="s">
        <v>41</v>
      </c>
      <c r="D299" s="281">
        <f>'Proposed Rates'!G242</f>
        <v>1.54</v>
      </c>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1.25" customHeight="1">
      <c r="A300" s="85"/>
      <c r="B300" s="63"/>
      <c r="C300" s="64"/>
      <c r="D300" s="69"/>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23.25" customHeight="1">
      <c r="A301" s="597" t="str">
        <f>$A$1</f>
        <v>Hydro Ottawa Limited</v>
      </c>
      <c r="B301" s="595"/>
      <c r="C301" s="595"/>
      <c r="D301" s="596"/>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8" customHeight="1">
      <c r="A302" s="598" t="str">
        <f>$A$2</f>
        <v>PROPOSED - TARIFF OF RATES AND CHARGES</v>
      </c>
      <c r="B302" s="595"/>
      <c r="C302" s="595"/>
      <c r="D302" s="596"/>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99" t="str">
        <f>$A$3</f>
        <v>Effective and Implementation Date January 1, 2027</v>
      </c>
      <c r="B303" s="595"/>
      <c r="C303" s="595"/>
      <c r="D303" s="596"/>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1.25" customHeight="1">
      <c r="A304" s="600" t="str">
        <f>$A$4</f>
        <v>This schedule supersedes and replaces all previously</v>
      </c>
      <c r="B304" s="595"/>
      <c r="C304" s="595"/>
      <c r="D304" s="596"/>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1.25" customHeight="1">
      <c r="A305" s="600" t="str">
        <f>$A$5</f>
        <v>approved schedules of Rates, Charges and Loss Factors</v>
      </c>
      <c r="B305" s="595"/>
      <c r="C305" s="595"/>
      <c r="D305" s="596"/>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1.25" customHeight="1">
      <c r="A306" s="601" t="str">
        <f>$A$6</f>
        <v>EB-2024-0115</v>
      </c>
      <c r="B306" s="595"/>
      <c r="C306" s="595"/>
      <c r="D306" s="596"/>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8.75" customHeight="1">
      <c r="A307" s="602" t="s">
        <v>87</v>
      </c>
      <c r="B307" s="595"/>
      <c r="C307" s="595"/>
      <c r="D307" s="596"/>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60" customHeight="1">
      <c r="A308" s="603" t="s">
        <v>88</v>
      </c>
      <c r="B308" s="595"/>
      <c r="C308" s="595"/>
      <c r="D308" s="596"/>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6.75" customHeight="1">
      <c r="A309" s="54"/>
      <c r="B309" s="54"/>
      <c r="C309" s="54"/>
      <c r="D309" s="55"/>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1.25" customHeight="1">
      <c r="A310" s="604" t="s">
        <v>34</v>
      </c>
      <c r="B310" s="595"/>
      <c r="C310" s="595"/>
      <c r="D310" s="596"/>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6.75" customHeight="1">
      <c r="A311" s="56"/>
      <c r="B311" s="57"/>
      <c r="C311" s="57"/>
      <c r="D311" s="58"/>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36" customHeight="1">
      <c r="A312" s="603" t="s">
        <v>35</v>
      </c>
      <c r="B312" s="595"/>
      <c r="C312" s="595"/>
      <c r="D312" s="596"/>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6.75" customHeight="1">
      <c r="A313" s="54"/>
      <c r="B313" s="54"/>
      <c r="C313" s="54"/>
      <c r="D313" s="55"/>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48" customHeight="1">
      <c r="A314" s="603" t="s">
        <v>36</v>
      </c>
      <c r="B314" s="595"/>
      <c r="C314" s="595"/>
      <c r="D314" s="596"/>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6.75" customHeight="1">
      <c r="A315" s="54"/>
      <c r="B315" s="54"/>
      <c r="C315" s="54"/>
      <c r="D315" s="55"/>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48" customHeight="1">
      <c r="A316" s="603" t="s">
        <v>37</v>
      </c>
      <c r="B316" s="595"/>
      <c r="C316" s="595"/>
      <c r="D316" s="596"/>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6.75" customHeight="1">
      <c r="A317" s="54"/>
      <c r="B317" s="54"/>
      <c r="C317" s="54"/>
      <c r="D317" s="55"/>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36" customHeight="1">
      <c r="A318" s="603" t="s">
        <v>89</v>
      </c>
      <c r="B318" s="595"/>
      <c r="C318" s="595"/>
      <c r="D318" s="596"/>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6.75" customHeight="1">
      <c r="A319" s="54"/>
      <c r="B319" s="54"/>
      <c r="C319" s="54"/>
      <c r="D319" s="55"/>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 customHeight="1">
      <c r="A320" s="594" t="s">
        <v>39</v>
      </c>
      <c r="B320" s="595"/>
      <c r="C320" s="595"/>
      <c r="D320" s="596"/>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6.75" customHeight="1">
      <c r="A321" s="59"/>
      <c r="B321" s="60"/>
      <c r="C321" s="60"/>
      <c r="D321" s="61"/>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0.5" customHeight="1">
      <c r="A322" s="62" t="s">
        <v>76</v>
      </c>
      <c r="B322" s="63"/>
      <c r="C322" s="64" t="s">
        <v>41</v>
      </c>
      <c r="D322" s="280">
        <f>'Proposed Rates'!G13</f>
        <v>1.21</v>
      </c>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0.5" customHeight="1">
      <c r="A323" s="62" t="s">
        <v>59</v>
      </c>
      <c r="B323" s="63"/>
      <c r="C323" s="64" t="s">
        <v>66</v>
      </c>
      <c r="D323" s="281">
        <f>'Proposed Rates'!G26</f>
        <v>8.4458000000000002</v>
      </c>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0.5" customHeight="1">
      <c r="A324" s="62" t="s">
        <v>45</v>
      </c>
      <c r="B324" s="63"/>
      <c r="C324" s="64" t="s">
        <v>66</v>
      </c>
      <c r="D324" s="283">
        <f>'Proposed Rates'!G265</f>
        <v>1.128E-2</v>
      </c>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 hidden="1" customHeight="1">
      <c r="A325" s="62" t="s">
        <v>47</v>
      </c>
      <c r="B325" s="63"/>
      <c r="C325" s="64" t="s">
        <v>66</v>
      </c>
      <c r="D325" s="281">
        <f>'Proposed Rates'!G42</f>
        <v>0</v>
      </c>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 hidden="1" customHeight="1">
      <c r="A326" s="62" t="s">
        <v>43</v>
      </c>
      <c r="B326" s="63"/>
      <c r="C326" s="64" t="s">
        <v>66</v>
      </c>
      <c r="D326" s="281">
        <f>'Proposed Rates'!G69</f>
        <v>0</v>
      </c>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 hidden="1" customHeight="1">
      <c r="A327" s="62" t="s">
        <v>48</v>
      </c>
      <c r="B327" s="63"/>
      <c r="C327" s="64" t="s">
        <v>46</v>
      </c>
      <c r="D327" s="281">
        <f>'Proposed Rates'!G147</f>
        <v>0</v>
      </c>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0.5" customHeight="1">
      <c r="A328" s="62" t="s">
        <v>49</v>
      </c>
      <c r="B328" s="63"/>
      <c r="C328" s="64" t="s">
        <v>66</v>
      </c>
      <c r="D328" s="281">
        <f>'Proposed Rates'!G188</f>
        <v>2.1576</v>
      </c>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0.5" customHeight="1">
      <c r="A329" s="62" t="s">
        <v>50</v>
      </c>
      <c r="B329" s="63"/>
      <c r="C329" s="64" t="s">
        <v>66</v>
      </c>
      <c r="D329" s="281">
        <f>'Proposed Rates'!G201</f>
        <v>1.2213000000000001</v>
      </c>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9" customHeight="1">
      <c r="A330" s="64"/>
      <c r="B330" s="64"/>
      <c r="C330" s="64"/>
      <c r="D330" s="284"/>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70" t="s">
        <v>51</v>
      </c>
      <c r="B331" s="63"/>
      <c r="C331" s="64"/>
      <c r="D331" s="284"/>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6.75" customHeight="1">
      <c r="A332" s="59"/>
      <c r="B332" s="64"/>
      <c r="C332" s="64"/>
      <c r="D332" s="284"/>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0.5" customHeight="1">
      <c r="A333" s="62" t="s">
        <v>52</v>
      </c>
      <c r="B333" s="63"/>
      <c r="C333" s="64" t="s">
        <v>46</v>
      </c>
      <c r="D333" s="284">
        <f>$D$34</f>
        <v>4.1000000000000003E-3</v>
      </c>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0.5" customHeight="1">
      <c r="A334" s="62" t="s">
        <v>53</v>
      </c>
      <c r="B334" s="63"/>
      <c r="C334" s="64" t="s">
        <v>46</v>
      </c>
      <c r="D334" s="281">
        <f>'Proposed Rates'!G214-'2026'!D335</f>
        <v>3.9999999999999931E-4</v>
      </c>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0.5" customHeight="1">
      <c r="A335" s="62" t="s">
        <v>54</v>
      </c>
      <c r="B335" s="63"/>
      <c r="C335" s="64" t="s">
        <v>46</v>
      </c>
      <c r="D335" s="281">
        <f>'Proposed Rates'!G227</f>
        <v>1.5E-3</v>
      </c>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0.5" customHeight="1">
      <c r="A336" s="62" t="s">
        <v>55</v>
      </c>
      <c r="B336" s="63"/>
      <c r="C336" s="64" t="s">
        <v>41</v>
      </c>
      <c r="D336" s="281">
        <f>'Proposed Rates'!G241</f>
        <v>1.54</v>
      </c>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9.75" customHeight="1">
      <c r="A337" s="292"/>
      <c r="B337" s="293"/>
      <c r="C337" s="294"/>
      <c r="D337" s="295"/>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23.25" customHeight="1">
      <c r="A338" s="597" t="str">
        <f>$A$1</f>
        <v>Hydro Ottawa Limited</v>
      </c>
      <c r="B338" s="595"/>
      <c r="C338" s="595"/>
      <c r="D338" s="596"/>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8" customHeight="1">
      <c r="A339" s="598" t="str">
        <f>$A$2</f>
        <v>PROPOSED - TARIFF OF RATES AND CHARGES</v>
      </c>
      <c r="B339" s="595"/>
      <c r="C339" s="595"/>
      <c r="D339" s="596"/>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99" t="str">
        <f>$A$3</f>
        <v>Effective and Implementation Date January 1, 2027</v>
      </c>
      <c r="B340" s="595"/>
      <c r="C340" s="595"/>
      <c r="D340" s="596"/>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1.25" customHeight="1">
      <c r="A341" s="600" t="str">
        <f>$A$4</f>
        <v>This schedule supersedes and replaces all previously</v>
      </c>
      <c r="B341" s="595"/>
      <c r="C341" s="595"/>
      <c r="D341" s="596"/>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1.25" customHeight="1">
      <c r="A342" s="600" t="str">
        <f>$A$5</f>
        <v>approved schedules of Rates, Charges and Loss Factors</v>
      </c>
      <c r="B342" s="595"/>
      <c r="C342" s="595"/>
      <c r="D342" s="596"/>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6" customHeight="1">
      <c r="A343" s="601" t="str">
        <f>$A$6</f>
        <v>EB-2024-0115</v>
      </c>
      <c r="B343" s="595"/>
      <c r="C343" s="595"/>
      <c r="D343" s="596"/>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8.75" customHeight="1">
      <c r="A344" s="602" t="s">
        <v>209</v>
      </c>
      <c r="B344" s="595"/>
      <c r="C344" s="595"/>
      <c r="D344" s="596"/>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36" customHeight="1">
      <c r="A345" s="603" t="s">
        <v>210</v>
      </c>
      <c r="B345" s="595"/>
      <c r="C345" s="595"/>
      <c r="D345" s="596"/>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6.75" customHeight="1">
      <c r="A346" s="54"/>
      <c r="B346" s="54"/>
      <c r="C346" s="54"/>
      <c r="D346" s="55"/>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1.25" customHeight="1">
      <c r="A347" s="604" t="s">
        <v>34</v>
      </c>
      <c r="B347" s="595"/>
      <c r="C347" s="595"/>
      <c r="D347" s="596"/>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6.75" customHeight="1">
      <c r="A348" s="56"/>
      <c r="B348" s="57"/>
      <c r="C348" s="57"/>
      <c r="D348" s="58"/>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36" customHeight="1">
      <c r="A349" s="603" t="s">
        <v>35</v>
      </c>
      <c r="B349" s="595"/>
      <c r="C349" s="595"/>
      <c r="D349" s="596"/>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6.75" customHeight="1">
      <c r="A350" s="54"/>
      <c r="B350" s="54"/>
      <c r="C350" s="54"/>
      <c r="D350" s="55"/>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48" customHeight="1">
      <c r="A351" s="603" t="s">
        <v>36</v>
      </c>
      <c r="B351" s="595"/>
      <c r="C351" s="595"/>
      <c r="D351" s="596"/>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6.75" customHeight="1">
      <c r="A352" s="54"/>
      <c r="B352" s="54"/>
      <c r="C352" s="54"/>
      <c r="D352" s="55"/>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24" customHeight="1">
      <c r="A353" s="603" t="s">
        <v>93</v>
      </c>
      <c r="B353" s="595"/>
      <c r="C353" s="595"/>
      <c r="D353" s="596"/>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6.75" customHeight="1">
      <c r="A354" s="54"/>
      <c r="B354" s="54"/>
      <c r="C354" s="54"/>
      <c r="D354" s="55"/>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36" customHeight="1">
      <c r="A355" s="603" t="s">
        <v>89</v>
      </c>
      <c r="B355" s="595"/>
      <c r="C355" s="595"/>
      <c r="D355" s="596"/>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6.75" customHeight="1">
      <c r="A356" s="54"/>
      <c r="B356" s="54"/>
      <c r="C356" s="54"/>
      <c r="D356" s="55"/>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 customHeight="1">
      <c r="A357" s="594" t="s">
        <v>39</v>
      </c>
      <c r="B357" s="595"/>
      <c r="C357" s="595"/>
      <c r="D357" s="596"/>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6.75" customHeight="1">
      <c r="A358" s="59"/>
      <c r="B358" s="60"/>
      <c r="C358" s="60"/>
      <c r="D358" s="61"/>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1.25" customHeight="1">
      <c r="A359" s="607" t="s">
        <v>40</v>
      </c>
      <c r="B359" s="596"/>
      <c r="C359" s="64" t="s">
        <v>41</v>
      </c>
      <c r="D359" s="296">
        <f>'Proposed Rates'!G372</f>
        <v>0</v>
      </c>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6" customHeight="1">
      <c r="A360" s="85"/>
      <c r="B360" s="63"/>
      <c r="C360" s="64"/>
      <c r="D360" s="69"/>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23.25" customHeight="1">
      <c r="A361" s="597" t="str">
        <f>$A$1</f>
        <v>Hydro Ottawa Limited</v>
      </c>
      <c r="B361" s="595"/>
      <c r="C361" s="595"/>
      <c r="D361" s="596"/>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8" customHeight="1">
      <c r="A362" s="598" t="str">
        <f>$A$2</f>
        <v>PROPOSED - TARIFF OF RATES AND CHARGES</v>
      </c>
      <c r="B362" s="595"/>
      <c r="C362" s="595"/>
      <c r="D362" s="596"/>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99" t="str">
        <f>$A$3</f>
        <v>Effective and Implementation Date January 1, 2027</v>
      </c>
      <c r="B363" s="595"/>
      <c r="C363" s="595"/>
      <c r="D363" s="596"/>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1.25" customHeight="1">
      <c r="A364" s="600" t="str">
        <f>$A$4</f>
        <v>This schedule supersedes and replaces all previously</v>
      </c>
      <c r="B364" s="595"/>
      <c r="C364" s="595"/>
      <c r="D364" s="596"/>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1.25" customHeight="1">
      <c r="A365" s="600" t="str">
        <f>$A$5</f>
        <v>approved schedules of Rates, Charges and Loss Factors</v>
      </c>
      <c r="B365" s="595"/>
      <c r="C365" s="595"/>
      <c r="D365" s="596"/>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1.25" customHeight="1">
      <c r="A366" s="601" t="str">
        <f>$A$6</f>
        <v>EB-2024-0115</v>
      </c>
      <c r="B366" s="595"/>
      <c r="C366" s="595"/>
      <c r="D366" s="596"/>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8.75" customHeight="1">
      <c r="A367" s="602" t="s">
        <v>91</v>
      </c>
      <c r="B367" s="595"/>
      <c r="C367" s="595"/>
      <c r="D367" s="596"/>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36" customHeight="1">
      <c r="A368" s="603" t="s">
        <v>92</v>
      </c>
      <c r="B368" s="595"/>
      <c r="C368" s="595"/>
      <c r="D368" s="596"/>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6.75" customHeight="1">
      <c r="A369" s="54"/>
      <c r="B369" s="54"/>
      <c r="C369" s="54"/>
      <c r="D369" s="55"/>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1.25" customHeight="1">
      <c r="A370" s="604" t="s">
        <v>34</v>
      </c>
      <c r="B370" s="595"/>
      <c r="C370" s="595"/>
      <c r="D370" s="596"/>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6.75" customHeight="1">
      <c r="A371" s="56"/>
      <c r="B371" s="57"/>
      <c r="C371" s="57"/>
      <c r="D371" s="58"/>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36" customHeight="1">
      <c r="A372" s="603" t="s">
        <v>35</v>
      </c>
      <c r="B372" s="595"/>
      <c r="C372" s="595"/>
      <c r="D372" s="596"/>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6.75" customHeight="1">
      <c r="A373" s="54"/>
      <c r="B373" s="54"/>
      <c r="C373" s="54"/>
      <c r="D373" s="55"/>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48" customHeight="1">
      <c r="A374" s="603" t="s">
        <v>36</v>
      </c>
      <c r="B374" s="595"/>
      <c r="C374" s="595"/>
      <c r="D374" s="596"/>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6.75" customHeight="1">
      <c r="A375" s="54"/>
      <c r="B375" s="54"/>
      <c r="C375" s="54"/>
      <c r="D375" s="55"/>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24" customHeight="1">
      <c r="A376" s="603" t="s">
        <v>93</v>
      </c>
      <c r="B376" s="595"/>
      <c r="C376" s="595"/>
      <c r="D376" s="596"/>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6.75" customHeight="1">
      <c r="A377" s="54"/>
      <c r="B377" s="54"/>
      <c r="C377" s="54"/>
      <c r="D377" s="55"/>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36" customHeight="1">
      <c r="A378" s="603" t="s">
        <v>89</v>
      </c>
      <c r="B378" s="595"/>
      <c r="C378" s="595"/>
      <c r="D378" s="596"/>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6.75" customHeight="1">
      <c r="A379" s="54"/>
      <c r="B379" s="54"/>
      <c r="C379" s="54"/>
      <c r="D379" s="55"/>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 customHeight="1">
      <c r="A380" s="594" t="s">
        <v>39</v>
      </c>
      <c r="B380" s="595"/>
      <c r="C380" s="595"/>
      <c r="D380" s="596"/>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6.75" customHeight="1">
      <c r="A381" s="59"/>
      <c r="B381" s="60"/>
      <c r="C381" s="60"/>
      <c r="D381" s="61"/>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1.25" customHeight="1">
      <c r="A382" s="607" t="s">
        <v>40</v>
      </c>
      <c r="B382" s="596"/>
      <c r="C382" s="64" t="s">
        <v>41</v>
      </c>
      <c r="D382" s="296">
        <f>'Proposed Rates'!G369</f>
        <v>12</v>
      </c>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7.5" customHeight="1">
      <c r="A383" s="85"/>
      <c r="B383" s="63"/>
      <c r="C383" s="64"/>
      <c r="D383" s="69"/>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23.25" customHeight="1">
      <c r="A384" s="597" t="str">
        <f>$A$1</f>
        <v>Hydro Ottawa Limited</v>
      </c>
      <c r="B384" s="595"/>
      <c r="C384" s="595"/>
      <c r="D384" s="596"/>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8" customHeight="1">
      <c r="A385" s="598" t="str">
        <f>$A$2</f>
        <v>PROPOSED - TARIFF OF RATES AND CHARGES</v>
      </c>
      <c r="B385" s="595"/>
      <c r="C385" s="595"/>
      <c r="D385" s="596"/>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99" t="str">
        <f>$A$3</f>
        <v>Effective and Implementation Date January 1, 2027</v>
      </c>
      <c r="B386" s="595"/>
      <c r="C386" s="595"/>
      <c r="D386" s="596"/>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1.25" customHeight="1">
      <c r="A387" s="600" t="str">
        <f>$A$4</f>
        <v>This schedule supersedes and replaces all previously</v>
      </c>
      <c r="B387" s="595"/>
      <c r="C387" s="595"/>
      <c r="D387" s="596"/>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1.25" customHeight="1">
      <c r="A388" s="600" t="str">
        <f>$A$5</f>
        <v>approved schedules of Rates, Charges and Loss Factors</v>
      </c>
      <c r="B388" s="595"/>
      <c r="C388" s="595"/>
      <c r="D388" s="596"/>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1.25" customHeight="1">
      <c r="A389" s="601" t="str">
        <f>$A$6</f>
        <v>EB-2024-0115</v>
      </c>
      <c r="B389" s="595"/>
      <c r="C389" s="595"/>
      <c r="D389" s="596"/>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8.75" customHeight="1">
      <c r="A390" s="602" t="s">
        <v>94</v>
      </c>
      <c r="B390" s="595"/>
      <c r="C390" s="595"/>
      <c r="D390" s="596"/>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36" customHeight="1">
      <c r="A391" s="603" t="s">
        <v>95</v>
      </c>
      <c r="B391" s="595"/>
      <c r="C391" s="595"/>
      <c r="D391" s="596"/>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6.75" customHeight="1">
      <c r="A392" s="54"/>
      <c r="B392" s="54"/>
      <c r="C392" s="54"/>
      <c r="D392" s="55"/>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1.25" customHeight="1">
      <c r="A393" s="604" t="s">
        <v>34</v>
      </c>
      <c r="B393" s="595"/>
      <c r="C393" s="595"/>
      <c r="D393" s="596"/>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6.75" customHeight="1">
      <c r="A394" s="56"/>
      <c r="B394" s="57"/>
      <c r="C394" s="57"/>
      <c r="D394" s="58"/>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36" customHeight="1">
      <c r="A395" s="603" t="s">
        <v>35</v>
      </c>
      <c r="B395" s="595"/>
      <c r="C395" s="595"/>
      <c r="D395" s="596"/>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6.75" customHeight="1">
      <c r="A396" s="54"/>
      <c r="B396" s="54"/>
      <c r="C396" s="54"/>
      <c r="D396" s="55"/>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48" customHeight="1">
      <c r="A397" s="603" t="s">
        <v>36</v>
      </c>
      <c r="B397" s="595"/>
      <c r="C397" s="595"/>
      <c r="D397" s="596"/>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6.75" customHeight="1">
      <c r="A398" s="54"/>
      <c r="B398" s="54"/>
      <c r="C398" s="54"/>
      <c r="D398" s="55"/>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24" customHeight="1">
      <c r="A399" s="603" t="s">
        <v>93</v>
      </c>
      <c r="B399" s="595"/>
      <c r="C399" s="595"/>
      <c r="D399" s="596"/>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6.75" customHeight="1">
      <c r="A400" s="54"/>
      <c r="B400" s="54"/>
      <c r="C400" s="54"/>
      <c r="D400" s="55"/>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36" customHeight="1">
      <c r="A401" s="603" t="s">
        <v>89</v>
      </c>
      <c r="B401" s="595"/>
      <c r="C401" s="595"/>
      <c r="D401" s="596"/>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6.75" customHeight="1">
      <c r="A402" s="54"/>
      <c r="B402" s="54"/>
      <c r="C402" s="54"/>
      <c r="D402" s="55"/>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 customHeight="1">
      <c r="A403" s="594" t="s">
        <v>39</v>
      </c>
      <c r="B403" s="595"/>
      <c r="C403" s="595"/>
      <c r="D403" s="596"/>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6.75" customHeight="1">
      <c r="A404" s="59"/>
      <c r="B404" s="60"/>
      <c r="C404" s="60"/>
      <c r="D404" s="61"/>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1.25" customHeight="1">
      <c r="A405" s="607" t="s">
        <v>40</v>
      </c>
      <c r="B405" s="596"/>
      <c r="C405" s="64" t="s">
        <v>41</v>
      </c>
      <c r="D405" s="296">
        <f>'Proposed Rates'!G370</f>
        <v>89</v>
      </c>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292"/>
      <c r="B406" s="293"/>
      <c r="C406" s="294"/>
      <c r="D406" s="295"/>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23.25" customHeight="1">
      <c r="A407" s="597" t="str">
        <f>$A$1</f>
        <v>Hydro Ottawa Limited</v>
      </c>
      <c r="B407" s="595"/>
      <c r="C407" s="595"/>
      <c r="D407" s="596"/>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8" customHeight="1">
      <c r="A408" s="598" t="str">
        <f>$A$2</f>
        <v>PROPOSED - TARIFF OF RATES AND CHARGES</v>
      </c>
      <c r="B408" s="595"/>
      <c r="C408" s="595"/>
      <c r="D408" s="596"/>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99" t="str">
        <f>$A$3</f>
        <v>Effective and Implementation Date January 1, 2027</v>
      </c>
      <c r="B409" s="595"/>
      <c r="C409" s="595"/>
      <c r="D409" s="596"/>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1.25" customHeight="1">
      <c r="A410" s="600" t="str">
        <f>$A$4</f>
        <v>This schedule supersedes and replaces all previously</v>
      </c>
      <c r="B410" s="595"/>
      <c r="C410" s="595"/>
      <c r="D410" s="596"/>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1.25" customHeight="1">
      <c r="A411" s="600" t="str">
        <f>$A$5</f>
        <v>approved schedules of Rates, Charges and Loss Factors</v>
      </c>
      <c r="B411" s="595"/>
      <c r="C411" s="595"/>
      <c r="D411" s="596"/>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1.25" customHeight="1">
      <c r="A412" s="601" t="str">
        <f>$A$6</f>
        <v>EB-2024-0115</v>
      </c>
      <c r="B412" s="595"/>
      <c r="C412" s="595"/>
      <c r="D412" s="596"/>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8.75" customHeight="1">
      <c r="A413" s="602" t="s">
        <v>96</v>
      </c>
      <c r="B413" s="595"/>
      <c r="C413" s="595"/>
      <c r="D413" s="596"/>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36" customHeight="1">
      <c r="A414" s="603" t="s">
        <v>97</v>
      </c>
      <c r="B414" s="595"/>
      <c r="C414" s="595"/>
      <c r="D414" s="596"/>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6.75" customHeight="1">
      <c r="A415" s="54"/>
      <c r="B415" s="54"/>
      <c r="C415" s="54"/>
      <c r="D415" s="55"/>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1.25" customHeight="1">
      <c r="A416" s="604" t="s">
        <v>34</v>
      </c>
      <c r="B416" s="595"/>
      <c r="C416" s="595"/>
      <c r="D416" s="596"/>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6.75" customHeight="1">
      <c r="A417" s="56"/>
      <c r="B417" s="57"/>
      <c r="C417" s="57"/>
      <c r="D417" s="58"/>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36" customHeight="1">
      <c r="A418" s="603" t="s">
        <v>35</v>
      </c>
      <c r="B418" s="595"/>
      <c r="C418" s="595"/>
      <c r="D418" s="596"/>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6.75" customHeight="1">
      <c r="A419" s="54"/>
      <c r="B419" s="54"/>
      <c r="C419" s="54"/>
      <c r="D419" s="55"/>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48" customHeight="1">
      <c r="A420" s="603" t="s">
        <v>36</v>
      </c>
      <c r="B420" s="595"/>
      <c r="C420" s="595"/>
      <c r="D420" s="596"/>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6.75" customHeight="1">
      <c r="A421" s="54"/>
      <c r="B421" s="54"/>
      <c r="C421" s="54"/>
      <c r="D421" s="55"/>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24" customHeight="1">
      <c r="A422" s="603" t="s">
        <v>93</v>
      </c>
      <c r="B422" s="595"/>
      <c r="C422" s="595"/>
      <c r="D422" s="596"/>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6.75" customHeight="1">
      <c r="A423" s="54"/>
      <c r="B423" s="54"/>
      <c r="C423" s="54"/>
      <c r="D423" s="55"/>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36" customHeight="1">
      <c r="A424" s="603" t="s">
        <v>89</v>
      </c>
      <c r="B424" s="595"/>
      <c r="C424" s="595"/>
      <c r="D424" s="596"/>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6.75" customHeight="1">
      <c r="A425" s="54"/>
      <c r="B425" s="54"/>
      <c r="C425" s="54"/>
      <c r="D425" s="55"/>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 customHeight="1">
      <c r="A426" s="594" t="s">
        <v>39</v>
      </c>
      <c r="B426" s="595"/>
      <c r="C426" s="595"/>
      <c r="D426" s="596"/>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6.75" customHeight="1">
      <c r="A427" s="59"/>
      <c r="B427" s="60"/>
      <c r="C427" s="60"/>
      <c r="D427" s="61"/>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1.25" customHeight="1">
      <c r="A428" s="607" t="s">
        <v>40</v>
      </c>
      <c r="B428" s="596"/>
      <c r="C428" s="64" t="s">
        <v>41</v>
      </c>
      <c r="D428" s="296">
        <f>'Proposed Rates'!G371</f>
        <v>272</v>
      </c>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6.75" customHeight="1">
      <c r="A429" s="94"/>
      <c r="B429" s="85"/>
      <c r="C429" s="64"/>
      <c r="D429" s="284"/>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8" customHeight="1">
      <c r="A430" s="95" t="s">
        <v>98</v>
      </c>
      <c r="B430" s="96"/>
      <c r="C430" s="96"/>
      <c r="D430" s="297"/>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1.25" customHeight="1">
      <c r="A431" s="607" t="s">
        <v>99</v>
      </c>
      <c r="B431" s="596"/>
      <c r="C431" s="97" t="s">
        <v>100</v>
      </c>
      <c r="D431" s="284">
        <v>-1</v>
      </c>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3.5" customHeight="1">
      <c r="A432" s="85"/>
      <c r="B432" s="63"/>
      <c r="C432" s="97"/>
      <c r="D432" s="69"/>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23.25" customHeight="1">
      <c r="A433" s="597" t="str">
        <f>$A$1</f>
        <v>Hydro Ottawa Limited</v>
      </c>
      <c r="B433" s="595"/>
      <c r="C433" s="595"/>
      <c r="D433" s="596"/>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8" customHeight="1">
      <c r="A434" s="598" t="str">
        <f>$A$2</f>
        <v>PROPOSED - TARIFF OF RATES AND CHARGES</v>
      </c>
      <c r="B434" s="595"/>
      <c r="C434" s="595"/>
      <c r="D434" s="596"/>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99" t="str">
        <f>$A$3</f>
        <v>Effective and Implementation Date January 1, 2027</v>
      </c>
      <c r="B435" s="595"/>
      <c r="C435" s="595"/>
      <c r="D435" s="596"/>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1.25" customHeight="1">
      <c r="A436" s="600" t="str">
        <f>$A$4</f>
        <v>This schedule supersedes and replaces all previously</v>
      </c>
      <c r="B436" s="595"/>
      <c r="C436" s="595"/>
      <c r="D436" s="596"/>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1.25" customHeight="1">
      <c r="A437" s="600" t="str">
        <f>$A$5</f>
        <v>approved schedules of Rates, Charges and Loss Factors</v>
      </c>
      <c r="B437" s="595"/>
      <c r="C437" s="595"/>
      <c r="D437" s="596"/>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1.25" customHeight="1">
      <c r="A438" s="601" t="str">
        <f>$A$6</f>
        <v>EB-2024-0115</v>
      </c>
      <c r="B438" s="595"/>
      <c r="C438" s="595"/>
      <c r="D438" s="596"/>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8" customHeight="1">
      <c r="A439" s="95" t="s">
        <v>101</v>
      </c>
      <c r="B439" s="96"/>
      <c r="C439" s="96"/>
      <c r="D439" s="72"/>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6.75" customHeight="1">
      <c r="A440" s="95"/>
      <c r="B440" s="96"/>
      <c r="C440" s="96"/>
      <c r="D440" s="72"/>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1.25" customHeight="1">
      <c r="A441" s="606" t="s">
        <v>34</v>
      </c>
      <c r="B441" s="595"/>
      <c r="C441" s="595"/>
      <c r="D441" s="596"/>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6.75" customHeight="1">
      <c r="A442" s="98"/>
      <c r="B442" s="54"/>
      <c r="C442" s="54"/>
      <c r="D442" s="55"/>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36" customHeight="1">
      <c r="A443" s="603" t="s">
        <v>35</v>
      </c>
      <c r="B443" s="595"/>
      <c r="C443" s="595"/>
      <c r="D443" s="596"/>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6.75" customHeight="1">
      <c r="A444" s="54"/>
      <c r="B444" s="54"/>
      <c r="C444" s="54"/>
      <c r="D444" s="55"/>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48" customHeight="1">
      <c r="A445" s="603" t="s">
        <v>102</v>
      </c>
      <c r="B445" s="595"/>
      <c r="C445" s="595"/>
      <c r="D445" s="596"/>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6.75" customHeight="1">
      <c r="A446" s="54"/>
      <c r="B446" s="54"/>
      <c r="C446" s="54"/>
      <c r="D446" s="55"/>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36" customHeight="1">
      <c r="A447" s="603" t="s">
        <v>38</v>
      </c>
      <c r="B447" s="595"/>
      <c r="C447" s="595"/>
      <c r="D447" s="596"/>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6.75" customHeight="1">
      <c r="A448" s="54"/>
      <c r="B448" s="54"/>
      <c r="C448" s="54"/>
      <c r="D448" s="55"/>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 customHeight="1">
      <c r="A449" s="99" t="s">
        <v>103</v>
      </c>
      <c r="B449" s="96"/>
      <c r="C449" s="96"/>
      <c r="D449" s="72"/>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1.25" customHeight="1">
      <c r="A450" s="62" t="s">
        <v>104</v>
      </c>
      <c r="B450" s="63"/>
      <c r="C450" s="64" t="s">
        <v>41</v>
      </c>
      <c r="D450" s="298">
        <f>'Proposed Rates'!G319</f>
        <v>0</v>
      </c>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1.25" customHeight="1">
      <c r="A451" s="64" t="s">
        <v>105</v>
      </c>
      <c r="B451" s="64"/>
      <c r="C451" s="64" t="s">
        <v>41</v>
      </c>
      <c r="D451" s="298">
        <f>'Proposed Rates'!G320</f>
        <v>30</v>
      </c>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1.25" customHeight="1">
      <c r="A452" s="62" t="s">
        <v>106</v>
      </c>
      <c r="B452" s="63"/>
      <c r="C452" s="64" t="s">
        <v>41</v>
      </c>
      <c r="D452" s="298">
        <f>'Proposed Rates'!G321</f>
        <v>7</v>
      </c>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1.25" customHeight="1">
      <c r="A453" s="62" t="s">
        <v>107</v>
      </c>
      <c r="B453" s="63"/>
      <c r="C453" s="64" t="s">
        <v>41</v>
      </c>
      <c r="D453" s="298">
        <f>'Proposed Rates'!G322</f>
        <v>144</v>
      </c>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1.25" customHeight="1">
      <c r="A454" s="62" t="s">
        <v>108</v>
      </c>
      <c r="B454" s="63"/>
      <c r="C454" s="64" t="s">
        <v>41</v>
      </c>
      <c r="D454" s="298">
        <f>'Proposed Rates'!G323</f>
        <v>20</v>
      </c>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1.25" customHeight="1">
      <c r="A455" s="62" t="s">
        <v>109</v>
      </c>
      <c r="B455" s="63"/>
      <c r="C455" s="64" t="s">
        <v>41</v>
      </c>
      <c r="D455" s="298">
        <f>'Proposed Rates'!G324</f>
        <v>25</v>
      </c>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1.25" customHeight="1">
      <c r="A456" s="62" t="s">
        <v>110</v>
      </c>
      <c r="B456" s="63"/>
      <c r="C456" s="64" t="s">
        <v>41</v>
      </c>
      <c r="D456" s="298">
        <f>'Proposed Rates'!G325</f>
        <v>10</v>
      </c>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1.25" customHeight="1">
      <c r="A457" s="62" t="s">
        <v>111</v>
      </c>
      <c r="B457" s="63"/>
      <c r="C457" s="64" t="s">
        <v>41</v>
      </c>
      <c r="D457" s="298">
        <f>'Proposed Rates'!G328</f>
        <v>374</v>
      </c>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1.25" customHeight="1">
      <c r="A458" s="62" t="s">
        <v>112</v>
      </c>
      <c r="B458" s="63"/>
      <c r="C458" s="64" t="s">
        <v>41</v>
      </c>
      <c r="D458" s="298">
        <f>'Proposed Rates'!G329</f>
        <v>328</v>
      </c>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6.75" customHeight="1">
      <c r="A459" s="64"/>
      <c r="B459" s="64"/>
      <c r="C459" s="64"/>
      <c r="D459" s="284"/>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 customHeight="1">
      <c r="A460" s="99" t="s">
        <v>113</v>
      </c>
      <c r="B460" s="96"/>
      <c r="C460" s="90"/>
      <c r="D460" s="291"/>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1.25" customHeight="1">
      <c r="A461" s="62" t="s">
        <v>114</v>
      </c>
      <c r="B461" s="63"/>
      <c r="C461" s="64" t="s">
        <v>100</v>
      </c>
      <c r="D461" s="296">
        <f>'Proposed Rates'!G332</f>
        <v>1.4999999999999999E-2</v>
      </c>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1.25" customHeight="1">
      <c r="A462" s="62" t="s">
        <v>115</v>
      </c>
      <c r="B462" s="63"/>
      <c r="C462" s="64" t="s">
        <v>41</v>
      </c>
      <c r="D462" s="298">
        <f>'Proposed Rates'!G333</f>
        <v>71</v>
      </c>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1.25" customHeight="1">
      <c r="A463" s="62" t="s">
        <v>116</v>
      </c>
      <c r="B463" s="63"/>
      <c r="C463" s="64" t="s">
        <v>41</v>
      </c>
      <c r="D463" s="298">
        <f>'Proposed Rates'!G334</f>
        <v>96</v>
      </c>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1.25" customHeight="1">
      <c r="A464" s="62" t="s">
        <v>117</v>
      </c>
      <c r="B464" s="63"/>
      <c r="C464" s="64" t="s">
        <v>41</v>
      </c>
      <c r="D464" s="298">
        <f>'Proposed Rates'!G335</f>
        <v>325</v>
      </c>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1.25" customHeight="1">
      <c r="A465" s="62" t="s">
        <v>118</v>
      </c>
      <c r="B465" s="63"/>
      <c r="C465" s="64" t="s">
        <v>41</v>
      </c>
      <c r="D465" s="298">
        <f>'Proposed Rates'!G336</f>
        <v>490</v>
      </c>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6.75" customHeight="1">
      <c r="A466" s="64"/>
      <c r="B466" s="64"/>
      <c r="C466" s="64"/>
      <c r="D466" s="284"/>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 customHeight="1">
      <c r="A467" s="99" t="s">
        <v>119</v>
      </c>
      <c r="B467" s="96"/>
      <c r="C467" s="90"/>
      <c r="D467" s="284"/>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1.25" customHeight="1">
      <c r="A468" s="62" t="s">
        <v>120</v>
      </c>
      <c r="B468" s="63"/>
      <c r="C468" s="64" t="s">
        <v>41</v>
      </c>
      <c r="D468" s="298">
        <f>'Proposed Rates'!G339</f>
        <v>1102</v>
      </c>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1.25" customHeight="1">
      <c r="A469" s="62" t="s">
        <v>121</v>
      </c>
      <c r="B469" s="63"/>
      <c r="C469" s="64" t="s">
        <v>41</v>
      </c>
      <c r="D469" s="298">
        <f>'Proposed Rates'!G340</f>
        <v>1452</v>
      </c>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1.25" customHeight="1">
      <c r="A470" s="62" t="s">
        <v>122</v>
      </c>
      <c r="B470" s="63"/>
      <c r="C470" s="64" t="s">
        <v>41</v>
      </c>
      <c r="D470" s="298">
        <f>'Proposed Rates'!G341</f>
        <v>5116</v>
      </c>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1.25" customHeight="1">
      <c r="A471" s="62" t="s">
        <v>123</v>
      </c>
      <c r="B471" s="63"/>
      <c r="C471" s="64" t="s">
        <v>41</v>
      </c>
      <c r="D471" s="296">
        <f>'Proposed Rates'!G342</f>
        <v>39.14</v>
      </c>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1.25" customHeight="1">
      <c r="A472" s="62" t="s">
        <v>124</v>
      </c>
      <c r="B472" s="63"/>
      <c r="C472" s="64"/>
      <c r="D472" s="284" t="str">
        <f>'Proposed Rates'!G343</f>
        <v>Per Attached Table</v>
      </c>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1.25" customHeight="1">
      <c r="A473" s="62" t="s">
        <v>125</v>
      </c>
      <c r="B473" s="63"/>
      <c r="C473" s="64" t="s">
        <v>41</v>
      </c>
      <c r="D473" s="298">
        <f>'Proposed Rates'!G344</f>
        <v>168</v>
      </c>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6.5" customHeight="1">
      <c r="A474" s="292"/>
      <c r="B474" s="299"/>
      <c r="C474" s="64"/>
      <c r="D474" s="69"/>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23.25" customHeight="1">
      <c r="A475" s="597" t="str">
        <f>$A$1</f>
        <v>Hydro Ottawa Limited</v>
      </c>
      <c r="B475" s="595"/>
      <c r="C475" s="595"/>
      <c r="D475" s="596"/>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8" customHeight="1">
      <c r="A476" s="598" t="str">
        <f>$A$2</f>
        <v>PROPOSED - TARIFF OF RATES AND CHARGES</v>
      </c>
      <c r="B476" s="595"/>
      <c r="C476" s="595"/>
      <c r="D476" s="596"/>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99" t="str">
        <f>$A$3</f>
        <v>Effective and Implementation Date January 1, 2027</v>
      </c>
      <c r="B477" s="595"/>
      <c r="C477" s="595"/>
      <c r="D477" s="596"/>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1.25" customHeight="1">
      <c r="A478" s="600" t="str">
        <f>$A$4</f>
        <v>This schedule supersedes and replaces all previously</v>
      </c>
      <c r="B478" s="595"/>
      <c r="C478" s="595"/>
      <c r="D478" s="596"/>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1.25" customHeight="1">
      <c r="A479" s="600" t="str">
        <f>$A$5</f>
        <v>approved schedules of Rates, Charges and Loss Factors</v>
      </c>
      <c r="B479" s="595"/>
      <c r="C479" s="595"/>
      <c r="D479" s="596"/>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1.25" customHeight="1">
      <c r="A480" s="601" t="str">
        <f>$A$6</f>
        <v>EB-2024-0115</v>
      </c>
      <c r="B480" s="595"/>
      <c r="C480" s="595"/>
      <c r="D480" s="596"/>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8" customHeight="1">
      <c r="A481" s="95" t="s">
        <v>126</v>
      </c>
      <c r="B481" s="96"/>
      <c r="C481" s="96"/>
      <c r="D481" s="72"/>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6.75" customHeight="1">
      <c r="A482" s="95"/>
      <c r="B482" s="96"/>
      <c r="C482" s="96"/>
      <c r="D482" s="72"/>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36" customHeight="1">
      <c r="A483" s="603" t="s">
        <v>127</v>
      </c>
      <c r="B483" s="595"/>
      <c r="C483" s="595"/>
      <c r="D483" s="596"/>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6.75" customHeight="1">
      <c r="A484" s="54"/>
      <c r="B484" s="54"/>
      <c r="C484" s="54"/>
      <c r="D484" s="55"/>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48" customHeight="1">
      <c r="A485" s="603" t="s">
        <v>36</v>
      </c>
      <c r="B485" s="595"/>
      <c r="C485" s="595"/>
      <c r="D485" s="596"/>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6.75" customHeight="1">
      <c r="A486" s="54"/>
      <c r="B486" s="54"/>
      <c r="C486" s="54"/>
      <c r="D486" s="55"/>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24" customHeight="1">
      <c r="A487" s="603" t="s">
        <v>79</v>
      </c>
      <c r="B487" s="595"/>
      <c r="C487" s="595"/>
      <c r="D487" s="596"/>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6.75" customHeight="1">
      <c r="A488" s="54"/>
      <c r="B488" s="54"/>
      <c r="C488" s="54"/>
      <c r="D488" s="55"/>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36" customHeight="1">
      <c r="A489" s="603" t="s">
        <v>38</v>
      </c>
      <c r="B489" s="595"/>
      <c r="C489" s="595"/>
      <c r="D489" s="596"/>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6.75" customHeight="1">
      <c r="A490" s="54"/>
      <c r="B490" s="54"/>
      <c r="C490" s="54"/>
      <c r="D490" s="55"/>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24" customHeight="1">
      <c r="A491" s="603" t="s">
        <v>128</v>
      </c>
      <c r="B491" s="595"/>
      <c r="C491" s="595"/>
      <c r="D491" s="596"/>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0.5" customHeight="1">
      <c r="A492" s="54"/>
      <c r="B492" s="63"/>
      <c r="C492" s="63"/>
      <c r="D492" s="6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0.5" customHeight="1">
      <c r="A493" s="62" t="s">
        <v>129</v>
      </c>
      <c r="B493" s="63"/>
      <c r="C493" s="102" t="s">
        <v>41</v>
      </c>
      <c r="D493" s="300">
        <f>'Proposed Rates'!G347</f>
        <v>125.72</v>
      </c>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0.5" customHeight="1">
      <c r="A494" s="62" t="s">
        <v>130</v>
      </c>
      <c r="B494" s="63"/>
      <c r="C494" s="102" t="s">
        <v>41</v>
      </c>
      <c r="D494" s="300">
        <f>'Proposed Rates'!G348</f>
        <v>50.29</v>
      </c>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0.5" customHeight="1">
      <c r="A495" s="62" t="s">
        <v>131</v>
      </c>
      <c r="B495" s="63"/>
      <c r="C495" s="102" t="s">
        <v>132</v>
      </c>
      <c r="D495" s="300">
        <f>'Proposed Rates'!G349</f>
        <v>1.24</v>
      </c>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0.5" customHeight="1">
      <c r="A496" s="62" t="s">
        <v>133</v>
      </c>
      <c r="B496" s="63"/>
      <c r="C496" s="102" t="s">
        <v>132</v>
      </c>
      <c r="D496" s="300">
        <f>'Proposed Rates'!G350</f>
        <v>0.74</v>
      </c>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0.5" customHeight="1">
      <c r="A497" s="62" t="s">
        <v>134</v>
      </c>
      <c r="B497" s="63"/>
      <c r="C497" s="102" t="s">
        <v>132</v>
      </c>
      <c r="D497" s="300">
        <f>'Proposed Rates'!G351</f>
        <v>-0.74</v>
      </c>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0.5" customHeight="1">
      <c r="A498" s="62" t="s">
        <v>135</v>
      </c>
      <c r="B498" s="63"/>
      <c r="C498" s="62"/>
      <c r="D498" s="300"/>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0.5" customHeight="1">
      <c r="A499" s="62" t="s">
        <v>136</v>
      </c>
      <c r="B499" s="63"/>
      <c r="C499" s="102" t="s">
        <v>41</v>
      </c>
      <c r="D499" s="300">
        <f>'Proposed Rates'!G353</f>
        <v>0.63</v>
      </c>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0.5" customHeight="1">
      <c r="A500" s="62" t="s">
        <v>137</v>
      </c>
      <c r="B500" s="63"/>
      <c r="C500" s="102" t="s">
        <v>41</v>
      </c>
      <c r="D500" s="300">
        <f>'Proposed Rates'!G354</f>
        <v>1.24</v>
      </c>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4.5" customHeight="1">
      <c r="A501" s="62"/>
      <c r="B501" s="63"/>
      <c r="C501" s="102"/>
      <c r="D501" s="291"/>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0.5" customHeight="1">
      <c r="A502" s="62" t="s">
        <v>138</v>
      </c>
      <c r="B502" s="63"/>
      <c r="C502" s="105"/>
      <c r="D502" s="291"/>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0.5" customHeight="1">
      <c r="A503" s="62" t="s">
        <v>139</v>
      </c>
      <c r="B503" s="63"/>
      <c r="C503" s="105"/>
      <c r="D503" s="291"/>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0.5" customHeight="1">
      <c r="A504" s="62" t="s">
        <v>140</v>
      </c>
      <c r="B504" s="63"/>
      <c r="C504" s="105"/>
      <c r="D504" s="291"/>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0.5" customHeight="1">
      <c r="A505" s="62" t="s">
        <v>141</v>
      </c>
      <c r="B505" s="63"/>
      <c r="C505" s="102" t="s">
        <v>41</v>
      </c>
      <c r="D505" s="291" t="str">
        <f>'Proposed Rates'!G358</f>
        <v>no charge</v>
      </c>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0.5" customHeight="1">
      <c r="A506" s="62" t="s">
        <v>142</v>
      </c>
      <c r="B506" s="63"/>
      <c r="C506" s="102" t="s">
        <v>41</v>
      </c>
      <c r="D506" s="300">
        <f>'Proposed Rates'!G359</f>
        <v>5.03</v>
      </c>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4.5" customHeight="1">
      <c r="A507" s="62"/>
      <c r="B507" s="63"/>
      <c r="C507" s="102"/>
      <c r="D507" s="300"/>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0.5" customHeight="1">
      <c r="A508" s="62" t="s">
        <v>143</v>
      </c>
      <c r="B508" s="63"/>
      <c r="C508" s="105"/>
      <c r="D508" s="300"/>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0.5" customHeight="1">
      <c r="A509" s="62" t="s">
        <v>144</v>
      </c>
      <c r="B509" s="63"/>
      <c r="C509" s="102" t="s">
        <v>41</v>
      </c>
      <c r="D509" s="300">
        <f>'Proposed Rates'!G361</f>
        <v>2.5099999999999998</v>
      </c>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8.25" customHeight="1">
      <c r="A510" s="73"/>
      <c r="B510" s="73"/>
      <c r="C510" s="102"/>
      <c r="D510" s="10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21.75" customHeight="1">
      <c r="A511" s="597" t="str">
        <f>$A$1</f>
        <v>Hydro Ottawa Limited</v>
      </c>
      <c r="B511" s="595"/>
      <c r="C511" s="595"/>
      <c r="D511" s="596"/>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98" t="str">
        <f>$A$2</f>
        <v>PROPOSED - TARIFF OF RATES AND CHARGES</v>
      </c>
      <c r="B512" s="595"/>
      <c r="C512" s="595"/>
      <c r="D512" s="596"/>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99" t="str">
        <f>$A$3</f>
        <v>Effective and Implementation Date January 1, 2027</v>
      </c>
      <c r="B513" s="595"/>
      <c r="C513" s="595"/>
      <c r="D513" s="596"/>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600" t="str">
        <f>$A$4</f>
        <v>This schedule supersedes and replaces all previously</v>
      </c>
      <c r="B514" s="595"/>
      <c r="C514" s="595"/>
      <c r="D514" s="596"/>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600" t="str">
        <f>$A$5</f>
        <v>approved schedules of Rates, Charges and Loss Factors</v>
      </c>
      <c r="B515" s="595"/>
      <c r="C515" s="595"/>
      <c r="D515" s="596"/>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601" t="str">
        <f>$A$6</f>
        <v>EB-2024-0115</v>
      </c>
      <c r="B516" s="595"/>
      <c r="C516" s="595"/>
      <c r="D516" s="596"/>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24.75" customHeight="1">
      <c r="A517" s="106" t="s">
        <v>145</v>
      </c>
      <c r="B517" s="106"/>
      <c r="C517" s="107"/>
      <c r="D517" s="108"/>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6.75" customHeight="1">
      <c r="A518" s="106"/>
      <c r="B518" s="106"/>
      <c r="C518" s="107"/>
      <c r="D518" s="108"/>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23.25" customHeight="1">
      <c r="A519" s="605" t="s">
        <v>146</v>
      </c>
      <c r="B519" s="595"/>
      <c r="C519" s="596"/>
      <c r="D519" s="6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1.25" customHeight="1">
      <c r="A520" s="62" t="s">
        <v>147</v>
      </c>
      <c r="B520" s="63"/>
      <c r="C520" s="63"/>
      <c r="D520" s="284">
        <f>'Proposed Rates'!G312</f>
        <v>1.0331999999999999</v>
      </c>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1.25" customHeight="1">
      <c r="A521" s="62" t="s">
        <v>148</v>
      </c>
      <c r="B521" s="63"/>
      <c r="C521" s="63"/>
      <c r="D521" s="284">
        <f>'Proposed Rates'!G313</f>
        <v>1.0149999999999999</v>
      </c>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1.25" customHeight="1">
      <c r="A522" s="62" t="s">
        <v>149</v>
      </c>
      <c r="B522" s="63"/>
      <c r="C522" s="63"/>
      <c r="D522" s="284">
        <f>'Proposed Rates'!G314</f>
        <v>1.0230999999999999</v>
      </c>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1.25" customHeight="1">
      <c r="A523" s="62" t="s">
        <v>150</v>
      </c>
      <c r="B523" s="63"/>
      <c r="C523" s="63"/>
      <c r="D523" s="284">
        <f>'Proposed Rates'!G315</f>
        <v>1.0047999999999999</v>
      </c>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c r="A524" s="53"/>
      <c r="B524" s="53"/>
      <c r="C524" s="53"/>
      <c r="D524" s="109"/>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c r="A525" s="53"/>
      <c r="B525" s="53"/>
      <c r="C525" s="53"/>
      <c r="D525" s="109"/>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c r="A526" s="53"/>
      <c r="B526" s="53"/>
      <c r="C526" s="53"/>
      <c r="D526" s="109"/>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109"/>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109"/>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109"/>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109"/>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109"/>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109"/>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109"/>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109"/>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109"/>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109"/>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109"/>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109"/>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109"/>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109"/>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109"/>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109"/>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109"/>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109"/>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109"/>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109"/>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109"/>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109"/>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109"/>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109"/>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109"/>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109"/>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109"/>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109"/>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109"/>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109"/>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109"/>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109"/>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109"/>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109"/>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109"/>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109"/>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109"/>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109"/>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109"/>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109"/>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109"/>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109"/>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109"/>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109"/>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109"/>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109"/>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109"/>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109"/>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109"/>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109"/>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109"/>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109"/>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109"/>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109"/>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109"/>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109"/>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109"/>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109"/>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109"/>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109"/>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109"/>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109"/>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109"/>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109"/>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109"/>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109"/>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109"/>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109"/>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109"/>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109"/>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109"/>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109"/>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109"/>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109"/>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109"/>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109"/>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109"/>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109"/>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109"/>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109"/>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109"/>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109"/>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109"/>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109"/>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109"/>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109"/>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109"/>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109"/>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109"/>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109"/>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109"/>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109"/>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109"/>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109"/>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109"/>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109"/>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109"/>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109"/>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109"/>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109"/>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109"/>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109"/>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109"/>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109"/>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109"/>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109"/>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109"/>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109"/>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109"/>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109"/>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109"/>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109"/>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109"/>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109"/>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109"/>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109"/>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109"/>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109"/>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109"/>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109"/>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109"/>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109"/>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109"/>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109"/>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109"/>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109"/>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109"/>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109"/>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109"/>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109"/>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109"/>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109"/>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109"/>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109"/>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109"/>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109"/>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109"/>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109"/>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109"/>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109"/>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109"/>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109"/>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109"/>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109"/>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109"/>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109"/>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109"/>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109"/>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109"/>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109"/>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109"/>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109"/>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109"/>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109"/>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109"/>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109"/>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109"/>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109"/>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109"/>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109"/>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109"/>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109"/>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109"/>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109"/>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109"/>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109"/>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109"/>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109"/>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109"/>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109"/>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109"/>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109"/>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109"/>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109"/>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109"/>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109"/>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109"/>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109"/>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109"/>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109"/>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109"/>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109"/>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109"/>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109"/>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109"/>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109"/>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109"/>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109"/>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109"/>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109"/>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109"/>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109"/>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109"/>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109"/>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109"/>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109"/>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109"/>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row r="725" spans="1:26" ht="15.75" customHeight="1"/>
    <row r="726" spans="1:26" ht="15.75" customHeight="1"/>
    <row r="727" spans="1:26" ht="15.75" customHeight="1"/>
    <row r="728" spans="1:26" ht="15.75" customHeight="1"/>
    <row r="729" spans="1:26" ht="15.75" customHeight="1"/>
    <row r="730" spans="1:26" ht="15.75" customHeight="1"/>
    <row r="731" spans="1:26" ht="15.75" customHeight="1"/>
    <row r="732" spans="1:26" ht="15.75" customHeight="1"/>
    <row r="733" spans="1:26" ht="15.75" customHeight="1"/>
    <row r="734" spans="1:26" ht="15.75" customHeight="1"/>
    <row r="735" spans="1:26" ht="15.75" customHeight="1"/>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3">
    <mergeCell ref="A320:D320"/>
    <mergeCell ref="A338:D338"/>
    <mergeCell ref="A339:D339"/>
    <mergeCell ref="A340:D340"/>
    <mergeCell ref="A341:D341"/>
    <mergeCell ref="A342:D342"/>
    <mergeCell ref="A343:D343"/>
    <mergeCell ref="A344:D344"/>
    <mergeCell ref="A345:D345"/>
    <mergeCell ref="A420:D420"/>
    <mergeCell ref="A422:D422"/>
    <mergeCell ref="A424:D424"/>
    <mergeCell ref="A426:D426"/>
    <mergeCell ref="A361:D361"/>
    <mergeCell ref="A362:D362"/>
    <mergeCell ref="A363:D363"/>
    <mergeCell ref="A364:D364"/>
    <mergeCell ref="A365:D365"/>
    <mergeCell ref="A366:D366"/>
    <mergeCell ref="A367:D367"/>
    <mergeCell ref="A368:D368"/>
    <mergeCell ref="A370:D370"/>
    <mergeCell ref="A372:D372"/>
    <mergeCell ref="A374:D374"/>
    <mergeCell ref="A376:D376"/>
    <mergeCell ref="A378:D378"/>
    <mergeCell ref="A380:D380"/>
    <mergeCell ref="A382:B382"/>
    <mergeCell ref="A476:D476"/>
    <mergeCell ref="A477:D477"/>
    <mergeCell ref="A478:D478"/>
    <mergeCell ref="A479:D479"/>
    <mergeCell ref="A428:B428"/>
    <mergeCell ref="A431:B431"/>
    <mergeCell ref="A433:D433"/>
    <mergeCell ref="A434:D434"/>
    <mergeCell ref="A435:D435"/>
    <mergeCell ref="A436:D436"/>
    <mergeCell ref="A437:D437"/>
    <mergeCell ref="A438:D438"/>
    <mergeCell ref="A441:D441"/>
    <mergeCell ref="A512:D512"/>
    <mergeCell ref="A513:D513"/>
    <mergeCell ref="A514:D514"/>
    <mergeCell ref="A515:D515"/>
    <mergeCell ref="A516:D516"/>
    <mergeCell ref="A519:C519"/>
    <mergeCell ref="A480:D480"/>
    <mergeCell ref="A483:D483"/>
    <mergeCell ref="A485:D485"/>
    <mergeCell ref="A487:D487"/>
    <mergeCell ref="A489:D489"/>
    <mergeCell ref="A491:D491"/>
    <mergeCell ref="A511:D511"/>
    <mergeCell ref="A182:D182"/>
    <mergeCell ref="A184:D184"/>
    <mergeCell ref="A202:D202"/>
    <mergeCell ref="A203:D203"/>
    <mergeCell ref="A204:D204"/>
    <mergeCell ref="A205:D205"/>
    <mergeCell ref="A206:D206"/>
    <mergeCell ref="A207:D207"/>
    <mergeCell ref="A208:D208"/>
    <mergeCell ref="A209:D209"/>
    <mergeCell ref="A211:D211"/>
    <mergeCell ref="A213:D213"/>
    <mergeCell ref="A215:D215"/>
    <mergeCell ref="A217:D217"/>
    <mergeCell ref="A219:D219"/>
    <mergeCell ref="A238:D238"/>
    <mergeCell ref="A239:D239"/>
    <mergeCell ref="A240:D240"/>
    <mergeCell ref="A241:D241"/>
    <mergeCell ref="A242:D242"/>
    <mergeCell ref="A243:D243"/>
    <mergeCell ref="A244:D244"/>
    <mergeCell ref="A245:D245"/>
    <mergeCell ref="A247:D247"/>
    <mergeCell ref="A249:D249"/>
    <mergeCell ref="A251:D251"/>
    <mergeCell ref="A253:D253"/>
    <mergeCell ref="A255:D255"/>
    <mergeCell ref="A257:D257"/>
    <mergeCell ref="A264:D264"/>
    <mergeCell ref="A265:D265"/>
    <mergeCell ref="A266:D266"/>
    <mergeCell ref="A267:D267"/>
    <mergeCell ref="A268:D268"/>
    <mergeCell ref="A269:D269"/>
    <mergeCell ref="A270:D270"/>
    <mergeCell ref="A445:D445"/>
    <mergeCell ref="A447:D447"/>
    <mergeCell ref="A475:D475"/>
    <mergeCell ref="A301:D301"/>
    <mergeCell ref="A302:D302"/>
    <mergeCell ref="A303:D303"/>
    <mergeCell ref="A304:D304"/>
    <mergeCell ref="A305:D305"/>
    <mergeCell ref="A306:D306"/>
    <mergeCell ref="A307:D307"/>
    <mergeCell ref="A308:D308"/>
    <mergeCell ref="A310:D310"/>
    <mergeCell ref="A312:D312"/>
    <mergeCell ref="A314:D314"/>
    <mergeCell ref="A316:D316"/>
    <mergeCell ref="A318:D318"/>
    <mergeCell ref="A357:D357"/>
    <mergeCell ref="A359:B359"/>
    <mergeCell ref="A443:D443"/>
    <mergeCell ref="A347:D347"/>
    <mergeCell ref="A349:D349"/>
    <mergeCell ref="A351:D351"/>
    <mergeCell ref="A353:D353"/>
    <mergeCell ref="A355:D355"/>
    <mergeCell ref="A43:D43"/>
    <mergeCell ref="A44:D44"/>
    <mergeCell ref="A45:D45"/>
    <mergeCell ref="A46:D46"/>
    <mergeCell ref="A48:D48"/>
    <mergeCell ref="A140:D140"/>
    <mergeCell ref="A142:D142"/>
    <mergeCell ref="A162:D162"/>
    <mergeCell ref="A163:D163"/>
    <mergeCell ref="A126:D126"/>
    <mergeCell ref="A127:D127"/>
    <mergeCell ref="A129:D129"/>
    <mergeCell ref="A131:D131"/>
    <mergeCell ref="A133:D133"/>
    <mergeCell ref="A135:D135"/>
    <mergeCell ref="A137:D137"/>
    <mergeCell ref="A138:D138"/>
    <mergeCell ref="A139:D139"/>
    <mergeCell ref="A96:D96"/>
    <mergeCell ref="A97:D97"/>
    <mergeCell ref="A99:D99"/>
    <mergeCell ref="A120:D120"/>
    <mergeCell ref="A121:D121"/>
    <mergeCell ref="A122:D122"/>
    <mergeCell ref="A12:D12"/>
    <mergeCell ref="A14:D14"/>
    <mergeCell ref="A16:D16"/>
    <mergeCell ref="A18:D18"/>
    <mergeCell ref="A20:D20"/>
    <mergeCell ref="A39:D39"/>
    <mergeCell ref="A40:D40"/>
    <mergeCell ref="A41:D41"/>
    <mergeCell ref="A42:D42"/>
    <mergeCell ref="A1:D1"/>
    <mergeCell ref="A2:D2"/>
    <mergeCell ref="A3:D3"/>
    <mergeCell ref="A4:D4"/>
    <mergeCell ref="A5:D5"/>
    <mergeCell ref="A6:D6"/>
    <mergeCell ref="A7:D7"/>
    <mergeCell ref="A8:D8"/>
    <mergeCell ref="A10:D10"/>
    <mergeCell ref="A50:D50"/>
    <mergeCell ref="A52:D52"/>
    <mergeCell ref="A54:D54"/>
    <mergeCell ref="A56:D56"/>
    <mergeCell ref="A58:D58"/>
    <mergeCell ref="A77:D77"/>
    <mergeCell ref="A78:D78"/>
    <mergeCell ref="A79:D79"/>
    <mergeCell ref="A80:D80"/>
    <mergeCell ref="A81:D81"/>
    <mergeCell ref="A82:D82"/>
    <mergeCell ref="A83:D83"/>
    <mergeCell ref="A84:D84"/>
    <mergeCell ref="A86:D86"/>
    <mergeCell ref="A88:D88"/>
    <mergeCell ref="A90:D90"/>
    <mergeCell ref="A92:D92"/>
    <mergeCell ref="A94:D94"/>
    <mergeCell ref="A95:D95"/>
    <mergeCell ref="A171:D171"/>
    <mergeCell ref="A173:D173"/>
    <mergeCell ref="A175:D175"/>
    <mergeCell ref="A177:D177"/>
    <mergeCell ref="A179:D179"/>
    <mergeCell ref="A180:D180"/>
    <mergeCell ref="A181:D181"/>
    <mergeCell ref="A283:D283"/>
    <mergeCell ref="A169:D169"/>
    <mergeCell ref="A164:D164"/>
    <mergeCell ref="A165:D165"/>
    <mergeCell ref="A166:D166"/>
    <mergeCell ref="A167:D167"/>
    <mergeCell ref="A168:D168"/>
    <mergeCell ref="A123:D123"/>
    <mergeCell ref="A124:D124"/>
    <mergeCell ref="A125:D125"/>
    <mergeCell ref="A271:D271"/>
    <mergeCell ref="A273:D273"/>
    <mergeCell ref="A275:D275"/>
    <mergeCell ref="A277:D277"/>
    <mergeCell ref="A279:D279"/>
    <mergeCell ref="A281:D281"/>
    <mergeCell ref="A384:D384"/>
    <mergeCell ref="A385:D385"/>
    <mergeCell ref="A386:D386"/>
    <mergeCell ref="A387:D387"/>
    <mergeCell ref="A388:D388"/>
    <mergeCell ref="A389:D389"/>
    <mergeCell ref="A390:D390"/>
    <mergeCell ref="A391:D391"/>
    <mergeCell ref="A393:D393"/>
    <mergeCell ref="A410:D410"/>
    <mergeCell ref="A411:D411"/>
    <mergeCell ref="A412:D412"/>
    <mergeCell ref="A413:D413"/>
    <mergeCell ref="A414:D414"/>
    <mergeCell ref="A416:D416"/>
    <mergeCell ref="A418:D418"/>
    <mergeCell ref="A395:D395"/>
    <mergeCell ref="A397:D397"/>
    <mergeCell ref="A399:D399"/>
    <mergeCell ref="A401:D401"/>
    <mergeCell ref="A403:D403"/>
    <mergeCell ref="A405:B405"/>
    <mergeCell ref="A407:D407"/>
    <mergeCell ref="A408:D408"/>
    <mergeCell ref="A409:D409"/>
  </mergeCells>
  <pageMargins left="0.7" right="0.7" top="0.75" bottom="0.75" header="0" footer="0"/>
  <pageSetup fitToHeight="0"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T1000"/>
  <sheetViews>
    <sheetView showGridLines="0" topLeftCell="O1"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3.140625" customWidth="1"/>
    <col min="6" max="6" width="11.140625" customWidth="1"/>
    <col min="7" max="7" width="11" customWidth="1"/>
    <col min="8" max="8" width="13" customWidth="1"/>
    <col min="9" max="9" width="0.85546875" customWidth="1"/>
    <col min="10" max="10" width="10.42578125" customWidth="1"/>
    <col min="11" max="11" width="11" customWidth="1"/>
    <col min="12" max="12" width="13" customWidth="1"/>
    <col min="13" max="13" width="0.7109375" customWidth="1"/>
    <col min="14" max="14" width="12.28515625" customWidth="1"/>
    <col min="15" max="15" width="10" customWidth="1"/>
    <col min="16" max="16" width="0.42578125" customWidth="1"/>
    <col min="17" max="17" width="10.42578125" customWidth="1"/>
    <col min="18" max="18" width="11" customWidth="1"/>
    <col min="19" max="19" width="13" customWidth="1"/>
    <col min="20" max="20" width="0.42578125" customWidth="1"/>
    <col min="21" max="21" width="12.28515625" customWidth="1"/>
    <col min="22" max="22" width="10" customWidth="1"/>
    <col min="23" max="23" width="1" customWidth="1"/>
    <col min="24" max="24" width="10.425781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0.42578125" customWidth="1"/>
    <col min="32" max="32" width="11" customWidth="1"/>
    <col min="33" max="33" width="13" customWidth="1"/>
    <col min="34" max="34" width="0.42578125" customWidth="1"/>
    <col min="35" max="35" width="11" customWidth="1"/>
    <col min="36" max="36" width="10" customWidth="1"/>
    <col min="37" max="37" width="0.7109375" customWidth="1"/>
    <col min="38" max="38" width="10.42578125" customWidth="1"/>
    <col min="39" max="39" width="11" customWidth="1"/>
    <col min="40" max="40" width="13" customWidth="1"/>
    <col min="41" max="41" width="1.28515625" customWidth="1"/>
    <col min="42" max="42" width="11.28515625" customWidth="1"/>
    <col min="43" max="43" width="10" customWidth="1"/>
    <col min="44" max="44" width="1.28515625" customWidth="1"/>
    <col min="45" max="46" width="12.42578125" customWidth="1"/>
  </cols>
  <sheetData>
    <row r="1" spans="1:46" ht="12" customHeight="1">
      <c r="A1" s="52"/>
      <c r="B1" s="52"/>
      <c r="C1" s="577"/>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6" ht="12" customHeight="1">
      <c r="A2" s="52"/>
      <c r="B2" s="52"/>
      <c r="C2" s="578"/>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6" ht="12" customHeight="1">
      <c r="A3" s="52"/>
      <c r="B3" s="52"/>
      <c r="C3" s="578"/>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6" ht="12" customHeight="1">
      <c r="A4" s="52"/>
      <c r="B4" s="52"/>
      <c r="C4" s="577"/>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6" ht="12" customHeight="1">
      <c r="A5" s="52"/>
      <c r="B5" s="52"/>
      <c r="C5" s="577"/>
      <c r="D5" s="52"/>
      <c r="E5" s="52"/>
      <c r="F5" s="52"/>
      <c r="G5" s="52"/>
      <c r="H5" s="52"/>
      <c r="I5" s="52"/>
      <c r="J5" s="52"/>
      <c r="K5" s="52"/>
      <c r="L5" s="3"/>
      <c r="M5" s="3"/>
      <c r="N5" s="3"/>
      <c r="O5" s="3"/>
      <c r="P5" s="3"/>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3"/>
      <c r="AT5" s="3"/>
    </row>
    <row r="6" spans="1:46" ht="12" customHeight="1">
      <c r="A6" s="52"/>
      <c r="B6" s="319" t="s">
        <v>294</v>
      </c>
      <c r="C6" s="577"/>
      <c r="D6" s="381" t="s">
        <v>224</v>
      </c>
      <c r="E6" s="381"/>
      <c r="F6" s="382"/>
      <c r="G6" s="382"/>
      <c r="H6" s="382"/>
      <c r="I6" s="382"/>
      <c r="J6" s="382"/>
      <c r="K6" s="382"/>
      <c r="L6" s="382"/>
      <c r="M6" s="382"/>
      <c r="N6" s="382"/>
      <c r="O6" s="38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row>
    <row r="7" spans="1:46" ht="16.5" customHeight="1">
      <c r="A7" s="52"/>
      <c r="B7" s="383"/>
      <c r="C7" s="577"/>
      <c r="D7" s="384"/>
      <c r="E7" s="384"/>
      <c r="F7" s="384"/>
      <c r="G7" s="384"/>
      <c r="H7" s="384"/>
      <c r="I7" s="384"/>
      <c r="J7" s="384"/>
      <c r="K7" s="384"/>
      <c r="L7" s="576">
        <v>262</v>
      </c>
      <c r="M7" s="572" t="s">
        <v>419</v>
      </c>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row>
    <row r="8" spans="1:46" ht="17.25" customHeight="1">
      <c r="A8" s="52"/>
      <c r="B8" s="319" t="s">
        <v>295</v>
      </c>
      <c r="C8" s="577"/>
      <c r="D8" s="385" t="s">
        <v>296</v>
      </c>
      <c r="E8" s="384"/>
      <c r="F8" s="384"/>
      <c r="G8" s="384"/>
      <c r="H8" s="384"/>
      <c r="I8" s="384"/>
      <c r="J8" s="384"/>
      <c r="K8" s="384"/>
      <c r="L8" s="576">
        <v>63264</v>
      </c>
      <c r="M8" s="572" t="s">
        <v>420</v>
      </c>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6" ht="12" customHeight="1">
      <c r="A9" s="52"/>
      <c r="B9" s="383"/>
      <c r="C9" s="577"/>
      <c r="D9" s="306" t="s">
        <v>297</v>
      </c>
      <c r="E9" s="306"/>
      <c r="F9" s="386">
        <v>1745419</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6" ht="12" customHeight="1">
      <c r="A10" s="52"/>
      <c r="B10" s="52"/>
      <c r="C10" s="577"/>
      <c r="D10" s="52"/>
      <c r="E10" s="52"/>
      <c r="F10" s="386">
        <v>4909.7700000000004</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6" ht="12" customHeight="1">
      <c r="A11" s="52"/>
      <c r="B11" s="52"/>
      <c r="C11" s="577"/>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6" ht="12" customHeight="1">
      <c r="A12" s="52"/>
      <c r="B12" s="52"/>
      <c r="C12" s="577"/>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6" ht="12" customHeight="1">
      <c r="A13" s="52"/>
      <c r="B13" s="52"/>
      <c r="C13" s="577"/>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6" ht="12" customHeight="1">
      <c r="A14" s="52"/>
      <c r="B14" s="52"/>
      <c r="C14" s="577"/>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6" ht="12" customHeight="1">
      <c r="A15" s="52"/>
      <c r="B15" s="320" t="s">
        <v>218</v>
      </c>
      <c r="C15" s="579" t="str">
        <f t="shared" ref="C15:C26" si="0">D$6&amp;"."&amp;B15</f>
        <v>Street Light.Monthly Service Charge</v>
      </c>
      <c r="D15" s="396" t="s">
        <v>306</v>
      </c>
      <c r="E15" s="320"/>
      <c r="F15" s="397">
        <f>IFERROR(VLOOKUP($C15,'Proposed Rates'!$B:$J,F$11,FALSE),0)</f>
        <v>1.1200000000000001</v>
      </c>
      <c r="G15" s="415">
        <f>$L$8</f>
        <v>63264</v>
      </c>
      <c r="H15" s="400">
        <f t="shared" ref="H15:H28" si="1">G15*F15</f>
        <v>70855.680000000008</v>
      </c>
      <c r="I15" s="128"/>
      <c r="J15" s="397">
        <f>IFERROR(VLOOKUP($C15,'Proposed Rates'!$B:$J,J$11,FALSE),0)</f>
        <v>1.25</v>
      </c>
      <c r="K15" s="415">
        <f>$L$8</f>
        <v>63264</v>
      </c>
      <c r="L15" s="400">
        <f t="shared" ref="L15:L28" si="2">K15*J15</f>
        <v>79080</v>
      </c>
      <c r="M15" s="128"/>
      <c r="N15" s="401">
        <f t="shared" ref="N15:N50" si="3">L15-H15</f>
        <v>8224.3199999999924</v>
      </c>
      <c r="O15" s="402">
        <f t="shared" ref="O15:O50" si="4">IF((H15)=0,"",(N15/H15))</f>
        <v>0.11607142857142845</v>
      </c>
      <c r="P15" s="52"/>
      <c r="Q15" s="397">
        <f>IFERROR(VLOOKUP($C15,'Proposed Rates'!$B:$J,Q$11,FALSE),0)</f>
        <v>1.21</v>
      </c>
      <c r="R15" s="415">
        <f>$L$8</f>
        <v>63264</v>
      </c>
      <c r="S15" s="400">
        <f t="shared" ref="S15:S28" si="5">R15*Q15</f>
        <v>76549.440000000002</v>
      </c>
      <c r="T15" s="128"/>
      <c r="U15" s="401">
        <f t="shared" ref="U15:U50" si="6">S15-L15</f>
        <v>-2530.5599999999977</v>
      </c>
      <c r="V15" s="402">
        <f t="shared" ref="V15:V50" si="7">IF((L15)=0,"",(U15/L15))</f>
        <v>-3.1999999999999973E-2</v>
      </c>
      <c r="W15" s="52"/>
      <c r="X15" s="397">
        <f>IFERROR(VLOOKUP($C15,'Proposed Rates'!$B:$J,X$11,FALSE),0)</f>
        <v>1.27</v>
      </c>
      <c r="Y15" s="415">
        <f>$L$8</f>
        <v>63264</v>
      </c>
      <c r="Z15" s="400">
        <f t="shared" ref="Z15:Z28" si="8">Y15*X15</f>
        <v>80345.279999999999</v>
      </c>
      <c r="AA15" s="128"/>
      <c r="AB15" s="401">
        <f t="shared" ref="AB15:AB50" si="9">Z15-S15</f>
        <v>3795.8399999999965</v>
      </c>
      <c r="AC15" s="402">
        <f t="shared" ref="AC15:AC50" si="10">IF((S15)=0,"",(AB15/S15))</f>
        <v>4.9586776859504085E-2</v>
      </c>
      <c r="AD15" s="52"/>
      <c r="AE15" s="397">
        <f>IFERROR(VLOOKUP($C15,'Proposed Rates'!$B:$J,AE$11,FALSE),0)</f>
        <v>1.29</v>
      </c>
      <c r="AF15" s="415">
        <f>$L$8</f>
        <v>63264</v>
      </c>
      <c r="AG15" s="400">
        <f t="shared" ref="AG15:AG28" si="11">AF15*AE15</f>
        <v>81610.559999999998</v>
      </c>
      <c r="AH15" s="128"/>
      <c r="AI15" s="401">
        <f t="shared" ref="AI15:AI50" si="12">AG15-Z15</f>
        <v>1265.2799999999988</v>
      </c>
      <c r="AJ15" s="402">
        <f t="shared" ref="AJ15:AJ50" si="13">IF((Z15)=0,"",(AI15/Z15))</f>
        <v>1.5748031496062978E-2</v>
      </c>
      <c r="AK15" s="52"/>
      <c r="AL15" s="397">
        <f>IFERROR(VLOOKUP($C15,'Proposed Rates'!$B:$J,AL$11,FALSE),0)</f>
        <v>1.35</v>
      </c>
      <c r="AM15" s="415">
        <f>$L$8</f>
        <v>63264</v>
      </c>
      <c r="AN15" s="400">
        <f t="shared" ref="AN15:AN28" si="14">AM15*AL15</f>
        <v>85406.400000000009</v>
      </c>
      <c r="AO15" s="128"/>
      <c r="AP15" s="401">
        <f t="shared" ref="AP15:AP50" si="15">AN15-AG15</f>
        <v>3795.8400000000111</v>
      </c>
      <c r="AQ15" s="402">
        <f t="shared" ref="AQ15:AQ50" si="16">IF((AG15)=0,"",(AP15/AG15))</f>
        <v>4.6511627906976882E-2</v>
      </c>
      <c r="AR15" s="403"/>
    </row>
    <row r="16" spans="1:46" ht="12" customHeight="1">
      <c r="A16" s="52"/>
      <c r="B16" s="320" t="s">
        <v>307</v>
      </c>
      <c r="C16" s="579" t="str">
        <f t="shared" si="0"/>
        <v>Street Light.Smart Meter Rate Adder</v>
      </c>
      <c r="D16" s="396" t="s">
        <v>306</v>
      </c>
      <c r="E16" s="320"/>
      <c r="F16" s="397">
        <f>IFERROR(VLOOKUP($C16,'Proposed Rates'!$B:$J,F$11,FALSE),0)</f>
        <v>0</v>
      </c>
      <c r="G16" s="415">
        <f t="shared" ref="G16:G28" si="17">IF($D16="Monthly",1,IF($D16="per KW",$F$10,IF($D16="per kWh",$F$9,0)))</f>
        <v>1</v>
      </c>
      <c r="H16" s="400">
        <f t="shared" si="1"/>
        <v>0</v>
      </c>
      <c r="I16" s="128"/>
      <c r="J16" s="397">
        <f>IFERROR(VLOOKUP($C16,'Proposed Rates'!$B:$J,J$11,FALSE),0)</f>
        <v>0</v>
      </c>
      <c r="K16" s="415">
        <f t="shared" ref="K16:K28" si="18">IF($D16="Monthly",1,IF($D16="per KW",$F$10,IF($D16="per kWh",$F$9,0)))</f>
        <v>1</v>
      </c>
      <c r="L16" s="400">
        <f t="shared" si="2"/>
        <v>0</v>
      </c>
      <c r="M16" s="128"/>
      <c r="N16" s="401">
        <f t="shared" si="3"/>
        <v>0</v>
      </c>
      <c r="O16" s="402" t="str">
        <f t="shared" si="4"/>
        <v/>
      </c>
      <c r="P16" s="52"/>
      <c r="Q16" s="397">
        <f>IFERROR(VLOOKUP($C16,'Proposed Rates'!$B:$J,Q$11,FALSE),0)</f>
        <v>0</v>
      </c>
      <c r="R16" s="415">
        <f t="shared" ref="R16:R28" si="19">IF($D16="Monthly",1,IF($D16="per KW",$F$10,IF($D16="per kWh",$F$9,0)))</f>
        <v>1</v>
      </c>
      <c r="S16" s="400">
        <f t="shared" si="5"/>
        <v>0</v>
      </c>
      <c r="T16" s="128"/>
      <c r="U16" s="401">
        <f t="shared" si="6"/>
        <v>0</v>
      </c>
      <c r="V16" s="402" t="str">
        <f t="shared" si="7"/>
        <v/>
      </c>
      <c r="W16" s="52"/>
      <c r="X16" s="397">
        <f>IFERROR(VLOOKUP($C16,'Proposed Rates'!$B:$J,X$11,FALSE),0)</f>
        <v>0</v>
      </c>
      <c r="Y16" s="415">
        <f t="shared" ref="Y16:Y28" si="20">IF($D16="Monthly",1,IF($D16="per KW",$F$10,IF($D16="per kWh",$F$9,0)))</f>
        <v>1</v>
      </c>
      <c r="Z16" s="400">
        <f t="shared" si="8"/>
        <v>0</v>
      </c>
      <c r="AA16" s="128"/>
      <c r="AB16" s="401">
        <f t="shared" si="9"/>
        <v>0</v>
      </c>
      <c r="AC16" s="402" t="str">
        <f t="shared" si="10"/>
        <v/>
      </c>
      <c r="AD16" s="52"/>
      <c r="AE16" s="397">
        <f>IFERROR(VLOOKUP($C16,'Proposed Rates'!$B:$J,AE$11,FALSE),0)</f>
        <v>0</v>
      </c>
      <c r="AF16" s="415">
        <f t="shared" ref="AF16:AF28" si="21">IF($D16="Monthly",1,IF($D16="per KW",$F$10,IF($D16="per kWh",$F$9,0)))</f>
        <v>1</v>
      </c>
      <c r="AG16" s="400">
        <f t="shared" si="11"/>
        <v>0</v>
      </c>
      <c r="AH16" s="128"/>
      <c r="AI16" s="401">
        <f t="shared" si="12"/>
        <v>0</v>
      </c>
      <c r="AJ16" s="402" t="str">
        <f t="shared" si="13"/>
        <v/>
      </c>
      <c r="AK16" s="52"/>
      <c r="AL16" s="397">
        <f>IFERROR(VLOOKUP($C16,'Proposed Rates'!$B:$J,AL$11,FALSE),0)</f>
        <v>0</v>
      </c>
      <c r="AM16" s="415">
        <f t="shared" ref="AM16:AM28" si="22">IF($D16="Monthly",1,IF($D16="per KW",$F$10,IF($D16="per kWh",$F$9,0)))</f>
        <v>1</v>
      </c>
      <c r="AN16" s="400">
        <f t="shared" si="14"/>
        <v>0</v>
      </c>
      <c r="AO16" s="128"/>
      <c r="AP16" s="401">
        <f t="shared" si="15"/>
        <v>0</v>
      </c>
      <c r="AQ16" s="402" t="str">
        <f t="shared" si="16"/>
        <v/>
      </c>
      <c r="AR16" s="403"/>
    </row>
    <row r="17" spans="1:44" ht="12" customHeight="1">
      <c r="A17" s="52"/>
      <c r="B17" s="404" t="str">
        <f>'Proposed Rates'!C115</f>
        <v>Rate Rider Calculation for PILs</v>
      </c>
      <c r="C17" s="579" t="str">
        <f t="shared" si="0"/>
        <v>Street Light.Rate Rider Calculation for PILs</v>
      </c>
      <c r="D17" s="396" t="s">
        <v>377</v>
      </c>
      <c r="E17" s="320"/>
      <c r="F17" s="397">
        <f>IFERROR(VLOOKUP($C17,'Proposed Rates'!$B:$J,F$11,FALSE),0)</f>
        <v>0</v>
      </c>
      <c r="G17" s="415">
        <f t="shared" si="17"/>
        <v>4909.7700000000004</v>
      </c>
      <c r="H17" s="400">
        <f t="shared" si="1"/>
        <v>0</v>
      </c>
      <c r="I17" s="128"/>
      <c r="J17" s="397">
        <f>IFERROR(VLOOKUP($C17,'Proposed Rates'!$B:$J,J$11,FALSE),0)</f>
        <v>0</v>
      </c>
      <c r="K17" s="415">
        <f t="shared" si="18"/>
        <v>4909.7700000000004</v>
      </c>
      <c r="L17" s="400">
        <f t="shared" si="2"/>
        <v>0</v>
      </c>
      <c r="M17" s="128"/>
      <c r="N17" s="401">
        <f t="shared" si="3"/>
        <v>0</v>
      </c>
      <c r="O17" s="402" t="str">
        <f t="shared" si="4"/>
        <v/>
      </c>
      <c r="P17" s="52"/>
      <c r="Q17" s="397">
        <f>IFERROR(VLOOKUP($C17,'Proposed Rates'!$B:$J,Q$11,FALSE),0)</f>
        <v>0</v>
      </c>
      <c r="R17" s="415">
        <f t="shared" si="19"/>
        <v>4909.7700000000004</v>
      </c>
      <c r="S17" s="400">
        <f t="shared" si="5"/>
        <v>0</v>
      </c>
      <c r="T17" s="128"/>
      <c r="U17" s="401">
        <f t="shared" si="6"/>
        <v>0</v>
      </c>
      <c r="V17" s="402" t="str">
        <f t="shared" si="7"/>
        <v/>
      </c>
      <c r="W17" s="52"/>
      <c r="X17" s="397">
        <f>IFERROR(VLOOKUP($C17,'Proposed Rates'!$B:$J,X$11,FALSE),0)</f>
        <v>0</v>
      </c>
      <c r="Y17" s="415">
        <f t="shared" si="20"/>
        <v>4909.7700000000004</v>
      </c>
      <c r="Z17" s="400">
        <f t="shared" si="8"/>
        <v>0</v>
      </c>
      <c r="AA17" s="128"/>
      <c r="AB17" s="401">
        <f t="shared" si="9"/>
        <v>0</v>
      </c>
      <c r="AC17" s="402" t="str">
        <f t="shared" si="10"/>
        <v/>
      </c>
      <c r="AD17" s="52"/>
      <c r="AE17" s="397">
        <f>IFERROR(VLOOKUP($C17,'Proposed Rates'!$B:$J,AE$11,FALSE),0)</f>
        <v>0</v>
      </c>
      <c r="AF17" s="415">
        <f t="shared" si="21"/>
        <v>4909.7700000000004</v>
      </c>
      <c r="AG17" s="400">
        <f t="shared" si="11"/>
        <v>0</v>
      </c>
      <c r="AH17" s="128"/>
      <c r="AI17" s="401">
        <f t="shared" si="12"/>
        <v>0</v>
      </c>
      <c r="AJ17" s="402" t="str">
        <f t="shared" si="13"/>
        <v/>
      </c>
      <c r="AK17" s="52"/>
      <c r="AL17" s="397">
        <f>IFERROR(VLOOKUP($C17,'Proposed Rates'!$B:$J,AL$11,FALSE),0)</f>
        <v>0</v>
      </c>
      <c r="AM17" s="415">
        <f t="shared" si="22"/>
        <v>4909.7700000000004</v>
      </c>
      <c r="AN17" s="400">
        <f t="shared" si="14"/>
        <v>0</v>
      </c>
      <c r="AO17" s="128"/>
      <c r="AP17" s="401">
        <f t="shared" si="15"/>
        <v>0</v>
      </c>
      <c r="AQ17" s="402" t="str">
        <f t="shared" si="16"/>
        <v/>
      </c>
      <c r="AR17" s="403"/>
    </row>
    <row r="18" spans="1:44" ht="12" customHeight="1">
      <c r="A18" s="52"/>
      <c r="B18" s="404" t="str">
        <f>'Proposed Rates'!C128</f>
        <v>Rate Rider Calculation for Generic</v>
      </c>
      <c r="C18" s="579" t="str">
        <f t="shared" si="0"/>
        <v>Street Light.Rate Rider Calculation for Generic</v>
      </c>
      <c r="D18" s="396" t="s">
        <v>377</v>
      </c>
      <c r="E18" s="320"/>
      <c r="F18" s="397">
        <f>IFERROR(VLOOKUP($C18,'Proposed Rates'!$B:$J,F$11,FALSE),0)</f>
        <v>0</v>
      </c>
      <c r="G18" s="415">
        <f t="shared" si="17"/>
        <v>4909.7700000000004</v>
      </c>
      <c r="H18" s="400">
        <f t="shared" si="1"/>
        <v>0</v>
      </c>
      <c r="I18" s="128"/>
      <c r="J18" s="397">
        <f>IFERROR(VLOOKUP($C18,'Proposed Rates'!$B:$J,J$11,FALSE),0)</f>
        <v>0</v>
      </c>
      <c r="K18" s="415">
        <f t="shared" si="18"/>
        <v>4909.7700000000004</v>
      </c>
      <c r="L18" s="400">
        <f t="shared" si="2"/>
        <v>0</v>
      </c>
      <c r="M18" s="128"/>
      <c r="N18" s="401">
        <f t="shared" si="3"/>
        <v>0</v>
      </c>
      <c r="O18" s="402" t="str">
        <f t="shared" si="4"/>
        <v/>
      </c>
      <c r="P18" s="52"/>
      <c r="Q18" s="397">
        <f>IFERROR(VLOOKUP($C18,'Proposed Rates'!$B:$J,Q$11,FALSE),0)</f>
        <v>0</v>
      </c>
      <c r="R18" s="415">
        <f t="shared" si="19"/>
        <v>4909.7700000000004</v>
      </c>
      <c r="S18" s="400">
        <f t="shared" si="5"/>
        <v>0</v>
      </c>
      <c r="T18" s="128"/>
      <c r="U18" s="401">
        <f t="shared" si="6"/>
        <v>0</v>
      </c>
      <c r="V18" s="402" t="str">
        <f t="shared" si="7"/>
        <v/>
      </c>
      <c r="W18" s="52"/>
      <c r="X18" s="397">
        <f>IFERROR(VLOOKUP($C18,'Proposed Rates'!$B:$J,X$11,FALSE),0)</f>
        <v>0</v>
      </c>
      <c r="Y18" s="415">
        <f t="shared" si="20"/>
        <v>4909.7700000000004</v>
      </c>
      <c r="Z18" s="400">
        <f t="shared" si="8"/>
        <v>0</v>
      </c>
      <c r="AA18" s="128"/>
      <c r="AB18" s="401">
        <f t="shared" si="9"/>
        <v>0</v>
      </c>
      <c r="AC18" s="402" t="str">
        <f t="shared" si="10"/>
        <v/>
      </c>
      <c r="AD18" s="52"/>
      <c r="AE18" s="397">
        <f>IFERROR(VLOOKUP($C18,'Proposed Rates'!$B:$J,AE$11,FALSE),0)</f>
        <v>0</v>
      </c>
      <c r="AF18" s="415">
        <f t="shared" si="21"/>
        <v>4909.7700000000004</v>
      </c>
      <c r="AG18" s="400">
        <f t="shared" si="11"/>
        <v>0</v>
      </c>
      <c r="AH18" s="128"/>
      <c r="AI18" s="401">
        <f t="shared" si="12"/>
        <v>0</v>
      </c>
      <c r="AJ18" s="402" t="str">
        <f t="shared" si="13"/>
        <v/>
      </c>
      <c r="AK18" s="52"/>
      <c r="AL18" s="397">
        <f>IFERROR(VLOOKUP($C18,'Proposed Rates'!$B:$J,AL$11,FALSE),0)</f>
        <v>0</v>
      </c>
      <c r="AM18" s="415">
        <f t="shared" si="22"/>
        <v>4909.7700000000004</v>
      </c>
      <c r="AN18" s="400">
        <f t="shared" si="14"/>
        <v>0</v>
      </c>
      <c r="AO18" s="128"/>
      <c r="AP18" s="401">
        <f t="shared" si="15"/>
        <v>0</v>
      </c>
      <c r="AQ18" s="402" t="str">
        <f t="shared" si="16"/>
        <v/>
      </c>
      <c r="AR18" s="403"/>
    </row>
    <row r="19" spans="1:44" ht="12" customHeight="1">
      <c r="A19" s="52"/>
      <c r="B19" s="320" t="s">
        <v>59</v>
      </c>
      <c r="C19" s="579" t="str">
        <f t="shared" si="0"/>
        <v>Street Light.Distribution Volumetric Rate</v>
      </c>
      <c r="D19" s="396" t="s">
        <v>377</v>
      </c>
      <c r="E19" s="320"/>
      <c r="F19" s="414">
        <f>IFERROR(VLOOKUP($C19,'Proposed Rates'!$B:$J,F$11,FALSE),0)</f>
        <v>7.8163999999999998</v>
      </c>
      <c r="G19" s="415">
        <f t="shared" si="17"/>
        <v>4909.7700000000004</v>
      </c>
      <c r="H19" s="400">
        <f t="shared" si="1"/>
        <v>38376.726228</v>
      </c>
      <c r="I19" s="128"/>
      <c r="J19" s="414">
        <f>IFERROR(VLOOKUP($C19,'Proposed Rates'!$B:$J,J$11,FALSE),0)</f>
        <v>8.6377000000000006</v>
      </c>
      <c r="K19" s="415">
        <f t="shared" si="18"/>
        <v>4909.7700000000004</v>
      </c>
      <c r="L19" s="400">
        <f t="shared" si="2"/>
        <v>42409.120329000005</v>
      </c>
      <c r="M19" s="128"/>
      <c r="N19" s="401">
        <f t="shared" si="3"/>
        <v>4032.3941010000053</v>
      </c>
      <c r="O19" s="402">
        <f t="shared" si="4"/>
        <v>0.105073947085615</v>
      </c>
      <c r="P19" s="52"/>
      <c r="Q19" s="414">
        <f>IFERROR(VLOOKUP($C19,'Proposed Rates'!$B:$J,Q$11,FALSE),0)</f>
        <v>8.4458000000000002</v>
      </c>
      <c r="R19" s="415">
        <f t="shared" si="19"/>
        <v>4909.7700000000004</v>
      </c>
      <c r="S19" s="400">
        <f t="shared" si="5"/>
        <v>41466.935466000003</v>
      </c>
      <c r="T19" s="128"/>
      <c r="U19" s="401">
        <f t="shared" si="6"/>
        <v>-942.18486300000222</v>
      </c>
      <c r="V19" s="402">
        <f t="shared" si="7"/>
        <v>-2.2216562279310514E-2</v>
      </c>
      <c r="W19" s="52"/>
      <c r="X19" s="414">
        <f>IFERROR(VLOOKUP($C19,'Proposed Rates'!$B:$J,X$11,FALSE),0)</f>
        <v>8.9296000000000006</v>
      </c>
      <c r="Y19" s="415">
        <f t="shared" si="20"/>
        <v>4909.7700000000004</v>
      </c>
      <c r="Z19" s="400">
        <f t="shared" si="8"/>
        <v>43842.282192000006</v>
      </c>
      <c r="AA19" s="128"/>
      <c r="AB19" s="401">
        <f t="shared" si="9"/>
        <v>2375.3467260000034</v>
      </c>
      <c r="AC19" s="402">
        <f t="shared" si="10"/>
        <v>5.7282909848682263E-2</v>
      </c>
      <c r="AD19" s="52"/>
      <c r="AE19" s="414">
        <f>IFERROR(VLOOKUP($C19,'Proposed Rates'!$B:$J,AE$11,FALSE),0)</f>
        <v>9.0349000000000004</v>
      </c>
      <c r="AF19" s="415">
        <f t="shared" si="21"/>
        <v>4909.7700000000004</v>
      </c>
      <c r="AG19" s="400">
        <f t="shared" si="11"/>
        <v>44359.280973000008</v>
      </c>
      <c r="AH19" s="128"/>
      <c r="AI19" s="401">
        <f t="shared" si="12"/>
        <v>516.99878100000205</v>
      </c>
      <c r="AJ19" s="402">
        <f t="shared" si="13"/>
        <v>1.1792241533775354E-2</v>
      </c>
      <c r="AK19" s="52"/>
      <c r="AL19" s="414">
        <f>IFERROR(VLOOKUP($C19,'Proposed Rates'!$B:$J,AL$11,FALSE),0)</f>
        <v>9.4875000000000007</v>
      </c>
      <c r="AM19" s="415">
        <f t="shared" si="22"/>
        <v>4909.7700000000004</v>
      </c>
      <c r="AN19" s="400">
        <f t="shared" si="14"/>
        <v>46581.442875000008</v>
      </c>
      <c r="AO19" s="128"/>
      <c r="AP19" s="401">
        <f t="shared" si="15"/>
        <v>2222.1619019999998</v>
      </c>
      <c r="AQ19" s="402">
        <f t="shared" si="16"/>
        <v>5.0094633034123218E-2</v>
      </c>
      <c r="AR19" s="403"/>
    </row>
    <row r="20" spans="1:44" ht="12" customHeight="1">
      <c r="A20" s="52"/>
      <c r="B20" s="320" t="s">
        <v>309</v>
      </c>
      <c r="C20" s="579" t="str">
        <f t="shared" si="0"/>
        <v>Street Light.Smart Meter Disposition Rider</v>
      </c>
      <c r="D20" s="396" t="s">
        <v>308</v>
      </c>
      <c r="E20" s="320"/>
      <c r="F20" s="397">
        <f>IFERROR(VLOOKUP($C20,'Proposed Rates'!$B:$J,F$11,FALSE),0)</f>
        <v>0</v>
      </c>
      <c r="G20" s="415">
        <f t="shared" si="17"/>
        <v>1745419</v>
      </c>
      <c r="H20" s="400">
        <f t="shared" si="1"/>
        <v>0</v>
      </c>
      <c r="I20" s="128"/>
      <c r="J20" s="397">
        <f>IFERROR(VLOOKUP($C20,'Proposed Rates'!$B:$J,J$11,FALSE),0)</f>
        <v>0</v>
      </c>
      <c r="K20" s="415">
        <f t="shared" si="18"/>
        <v>1745419</v>
      </c>
      <c r="L20" s="400">
        <f t="shared" si="2"/>
        <v>0</v>
      </c>
      <c r="M20" s="128"/>
      <c r="N20" s="401">
        <f t="shared" si="3"/>
        <v>0</v>
      </c>
      <c r="O20" s="402" t="str">
        <f t="shared" si="4"/>
        <v/>
      </c>
      <c r="P20" s="52"/>
      <c r="Q20" s="397">
        <f>IFERROR(VLOOKUP($C20,'Proposed Rates'!$B:$J,Q$11,FALSE),0)</f>
        <v>0</v>
      </c>
      <c r="R20" s="415">
        <f t="shared" si="19"/>
        <v>1745419</v>
      </c>
      <c r="S20" s="400">
        <f t="shared" si="5"/>
        <v>0</v>
      </c>
      <c r="T20" s="128"/>
      <c r="U20" s="401">
        <f t="shared" si="6"/>
        <v>0</v>
      </c>
      <c r="V20" s="402" t="str">
        <f t="shared" si="7"/>
        <v/>
      </c>
      <c r="W20" s="52"/>
      <c r="X20" s="397">
        <f>IFERROR(VLOOKUP($C20,'Proposed Rates'!$B:$J,X$11,FALSE),0)</f>
        <v>0</v>
      </c>
      <c r="Y20" s="415">
        <f t="shared" si="20"/>
        <v>1745419</v>
      </c>
      <c r="Z20" s="400">
        <f t="shared" si="8"/>
        <v>0</v>
      </c>
      <c r="AA20" s="128"/>
      <c r="AB20" s="401">
        <f t="shared" si="9"/>
        <v>0</v>
      </c>
      <c r="AC20" s="402" t="str">
        <f t="shared" si="10"/>
        <v/>
      </c>
      <c r="AD20" s="52"/>
      <c r="AE20" s="397">
        <f>IFERROR(VLOOKUP($C20,'Proposed Rates'!$B:$J,AE$11,FALSE),0)</f>
        <v>0</v>
      </c>
      <c r="AF20" s="415">
        <f t="shared" si="21"/>
        <v>1745419</v>
      </c>
      <c r="AG20" s="400">
        <f t="shared" si="11"/>
        <v>0</v>
      </c>
      <c r="AH20" s="128"/>
      <c r="AI20" s="401">
        <f t="shared" si="12"/>
        <v>0</v>
      </c>
      <c r="AJ20" s="402" t="str">
        <f t="shared" si="13"/>
        <v/>
      </c>
      <c r="AK20" s="52"/>
      <c r="AL20" s="397">
        <f>IFERROR(VLOOKUP($C20,'Proposed Rates'!$B:$J,AL$11,FALSE),0)</f>
        <v>0</v>
      </c>
      <c r="AM20" s="415">
        <f t="shared" si="22"/>
        <v>1745419</v>
      </c>
      <c r="AN20" s="400">
        <f t="shared" si="14"/>
        <v>0</v>
      </c>
      <c r="AO20" s="128"/>
      <c r="AP20" s="401">
        <f t="shared" si="15"/>
        <v>0</v>
      </c>
      <c r="AQ20" s="402" t="str">
        <f t="shared" si="16"/>
        <v/>
      </c>
      <c r="AR20" s="403"/>
    </row>
    <row r="21" spans="1:44" ht="12" customHeight="1">
      <c r="A21" s="52"/>
      <c r="B21" s="320" t="s">
        <v>241</v>
      </c>
      <c r="C21" s="579" t="str">
        <f t="shared" si="0"/>
        <v>Street Light.LRAM Rate Rider</v>
      </c>
      <c r="D21" s="396" t="s">
        <v>377</v>
      </c>
      <c r="E21" s="320"/>
      <c r="F21" s="414">
        <f>'Proposed Rates'!E82+'Proposed Rates'!E95</f>
        <v>4.8925000000000001</v>
      </c>
      <c r="G21" s="415">
        <f t="shared" si="17"/>
        <v>4909.7700000000004</v>
      </c>
      <c r="H21" s="400">
        <f t="shared" si="1"/>
        <v>24021.049725000001</v>
      </c>
      <c r="I21" s="128"/>
      <c r="J21" s="414">
        <f>'Proposed Rates'!F82+'Proposed Rates'!F95</f>
        <v>4.2885999999999997</v>
      </c>
      <c r="K21" s="415">
        <f t="shared" si="18"/>
        <v>4909.7700000000004</v>
      </c>
      <c r="L21" s="400">
        <f t="shared" si="2"/>
        <v>21056.039622</v>
      </c>
      <c r="M21" s="128"/>
      <c r="N21" s="401">
        <f t="shared" si="3"/>
        <v>-2965.0101030000005</v>
      </c>
      <c r="O21" s="402">
        <f t="shared" si="4"/>
        <v>-0.12343382728666327</v>
      </c>
      <c r="P21" s="52"/>
      <c r="Q21" s="414">
        <f>'Proposed Rates'!G82+'Proposed Rates'!G95</f>
        <v>0</v>
      </c>
      <c r="R21" s="415">
        <f t="shared" si="19"/>
        <v>4909.7700000000004</v>
      </c>
      <c r="S21" s="400">
        <f t="shared" si="5"/>
        <v>0</v>
      </c>
      <c r="T21" s="128"/>
      <c r="U21" s="401">
        <f t="shared" si="6"/>
        <v>-21056.039622</v>
      </c>
      <c r="V21" s="402">
        <f t="shared" si="7"/>
        <v>-1</v>
      </c>
      <c r="W21" s="52"/>
      <c r="X21" s="414">
        <f>IFERROR(VLOOKUP($C21,'Proposed Rates'!$B:$J,X$11,FALSE),0)</f>
        <v>0</v>
      </c>
      <c r="Y21" s="415">
        <f t="shared" si="20"/>
        <v>4909.7700000000004</v>
      </c>
      <c r="Z21" s="400">
        <f t="shared" si="8"/>
        <v>0</v>
      </c>
      <c r="AA21" s="128"/>
      <c r="AB21" s="401">
        <f t="shared" si="9"/>
        <v>0</v>
      </c>
      <c r="AC21" s="402" t="str">
        <f t="shared" si="10"/>
        <v/>
      </c>
      <c r="AD21" s="52"/>
      <c r="AE21" s="414">
        <f>IFERROR(VLOOKUP($C21,'Proposed Rates'!$B:$J,AE$11,FALSE),0)</f>
        <v>0</v>
      </c>
      <c r="AF21" s="415">
        <f t="shared" si="21"/>
        <v>4909.7700000000004</v>
      </c>
      <c r="AG21" s="400">
        <f t="shared" si="11"/>
        <v>0</v>
      </c>
      <c r="AH21" s="128"/>
      <c r="AI21" s="401">
        <f t="shared" si="12"/>
        <v>0</v>
      </c>
      <c r="AJ21" s="402" t="str">
        <f t="shared" si="13"/>
        <v/>
      </c>
      <c r="AK21" s="52"/>
      <c r="AL21" s="414">
        <f>IFERROR(VLOOKUP($C21,'Proposed Rates'!$B:$J,AL$11,FALSE),0)</f>
        <v>0</v>
      </c>
      <c r="AM21" s="415">
        <f t="shared" si="22"/>
        <v>4909.7700000000004</v>
      </c>
      <c r="AN21" s="400">
        <f t="shared" si="14"/>
        <v>0</v>
      </c>
      <c r="AO21" s="128"/>
      <c r="AP21" s="401">
        <f t="shared" si="15"/>
        <v>0</v>
      </c>
      <c r="AQ21" s="402" t="str">
        <f t="shared" si="16"/>
        <v/>
      </c>
      <c r="AR21" s="403"/>
    </row>
    <row r="22" spans="1:44" ht="12" customHeight="1">
      <c r="A22" s="52"/>
      <c r="B22" s="404" t="s">
        <v>237</v>
      </c>
      <c r="C22" s="579" t="str">
        <f t="shared" si="0"/>
        <v>Street Light.Deferral/Variance Account Disposition Rate Rider Group 2</v>
      </c>
      <c r="D22" s="396" t="s">
        <v>377</v>
      </c>
      <c r="E22" s="320"/>
      <c r="F22" s="397">
        <f>IFERROR(VLOOKUP($C22,'Proposed Rates'!$B:$J,F$11,FALSE),0)</f>
        <v>0</v>
      </c>
      <c r="G22" s="415">
        <f t="shared" si="17"/>
        <v>4909.7700000000004</v>
      </c>
      <c r="H22" s="400">
        <f t="shared" si="1"/>
        <v>0</v>
      </c>
      <c r="I22" s="128"/>
      <c r="J22" s="397">
        <f>IFERROR(VLOOKUP($C22,'Proposed Rates'!$B:$J,J$11,FALSE),0)</f>
        <v>-0.33589999999999998</v>
      </c>
      <c r="K22" s="415">
        <f t="shared" si="18"/>
        <v>4909.7700000000004</v>
      </c>
      <c r="L22" s="400">
        <f t="shared" si="2"/>
        <v>-1649.1917430000001</v>
      </c>
      <c r="M22" s="128"/>
      <c r="N22" s="401">
        <f t="shared" si="3"/>
        <v>-1649.1917430000001</v>
      </c>
      <c r="O22" s="402" t="str">
        <f t="shared" si="4"/>
        <v/>
      </c>
      <c r="P22" s="52"/>
      <c r="Q22" s="397">
        <f>IFERROR(VLOOKUP($C22,'Proposed Rates'!$B:$J,Q$11,FALSE),0)</f>
        <v>0</v>
      </c>
      <c r="R22" s="415">
        <f t="shared" si="19"/>
        <v>4909.7700000000004</v>
      </c>
      <c r="S22" s="400">
        <f t="shared" si="5"/>
        <v>0</v>
      </c>
      <c r="T22" s="128"/>
      <c r="U22" s="401">
        <f t="shared" si="6"/>
        <v>1649.1917430000001</v>
      </c>
      <c r="V22" s="402">
        <f t="shared" si="7"/>
        <v>-1</v>
      </c>
      <c r="W22" s="52"/>
      <c r="X22" s="397">
        <f>IFERROR(VLOOKUP($C22,'Proposed Rates'!$B:$J,X$11,FALSE),0)</f>
        <v>0</v>
      </c>
      <c r="Y22" s="415">
        <f t="shared" si="20"/>
        <v>4909.7700000000004</v>
      </c>
      <c r="Z22" s="400">
        <f t="shared" si="8"/>
        <v>0</v>
      </c>
      <c r="AA22" s="128"/>
      <c r="AB22" s="401">
        <f t="shared" si="9"/>
        <v>0</v>
      </c>
      <c r="AC22" s="402" t="str">
        <f t="shared" si="10"/>
        <v/>
      </c>
      <c r="AD22" s="52"/>
      <c r="AE22" s="397">
        <f>IFERROR(VLOOKUP($C22,'Proposed Rates'!$B:$J,AE$11,FALSE),0)</f>
        <v>0</v>
      </c>
      <c r="AF22" s="415">
        <f t="shared" si="21"/>
        <v>4909.7700000000004</v>
      </c>
      <c r="AG22" s="400">
        <f t="shared" si="11"/>
        <v>0</v>
      </c>
      <c r="AH22" s="128"/>
      <c r="AI22" s="401">
        <f t="shared" si="12"/>
        <v>0</v>
      </c>
      <c r="AJ22" s="402" t="str">
        <f t="shared" si="13"/>
        <v/>
      </c>
      <c r="AK22" s="52"/>
      <c r="AL22" s="397">
        <f>IFERROR(VLOOKUP($C22,'Proposed Rates'!$B:$J,AL$11,FALSE),0)</f>
        <v>0</v>
      </c>
      <c r="AM22" s="415">
        <f t="shared" si="22"/>
        <v>4909.7700000000004</v>
      </c>
      <c r="AN22" s="400">
        <f t="shared" si="14"/>
        <v>0</v>
      </c>
      <c r="AO22" s="128"/>
      <c r="AP22" s="401">
        <f t="shared" si="15"/>
        <v>0</v>
      </c>
      <c r="AQ22" s="402" t="str">
        <f t="shared" si="16"/>
        <v/>
      </c>
      <c r="AR22" s="403"/>
    </row>
    <row r="23" spans="1:44" ht="12" customHeight="1">
      <c r="A23" s="52"/>
      <c r="B23" s="404"/>
      <c r="C23" s="579" t="str">
        <f t="shared" si="0"/>
        <v>Street Light.</v>
      </c>
      <c r="D23" s="396"/>
      <c r="E23" s="320"/>
      <c r="F23" s="397">
        <f>IFERROR(VLOOKUP($C23,'Proposed Rates'!$B:$J,F$11,FALSE),0)</f>
        <v>0</v>
      </c>
      <c r="G23" s="415">
        <f t="shared" si="17"/>
        <v>0</v>
      </c>
      <c r="H23" s="400">
        <f t="shared" si="1"/>
        <v>0</v>
      </c>
      <c r="I23" s="128"/>
      <c r="J23" s="397">
        <f>IFERROR(VLOOKUP($C23,'Proposed Rates'!$B:$J,J$11,FALSE),0)</f>
        <v>0</v>
      </c>
      <c r="K23" s="415">
        <f t="shared" si="18"/>
        <v>0</v>
      </c>
      <c r="L23" s="400">
        <f t="shared" si="2"/>
        <v>0</v>
      </c>
      <c r="M23" s="128"/>
      <c r="N23" s="401">
        <f t="shared" si="3"/>
        <v>0</v>
      </c>
      <c r="O23" s="402" t="str">
        <f t="shared" si="4"/>
        <v/>
      </c>
      <c r="P23" s="52"/>
      <c r="Q23" s="397">
        <f>IFERROR(VLOOKUP($C23,'Proposed Rates'!$B:$J,Q$11,FALSE),0)</f>
        <v>0</v>
      </c>
      <c r="R23" s="415">
        <f t="shared" si="19"/>
        <v>0</v>
      </c>
      <c r="S23" s="400">
        <f t="shared" si="5"/>
        <v>0</v>
      </c>
      <c r="T23" s="128"/>
      <c r="U23" s="401">
        <f t="shared" si="6"/>
        <v>0</v>
      </c>
      <c r="V23" s="402" t="str">
        <f t="shared" si="7"/>
        <v/>
      </c>
      <c r="W23" s="52"/>
      <c r="X23" s="397">
        <f>IFERROR(VLOOKUP($C23,'Proposed Rates'!$B:$J,X$11,FALSE),0)</f>
        <v>0</v>
      </c>
      <c r="Y23" s="415">
        <f t="shared" si="20"/>
        <v>0</v>
      </c>
      <c r="Z23" s="400">
        <f t="shared" si="8"/>
        <v>0</v>
      </c>
      <c r="AA23" s="128"/>
      <c r="AB23" s="401">
        <f t="shared" si="9"/>
        <v>0</v>
      </c>
      <c r="AC23" s="402" t="str">
        <f t="shared" si="10"/>
        <v/>
      </c>
      <c r="AD23" s="52"/>
      <c r="AE23" s="397">
        <f>IFERROR(VLOOKUP($C23,'Proposed Rates'!$B:$J,AE$11,FALSE),0)</f>
        <v>0</v>
      </c>
      <c r="AF23" s="415">
        <f t="shared" si="21"/>
        <v>0</v>
      </c>
      <c r="AG23" s="400">
        <f t="shared" si="11"/>
        <v>0</v>
      </c>
      <c r="AH23" s="128"/>
      <c r="AI23" s="401">
        <f t="shared" si="12"/>
        <v>0</v>
      </c>
      <c r="AJ23" s="402" t="str">
        <f t="shared" si="13"/>
        <v/>
      </c>
      <c r="AK23" s="52"/>
      <c r="AL23" s="397">
        <f>IFERROR(VLOOKUP($C23,'Proposed Rates'!$B:$J,AL$11,FALSE),0)</f>
        <v>0</v>
      </c>
      <c r="AM23" s="415">
        <f t="shared" si="22"/>
        <v>0</v>
      </c>
      <c r="AN23" s="400">
        <f t="shared" si="14"/>
        <v>0</v>
      </c>
      <c r="AO23" s="128"/>
      <c r="AP23" s="401">
        <f t="shared" si="15"/>
        <v>0</v>
      </c>
      <c r="AQ23" s="402" t="str">
        <f t="shared" si="16"/>
        <v/>
      </c>
      <c r="AR23" s="403"/>
    </row>
    <row r="24" spans="1:44" ht="12" customHeight="1">
      <c r="A24" s="52"/>
      <c r="B24" s="404"/>
      <c r="C24" s="579" t="str">
        <f t="shared" si="0"/>
        <v>Street Light.</v>
      </c>
      <c r="D24" s="396"/>
      <c r="E24" s="320"/>
      <c r="F24" s="397">
        <f>IFERROR(VLOOKUP($C24,'Proposed Rates'!$B:$J,F$11,FALSE),0)</f>
        <v>0</v>
      </c>
      <c r="G24" s="415">
        <f t="shared" si="17"/>
        <v>0</v>
      </c>
      <c r="H24" s="400">
        <f t="shared" si="1"/>
        <v>0</v>
      </c>
      <c r="I24" s="128"/>
      <c r="J24" s="397">
        <f>IFERROR(VLOOKUP($C24,'Proposed Rates'!$B:$J,J$11,FALSE),0)</f>
        <v>0</v>
      </c>
      <c r="K24" s="415">
        <f t="shared" si="18"/>
        <v>0</v>
      </c>
      <c r="L24" s="400">
        <f t="shared" si="2"/>
        <v>0</v>
      </c>
      <c r="M24" s="128"/>
      <c r="N24" s="401">
        <f t="shared" si="3"/>
        <v>0</v>
      </c>
      <c r="O24" s="402" t="str">
        <f t="shared" si="4"/>
        <v/>
      </c>
      <c r="P24" s="52"/>
      <c r="Q24" s="397">
        <f>IFERROR(VLOOKUP($C24,'Proposed Rates'!$B:$J,Q$11,FALSE),0)</f>
        <v>0</v>
      </c>
      <c r="R24" s="415">
        <f t="shared" si="19"/>
        <v>0</v>
      </c>
      <c r="S24" s="400">
        <f t="shared" si="5"/>
        <v>0</v>
      </c>
      <c r="T24" s="128"/>
      <c r="U24" s="401">
        <f t="shared" si="6"/>
        <v>0</v>
      </c>
      <c r="V24" s="402" t="str">
        <f t="shared" si="7"/>
        <v/>
      </c>
      <c r="W24" s="52"/>
      <c r="X24" s="397">
        <f>IFERROR(VLOOKUP($C24,'Proposed Rates'!$B:$J,X$11,FALSE),0)</f>
        <v>0</v>
      </c>
      <c r="Y24" s="415">
        <f t="shared" si="20"/>
        <v>0</v>
      </c>
      <c r="Z24" s="400">
        <f t="shared" si="8"/>
        <v>0</v>
      </c>
      <c r="AA24" s="128"/>
      <c r="AB24" s="401">
        <f t="shared" si="9"/>
        <v>0</v>
      </c>
      <c r="AC24" s="402" t="str">
        <f t="shared" si="10"/>
        <v/>
      </c>
      <c r="AD24" s="52"/>
      <c r="AE24" s="397">
        <f>IFERROR(VLOOKUP($C24,'Proposed Rates'!$B:$J,AE$11,FALSE),0)</f>
        <v>0</v>
      </c>
      <c r="AF24" s="415">
        <f t="shared" si="21"/>
        <v>0</v>
      </c>
      <c r="AG24" s="400">
        <f t="shared" si="11"/>
        <v>0</v>
      </c>
      <c r="AH24" s="128"/>
      <c r="AI24" s="401">
        <f t="shared" si="12"/>
        <v>0</v>
      </c>
      <c r="AJ24" s="402" t="str">
        <f t="shared" si="13"/>
        <v/>
      </c>
      <c r="AK24" s="52"/>
      <c r="AL24" s="397">
        <f>IFERROR(VLOOKUP($C24,'Proposed Rates'!$B:$J,AL$11,FALSE),0)</f>
        <v>0</v>
      </c>
      <c r="AM24" s="415">
        <f t="shared" si="22"/>
        <v>0</v>
      </c>
      <c r="AN24" s="400">
        <f t="shared" si="14"/>
        <v>0</v>
      </c>
      <c r="AO24" s="128"/>
      <c r="AP24" s="401">
        <f t="shared" si="15"/>
        <v>0</v>
      </c>
      <c r="AQ24" s="402" t="str">
        <f t="shared" si="16"/>
        <v/>
      </c>
      <c r="AR24" s="403"/>
    </row>
    <row r="25" spans="1:44" ht="12" customHeight="1">
      <c r="A25" s="52"/>
      <c r="B25" s="404"/>
      <c r="C25" s="579" t="str">
        <f t="shared" si="0"/>
        <v>Street Light.</v>
      </c>
      <c r="D25" s="396"/>
      <c r="E25" s="320"/>
      <c r="F25" s="397">
        <f>IFERROR(VLOOKUP($C25,'Proposed Rates'!$B:$J,F$11,FALSE),0)</f>
        <v>0</v>
      </c>
      <c r="G25" s="415">
        <f t="shared" si="17"/>
        <v>0</v>
      </c>
      <c r="H25" s="400">
        <f t="shared" si="1"/>
        <v>0</v>
      </c>
      <c r="I25" s="128"/>
      <c r="J25" s="397">
        <f>IFERROR(VLOOKUP($C25,'Proposed Rates'!$B:$J,J$11,FALSE),0)</f>
        <v>0</v>
      </c>
      <c r="K25" s="415">
        <f t="shared" si="18"/>
        <v>0</v>
      </c>
      <c r="L25" s="400">
        <f t="shared" si="2"/>
        <v>0</v>
      </c>
      <c r="M25" s="128"/>
      <c r="N25" s="401">
        <f t="shared" si="3"/>
        <v>0</v>
      </c>
      <c r="O25" s="402" t="str">
        <f t="shared" si="4"/>
        <v/>
      </c>
      <c r="P25" s="52"/>
      <c r="Q25" s="397">
        <f>IFERROR(VLOOKUP($C25,'Proposed Rates'!$B:$J,Q$11,FALSE),0)</f>
        <v>0</v>
      </c>
      <c r="R25" s="415">
        <f t="shared" si="19"/>
        <v>0</v>
      </c>
      <c r="S25" s="400">
        <f t="shared" si="5"/>
        <v>0</v>
      </c>
      <c r="T25" s="128"/>
      <c r="U25" s="401">
        <f t="shared" si="6"/>
        <v>0</v>
      </c>
      <c r="V25" s="402" t="str">
        <f t="shared" si="7"/>
        <v/>
      </c>
      <c r="W25" s="52"/>
      <c r="X25" s="397">
        <f>IFERROR(VLOOKUP($C25,'Proposed Rates'!$B:$J,X$11,FALSE),0)</f>
        <v>0</v>
      </c>
      <c r="Y25" s="415">
        <f t="shared" si="20"/>
        <v>0</v>
      </c>
      <c r="Z25" s="400">
        <f t="shared" si="8"/>
        <v>0</v>
      </c>
      <c r="AA25" s="128"/>
      <c r="AB25" s="401">
        <f t="shared" si="9"/>
        <v>0</v>
      </c>
      <c r="AC25" s="402" t="str">
        <f t="shared" si="10"/>
        <v/>
      </c>
      <c r="AD25" s="52"/>
      <c r="AE25" s="397">
        <f>IFERROR(VLOOKUP($C25,'Proposed Rates'!$B:$J,AE$11,FALSE),0)</f>
        <v>0</v>
      </c>
      <c r="AF25" s="415">
        <f t="shared" si="21"/>
        <v>0</v>
      </c>
      <c r="AG25" s="400">
        <f t="shared" si="11"/>
        <v>0</v>
      </c>
      <c r="AH25" s="128"/>
      <c r="AI25" s="401">
        <f t="shared" si="12"/>
        <v>0</v>
      </c>
      <c r="AJ25" s="402" t="str">
        <f t="shared" si="13"/>
        <v/>
      </c>
      <c r="AK25" s="52"/>
      <c r="AL25" s="397">
        <f>IFERROR(VLOOKUP($C25,'Proposed Rates'!$B:$J,AL$11,FALSE),0)</f>
        <v>0</v>
      </c>
      <c r="AM25" s="415">
        <f t="shared" si="22"/>
        <v>0</v>
      </c>
      <c r="AN25" s="400">
        <f t="shared" si="14"/>
        <v>0</v>
      </c>
      <c r="AO25" s="128"/>
      <c r="AP25" s="401">
        <f t="shared" si="15"/>
        <v>0</v>
      </c>
      <c r="AQ25" s="402" t="str">
        <f t="shared" si="16"/>
        <v/>
      </c>
      <c r="AR25" s="403"/>
    </row>
    <row r="26" spans="1:44" ht="12" customHeight="1">
      <c r="A26" s="52"/>
      <c r="B26" s="404"/>
      <c r="C26" s="579" t="str">
        <f t="shared" si="0"/>
        <v>Street Light.</v>
      </c>
      <c r="D26" s="396"/>
      <c r="E26" s="320"/>
      <c r="F26" s="397">
        <f>IFERROR(VLOOKUP($C26,'Proposed Rates'!$B:$J,F$11,FALSE),0)</f>
        <v>0</v>
      </c>
      <c r="G26" s="415">
        <f t="shared" si="17"/>
        <v>0</v>
      </c>
      <c r="H26" s="400">
        <f t="shared" si="1"/>
        <v>0</v>
      </c>
      <c r="I26" s="128"/>
      <c r="J26" s="397">
        <f>IFERROR(VLOOKUP($C26,'Proposed Rates'!$B:$J,J$11,FALSE),0)</f>
        <v>0</v>
      </c>
      <c r="K26" s="415">
        <f t="shared" si="18"/>
        <v>0</v>
      </c>
      <c r="L26" s="400">
        <f t="shared" si="2"/>
        <v>0</v>
      </c>
      <c r="M26" s="128"/>
      <c r="N26" s="401">
        <f t="shared" si="3"/>
        <v>0</v>
      </c>
      <c r="O26" s="402" t="str">
        <f t="shared" si="4"/>
        <v/>
      </c>
      <c r="P26" s="52"/>
      <c r="Q26" s="397">
        <f>IFERROR(VLOOKUP($C26,'Proposed Rates'!$B:$J,Q$11,FALSE),0)</f>
        <v>0</v>
      </c>
      <c r="R26" s="415">
        <f t="shared" si="19"/>
        <v>0</v>
      </c>
      <c r="S26" s="400">
        <f t="shared" si="5"/>
        <v>0</v>
      </c>
      <c r="T26" s="128"/>
      <c r="U26" s="401">
        <f t="shared" si="6"/>
        <v>0</v>
      </c>
      <c r="V26" s="402" t="str">
        <f t="shared" si="7"/>
        <v/>
      </c>
      <c r="W26" s="52"/>
      <c r="X26" s="397">
        <f>IFERROR(VLOOKUP($C26,'Proposed Rates'!$B:$J,X$11,FALSE),0)</f>
        <v>0</v>
      </c>
      <c r="Y26" s="415">
        <f t="shared" si="20"/>
        <v>0</v>
      </c>
      <c r="Z26" s="400">
        <f t="shared" si="8"/>
        <v>0</v>
      </c>
      <c r="AA26" s="128"/>
      <c r="AB26" s="401">
        <f t="shared" si="9"/>
        <v>0</v>
      </c>
      <c r="AC26" s="402" t="str">
        <f t="shared" si="10"/>
        <v/>
      </c>
      <c r="AD26" s="52"/>
      <c r="AE26" s="397">
        <f>IFERROR(VLOOKUP($C26,'Proposed Rates'!$B:$J,AE$11,FALSE),0)</f>
        <v>0</v>
      </c>
      <c r="AF26" s="415">
        <f t="shared" si="21"/>
        <v>0</v>
      </c>
      <c r="AG26" s="400">
        <f t="shared" si="11"/>
        <v>0</v>
      </c>
      <c r="AH26" s="128"/>
      <c r="AI26" s="401">
        <f t="shared" si="12"/>
        <v>0</v>
      </c>
      <c r="AJ26" s="402" t="str">
        <f t="shared" si="13"/>
        <v/>
      </c>
      <c r="AK26" s="52"/>
      <c r="AL26" s="397">
        <f>IFERROR(VLOOKUP($C26,'Proposed Rates'!$B:$J,AL$11,FALSE),0)</f>
        <v>0</v>
      </c>
      <c r="AM26" s="415">
        <f t="shared" si="22"/>
        <v>0</v>
      </c>
      <c r="AN26" s="400">
        <f t="shared" si="14"/>
        <v>0</v>
      </c>
      <c r="AO26" s="128"/>
      <c r="AP26" s="401">
        <f t="shared" si="15"/>
        <v>0</v>
      </c>
      <c r="AQ26" s="402" t="str">
        <f t="shared" si="16"/>
        <v/>
      </c>
      <c r="AR26" s="403"/>
    </row>
    <row r="27" spans="1:44" ht="12" customHeight="1">
      <c r="A27" s="52"/>
      <c r="B27" s="404"/>
      <c r="C27" s="579"/>
      <c r="D27" s="396"/>
      <c r="E27" s="320"/>
      <c r="F27" s="397">
        <f>IFERROR(VLOOKUP($C27,'Proposed Rates'!$B:$J,F$11,FALSE),0)</f>
        <v>0</v>
      </c>
      <c r="G27" s="415">
        <f t="shared" si="17"/>
        <v>0</v>
      </c>
      <c r="H27" s="400">
        <f t="shared" si="1"/>
        <v>0</v>
      </c>
      <c r="I27" s="128"/>
      <c r="J27" s="397">
        <f>IFERROR(VLOOKUP($C27,'Proposed Rates'!$B:$J,J$11,FALSE),0)</f>
        <v>0</v>
      </c>
      <c r="K27" s="415">
        <f t="shared" si="18"/>
        <v>0</v>
      </c>
      <c r="L27" s="400">
        <f t="shared" si="2"/>
        <v>0</v>
      </c>
      <c r="M27" s="128"/>
      <c r="N27" s="401">
        <f t="shared" si="3"/>
        <v>0</v>
      </c>
      <c r="O27" s="402" t="str">
        <f t="shared" si="4"/>
        <v/>
      </c>
      <c r="P27" s="52"/>
      <c r="Q27" s="397">
        <f>IFERROR(VLOOKUP($C27,'Proposed Rates'!$B:$J,Q$11,FALSE),0)</f>
        <v>0</v>
      </c>
      <c r="R27" s="415">
        <f t="shared" si="19"/>
        <v>0</v>
      </c>
      <c r="S27" s="400">
        <f t="shared" si="5"/>
        <v>0</v>
      </c>
      <c r="T27" s="128"/>
      <c r="U27" s="401">
        <f t="shared" si="6"/>
        <v>0</v>
      </c>
      <c r="V27" s="402" t="str">
        <f t="shared" si="7"/>
        <v/>
      </c>
      <c r="W27" s="52"/>
      <c r="X27" s="397">
        <f>IFERROR(VLOOKUP($C27,'Proposed Rates'!$B:$J,X$11,FALSE),0)</f>
        <v>0</v>
      </c>
      <c r="Y27" s="415">
        <f t="shared" si="20"/>
        <v>0</v>
      </c>
      <c r="Z27" s="400">
        <f t="shared" si="8"/>
        <v>0</v>
      </c>
      <c r="AA27" s="128"/>
      <c r="AB27" s="401">
        <f t="shared" si="9"/>
        <v>0</v>
      </c>
      <c r="AC27" s="402" t="str">
        <f t="shared" si="10"/>
        <v/>
      </c>
      <c r="AD27" s="52"/>
      <c r="AE27" s="397">
        <f>IFERROR(VLOOKUP($C27,'Proposed Rates'!$B:$J,AE$11,FALSE),0)</f>
        <v>0</v>
      </c>
      <c r="AF27" s="415">
        <f t="shared" si="21"/>
        <v>0</v>
      </c>
      <c r="AG27" s="400">
        <f t="shared" si="11"/>
        <v>0</v>
      </c>
      <c r="AH27" s="128"/>
      <c r="AI27" s="401">
        <f t="shared" si="12"/>
        <v>0</v>
      </c>
      <c r="AJ27" s="402" t="str">
        <f t="shared" si="13"/>
        <v/>
      </c>
      <c r="AK27" s="52"/>
      <c r="AL27" s="397">
        <f>IFERROR(VLOOKUP($C27,'Proposed Rates'!$B:$J,AL$11,FALSE),0)</f>
        <v>0</v>
      </c>
      <c r="AM27" s="415">
        <f t="shared" si="22"/>
        <v>0</v>
      </c>
      <c r="AN27" s="400">
        <f t="shared" si="14"/>
        <v>0</v>
      </c>
      <c r="AO27" s="128"/>
      <c r="AP27" s="401">
        <f t="shared" si="15"/>
        <v>0</v>
      </c>
      <c r="AQ27" s="402" t="str">
        <f t="shared" si="16"/>
        <v/>
      </c>
      <c r="AR27" s="403"/>
    </row>
    <row r="28" spans="1:44" ht="12" customHeight="1">
      <c r="A28" s="52"/>
      <c r="B28" s="404"/>
      <c r="C28" s="579"/>
      <c r="D28" s="396"/>
      <c r="E28" s="320"/>
      <c r="F28" s="397">
        <f>IFERROR(VLOOKUP($C28,'Proposed Rates'!$B:$J,F$11,FALSE),0)</f>
        <v>0</v>
      </c>
      <c r="G28" s="415">
        <f t="shared" si="17"/>
        <v>0</v>
      </c>
      <c r="H28" s="400">
        <f t="shared" si="1"/>
        <v>0</v>
      </c>
      <c r="I28" s="128"/>
      <c r="J28" s="397">
        <f>IFERROR(VLOOKUP($C28,'Proposed Rates'!$B:$J,J$11,FALSE),0)</f>
        <v>0</v>
      </c>
      <c r="K28" s="415">
        <f t="shared" si="18"/>
        <v>0</v>
      </c>
      <c r="L28" s="400">
        <f t="shared" si="2"/>
        <v>0</v>
      </c>
      <c r="M28" s="128"/>
      <c r="N28" s="401">
        <f t="shared" si="3"/>
        <v>0</v>
      </c>
      <c r="O28" s="402" t="str">
        <f t="shared" si="4"/>
        <v/>
      </c>
      <c r="P28" s="52"/>
      <c r="Q28" s="397">
        <f>IFERROR(VLOOKUP($C28,'Proposed Rates'!$B:$J,Q$11,FALSE),0)</f>
        <v>0</v>
      </c>
      <c r="R28" s="415">
        <f t="shared" si="19"/>
        <v>0</v>
      </c>
      <c r="S28" s="400">
        <f t="shared" si="5"/>
        <v>0</v>
      </c>
      <c r="T28" s="128"/>
      <c r="U28" s="401">
        <f t="shared" si="6"/>
        <v>0</v>
      </c>
      <c r="V28" s="402" t="str">
        <f t="shared" si="7"/>
        <v/>
      </c>
      <c r="W28" s="52"/>
      <c r="X28" s="397">
        <f>IFERROR(VLOOKUP($C28,'Proposed Rates'!$B:$J,X$11,FALSE),0)</f>
        <v>0</v>
      </c>
      <c r="Y28" s="415">
        <f t="shared" si="20"/>
        <v>0</v>
      </c>
      <c r="Z28" s="400">
        <f t="shared" si="8"/>
        <v>0</v>
      </c>
      <c r="AA28" s="128"/>
      <c r="AB28" s="401">
        <f t="shared" si="9"/>
        <v>0</v>
      </c>
      <c r="AC28" s="402" t="str">
        <f t="shared" si="10"/>
        <v/>
      </c>
      <c r="AD28" s="52"/>
      <c r="AE28" s="397">
        <f>IFERROR(VLOOKUP($C28,'Proposed Rates'!$B:$J,AE$11,FALSE),0)</f>
        <v>0</v>
      </c>
      <c r="AF28" s="415">
        <f t="shared" si="21"/>
        <v>0</v>
      </c>
      <c r="AG28" s="400">
        <f t="shared" si="11"/>
        <v>0</v>
      </c>
      <c r="AH28" s="128"/>
      <c r="AI28" s="401">
        <f t="shared" si="12"/>
        <v>0</v>
      </c>
      <c r="AJ28" s="402" t="str">
        <f t="shared" si="13"/>
        <v/>
      </c>
      <c r="AK28" s="52"/>
      <c r="AL28" s="397">
        <f>IFERROR(VLOOKUP($C28,'Proposed Rates'!$B:$J,AL$11,FALSE),0)</f>
        <v>0</v>
      </c>
      <c r="AM28" s="415">
        <f t="shared" si="22"/>
        <v>0</v>
      </c>
      <c r="AN28" s="400">
        <f t="shared" si="14"/>
        <v>0</v>
      </c>
      <c r="AO28" s="128"/>
      <c r="AP28" s="401">
        <f t="shared" si="15"/>
        <v>0</v>
      </c>
      <c r="AQ28" s="402" t="str">
        <f t="shared" si="16"/>
        <v/>
      </c>
      <c r="AR28" s="403"/>
    </row>
    <row r="29" spans="1:44" ht="12" customHeight="1">
      <c r="A29" s="306"/>
      <c r="B29" s="405" t="s">
        <v>310</v>
      </c>
      <c r="C29" s="580"/>
      <c r="D29" s="406"/>
      <c r="E29" s="406"/>
      <c r="F29" s="407"/>
      <c r="G29" s="500"/>
      <c r="H29" s="409">
        <f>SUM(H15:H28)</f>
        <v>133253.455953</v>
      </c>
      <c r="I29" s="410"/>
      <c r="J29" s="407"/>
      <c r="K29" s="500"/>
      <c r="L29" s="409">
        <f>SUM(L15:L28)</f>
        <v>140895.96820800001</v>
      </c>
      <c r="M29" s="410"/>
      <c r="N29" s="411">
        <f t="shared" si="3"/>
        <v>7642.5122550000087</v>
      </c>
      <c r="O29" s="412">
        <f t="shared" si="4"/>
        <v>5.7353201088425121E-2</v>
      </c>
      <c r="P29" s="306"/>
      <c r="Q29" s="407"/>
      <c r="R29" s="500"/>
      <c r="S29" s="409">
        <f>SUM(S15:S28)</f>
        <v>118016.375466</v>
      </c>
      <c r="T29" s="410"/>
      <c r="U29" s="411">
        <f t="shared" si="6"/>
        <v>-22879.592742000008</v>
      </c>
      <c r="V29" s="412">
        <f t="shared" si="7"/>
        <v>-0.16238642619087318</v>
      </c>
      <c r="W29" s="306"/>
      <c r="X29" s="407"/>
      <c r="Y29" s="500"/>
      <c r="Z29" s="409">
        <f>SUM(Z15:Z28)</f>
        <v>124187.56219200001</v>
      </c>
      <c r="AA29" s="410"/>
      <c r="AB29" s="411">
        <f t="shared" si="9"/>
        <v>6171.1867260000145</v>
      </c>
      <c r="AC29" s="412">
        <f t="shared" si="10"/>
        <v>5.2290935911499047E-2</v>
      </c>
      <c r="AD29" s="306"/>
      <c r="AE29" s="407"/>
      <c r="AF29" s="500"/>
      <c r="AG29" s="409">
        <f>SUM(AG15:AG28)</f>
        <v>125969.84097300001</v>
      </c>
      <c r="AH29" s="410"/>
      <c r="AI29" s="411">
        <f t="shared" si="12"/>
        <v>1782.2787810000009</v>
      </c>
      <c r="AJ29" s="412">
        <f t="shared" si="13"/>
        <v>1.4351507909016776E-2</v>
      </c>
      <c r="AK29" s="306"/>
      <c r="AL29" s="407"/>
      <c r="AM29" s="500"/>
      <c r="AN29" s="409">
        <f>SUM(AN15:AN28)</f>
        <v>131987.84287500003</v>
      </c>
      <c r="AO29" s="410"/>
      <c r="AP29" s="411">
        <f t="shared" si="15"/>
        <v>6018.0019020000182</v>
      </c>
      <c r="AQ29" s="412">
        <f t="shared" si="16"/>
        <v>4.777335476108046E-2</v>
      </c>
      <c r="AR29" s="413"/>
    </row>
    <row r="30" spans="1:44" ht="12" customHeight="1">
      <c r="A30" s="52"/>
      <c r="B30" s="404" t="s">
        <v>234</v>
      </c>
      <c r="C30" s="579" t="str">
        <f t="shared" ref="C30:C36" si="23">D$6&amp;"."&amp;B30</f>
        <v>Street Light.DVA Disposition Rate Rider Group 1 -2025</v>
      </c>
      <c r="D30" s="396" t="s">
        <v>377</v>
      </c>
      <c r="E30" s="320"/>
      <c r="F30" s="414">
        <f>IFERROR(VLOOKUP($C30,'Proposed Rates'!$B:$J,F$11,FALSE),0)</f>
        <v>4.1000000000000002E-2</v>
      </c>
      <c r="G30" s="415">
        <f t="shared" ref="G30:G36" si="24">IF($D30="Monthly",1,IF($D30="per KW",$F$10,IF($D30="per kWh",$F$9,0)))</f>
        <v>4909.7700000000004</v>
      </c>
      <c r="H30" s="400">
        <f t="shared" ref="H30:H38" si="25">G30*F30</f>
        <v>201.30057000000002</v>
      </c>
      <c r="I30" s="128"/>
      <c r="J30" s="414">
        <f>IFERROR(VLOOKUP($C30,'Proposed Rates'!$B:$J,J$11,FALSE),0)</f>
        <v>-0.2215</v>
      </c>
      <c r="K30" s="415">
        <f t="shared" ref="K30:K36" si="26">IF($D30="Monthly",1,IF($D30="per KW",$F$10,IF($D30="per kWh",$F$9,0)))</f>
        <v>4909.7700000000004</v>
      </c>
      <c r="L30" s="400">
        <f t="shared" ref="L30:L38" si="27">K30*J30</f>
        <v>-1087.5140550000001</v>
      </c>
      <c r="M30" s="128"/>
      <c r="N30" s="401">
        <f t="shared" si="3"/>
        <v>-1288.8146250000002</v>
      </c>
      <c r="O30" s="402">
        <f t="shared" si="4"/>
        <v>-6.4024390243902438</v>
      </c>
      <c r="P30" s="52"/>
      <c r="Q30" s="414">
        <f>IFERROR(VLOOKUP($C30,'Proposed Rates'!$B:$J,Q$11,FALSE),0)</f>
        <v>0</v>
      </c>
      <c r="R30" s="415">
        <f t="shared" ref="R30:R36" si="28">IF($D30="Monthly",1,IF($D30="per KW",$F$10,IF($D30="per kWh",$F$9,0)))</f>
        <v>4909.7700000000004</v>
      </c>
      <c r="S30" s="400">
        <f t="shared" ref="S30:S38" si="29">R30*Q30</f>
        <v>0</v>
      </c>
      <c r="T30" s="128"/>
      <c r="U30" s="401">
        <f t="shared" si="6"/>
        <v>1087.5140550000001</v>
      </c>
      <c r="V30" s="402">
        <f t="shared" si="7"/>
        <v>-1</v>
      </c>
      <c r="W30" s="52"/>
      <c r="X30" s="414">
        <f>IFERROR(VLOOKUP($C30,'Proposed Rates'!$B:$J,X$11,FALSE),0)</f>
        <v>0</v>
      </c>
      <c r="Y30" s="415">
        <f t="shared" ref="Y30:Y36" si="30">IF($D30="Monthly",1,IF($D30="per KW",$F$10,IF($D30="per kWh",$F$9,0)))</f>
        <v>4909.7700000000004</v>
      </c>
      <c r="Z30" s="400">
        <f t="shared" ref="Z30:Z38" si="31">Y30*X30</f>
        <v>0</v>
      </c>
      <c r="AA30" s="128"/>
      <c r="AB30" s="401">
        <f t="shared" si="9"/>
        <v>0</v>
      </c>
      <c r="AC30" s="402" t="str">
        <f t="shared" si="10"/>
        <v/>
      </c>
      <c r="AD30" s="52"/>
      <c r="AE30" s="414">
        <f>IFERROR(VLOOKUP($C30,'Proposed Rates'!$B:$J,AE$11,FALSE),0)</f>
        <v>0</v>
      </c>
      <c r="AF30" s="415">
        <f t="shared" ref="AF30:AF36" si="32">IF($D30="Monthly",1,IF($D30="per KW",$F$10,IF($D30="per kWh",$F$9,0)))</f>
        <v>4909.7700000000004</v>
      </c>
      <c r="AG30" s="400">
        <f t="shared" ref="AG30:AG38" si="33">AF30*AE30</f>
        <v>0</v>
      </c>
      <c r="AH30" s="128"/>
      <c r="AI30" s="401">
        <f t="shared" si="12"/>
        <v>0</v>
      </c>
      <c r="AJ30" s="402" t="str">
        <f t="shared" si="13"/>
        <v/>
      </c>
      <c r="AK30" s="52"/>
      <c r="AL30" s="414">
        <f>IFERROR(VLOOKUP($C30,'Proposed Rates'!$B:$J,AL$11,FALSE),0)</f>
        <v>0</v>
      </c>
      <c r="AM30" s="415">
        <f t="shared" ref="AM30:AM36" si="34">IF($D30="Monthly",1,IF($D30="per KW",$F$10,IF($D30="per kWh",$F$9,0)))</f>
        <v>4909.7700000000004</v>
      </c>
      <c r="AN30" s="400">
        <f t="shared" ref="AN30:AN38" si="35">AM30*AL30</f>
        <v>0</v>
      </c>
      <c r="AO30" s="128"/>
      <c r="AP30" s="401">
        <f t="shared" si="15"/>
        <v>0</v>
      </c>
      <c r="AQ30" s="402" t="str">
        <f t="shared" si="16"/>
        <v/>
      </c>
      <c r="AR30" s="403"/>
    </row>
    <row r="31" spans="1:44" ht="12" customHeight="1">
      <c r="A31" s="52"/>
      <c r="B31" s="404" t="s">
        <v>236</v>
      </c>
      <c r="C31" s="579" t="str">
        <f t="shared" si="23"/>
        <v>Street Light.DVA Disposition Rate Rider Group 1 - 2024</v>
      </c>
      <c r="D31" s="396" t="s">
        <v>377</v>
      </c>
      <c r="E31" s="320"/>
      <c r="F31" s="397">
        <f>IFERROR(VLOOKUP($C31,'Proposed Rates'!$B:$J,F$11,FALSE),0)</f>
        <v>0</v>
      </c>
      <c r="G31" s="415">
        <f t="shared" si="24"/>
        <v>4909.7700000000004</v>
      </c>
      <c r="H31" s="400">
        <f t="shared" si="25"/>
        <v>0</v>
      </c>
      <c r="I31" s="128"/>
      <c r="J31" s="397">
        <f>IFERROR(VLOOKUP($C31,'Proposed Rates'!$B:$J,J$11,FALSE),0)</f>
        <v>0</v>
      </c>
      <c r="K31" s="415">
        <f t="shared" si="26"/>
        <v>4909.7700000000004</v>
      </c>
      <c r="L31" s="400">
        <f t="shared" si="27"/>
        <v>0</v>
      </c>
      <c r="M31" s="128"/>
      <c r="N31" s="401">
        <f t="shared" si="3"/>
        <v>0</v>
      </c>
      <c r="O31" s="402" t="str">
        <f t="shared" si="4"/>
        <v/>
      </c>
      <c r="P31" s="52"/>
      <c r="Q31" s="397">
        <f>IFERROR(VLOOKUP($C31,'Proposed Rates'!$B:$J,Q$11,FALSE),0)</f>
        <v>0</v>
      </c>
      <c r="R31" s="415">
        <f t="shared" si="28"/>
        <v>4909.7700000000004</v>
      </c>
      <c r="S31" s="400">
        <f t="shared" si="29"/>
        <v>0</v>
      </c>
      <c r="T31" s="128"/>
      <c r="U31" s="401">
        <f t="shared" si="6"/>
        <v>0</v>
      </c>
      <c r="V31" s="402" t="str">
        <f t="shared" si="7"/>
        <v/>
      </c>
      <c r="W31" s="52"/>
      <c r="X31" s="397">
        <f>IFERROR(VLOOKUP($C31,'Proposed Rates'!$B:$J,X$11,FALSE),0)</f>
        <v>0</v>
      </c>
      <c r="Y31" s="415">
        <f t="shared" si="30"/>
        <v>4909.7700000000004</v>
      </c>
      <c r="Z31" s="400">
        <f t="shared" si="31"/>
        <v>0</v>
      </c>
      <c r="AA31" s="128"/>
      <c r="AB31" s="401">
        <f t="shared" si="9"/>
        <v>0</v>
      </c>
      <c r="AC31" s="402" t="str">
        <f t="shared" si="10"/>
        <v/>
      </c>
      <c r="AD31" s="52"/>
      <c r="AE31" s="397">
        <f>IFERROR(VLOOKUP($C31,'Proposed Rates'!$B:$J,AE$11,FALSE),0)</f>
        <v>0</v>
      </c>
      <c r="AF31" s="415">
        <f t="shared" si="32"/>
        <v>4909.7700000000004</v>
      </c>
      <c r="AG31" s="400">
        <f t="shared" si="33"/>
        <v>0</v>
      </c>
      <c r="AH31" s="128"/>
      <c r="AI31" s="401">
        <f t="shared" si="12"/>
        <v>0</v>
      </c>
      <c r="AJ31" s="402" t="str">
        <f t="shared" si="13"/>
        <v/>
      </c>
      <c r="AK31" s="52"/>
      <c r="AL31" s="397">
        <f>IFERROR(VLOOKUP($C31,'Proposed Rates'!$B:$J,AL$11,FALSE),0)</f>
        <v>0</v>
      </c>
      <c r="AM31" s="415">
        <f t="shared" si="34"/>
        <v>4909.7700000000004</v>
      </c>
      <c r="AN31" s="400">
        <f t="shared" si="35"/>
        <v>0</v>
      </c>
      <c r="AO31" s="128"/>
      <c r="AP31" s="401">
        <f t="shared" si="15"/>
        <v>0</v>
      </c>
      <c r="AQ31" s="402" t="str">
        <f t="shared" si="16"/>
        <v/>
      </c>
      <c r="AR31" s="403"/>
    </row>
    <row r="32" spans="1:44" ht="12" customHeight="1">
      <c r="A32" s="52"/>
      <c r="B32" s="404" t="s">
        <v>244</v>
      </c>
      <c r="C32" s="579" t="str">
        <f t="shared" si="23"/>
        <v>Street Light.CBR Class B Rate Riders</v>
      </c>
      <c r="D32" s="396" t="s">
        <v>308</v>
      </c>
      <c r="E32" s="320"/>
      <c r="F32" s="414">
        <f>IFERROR(VLOOKUP($C32,'Proposed Rates'!$B:$J,F$11,FALSE),0)</f>
        <v>2.0000000000000001E-4</v>
      </c>
      <c r="G32" s="415">
        <f t="shared" si="24"/>
        <v>1745419</v>
      </c>
      <c r="H32" s="400">
        <f t="shared" si="25"/>
        <v>349.0838</v>
      </c>
      <c r="I32" s="485"/>
      <c r="J32" s="414">
        <f>IFERROR(VLOOKUP($C32,'Proposed Rates'!$B:$J,J$11,FALSE),0)</f>
        <v>4.0000000000000002E-4</v>
      </c>
      <c r="K32" s="415">
        <f t="shared" si="26"/>
        <v>1745419</v>
      </c>
      <c r="L32" s="400">
        <f t="shared" si="27"/>
        <v>698.16759999999999</v>
      </c>
      <c r="M32" s="417"/>
      <c r="N32" s="401">
        <f t="shared" si="3"/>
        <v>349.0838</v>
      </c>
      <c r="O32" s="402">
        <f t="shared" si="4"/>
        <v>1</v>
      </c>
      <c r="P32" s="52"/>
      <c r="Q32" s="414">
        <f>IFERROR(VLOOKUP($C32,'Proposed Rates'!$B:$J,Q$11,FALSE),0)</f>
        <v>0</v>
      </c>
      <c r="R32" s="415">
        <f t="shared" si="28"/>
        <v>1745419</v>
      </c>
      <c r="S32" s="400">
        <f t="shared" si="29"/>
        <v>0</v>
      </c>
      <c r="T32" s="417"/>
      <c r="U32" s="401">
        <f t="shared" si="6"/>
        <v>-698.16759999999999</v>
      </c>
      <c r="V32" s="402">
        <f t="shared" si="7"/>
        <v>-1</v>
      </c>
      <c r="W32" s="52"/>
      <c r="X32" s="414">
        <f>IFERROR(VLOOKUP($C32,'Proposed Rates'!$B:$J,X$11,FALSE),0)</f>
        <v>0</v>
      </c>
      <c r="Y32" s="415">
        <f t="shared" si="30"/>
        <v>1745419</v>
      </c>
      <c r="Z32" s="400">
        <f t="shared" si="31"/>
        <v>0</v>
      </c>
      <c r="AA32" s="128"/>
      <c r="AB32" s="401">
        <f t="shared" si="9"/>
        <v>0</v>
      </c>
      <c r="AC32" s="402" t="str">
        <f t="shared" si="10"/>
        <v/>
      </c>
      <c r="AD32" s="52"/>
      <c r="AE32" s="414">
        <f>IFERROR(VLOOKUP($C32,'Proposed Rates'!$B:$J,AE$11,FALSE),0)</f>
        <v>0</v>
      </c>
      <c r="AF32" s="415">
        <f t="shared" si="32"/>
        <v>1745419</v>
      </c>
      <c r="AG32" s="400">
        <f t="shared" si="33"/>
        <v>0</v>
      </c>
      <c r="AH32" s="128"/>
      <c r="AI32" s="401">
        <f t="shared" si="12"/>
        <v>0</v>
      </c>
      <c r="AJ32" s="402" t="str">
        <f t="shared" si="13"/>
        <v/>
      </c>
      <c r="AK32" s="52"/>
      <c r="AL32" s="414">
        <f>IFERROR(VLOOKUP($C32,'Proposed Rates'!$B:$J,AL$11,FALSE),0)</f>
        <v>0</v>
      </c>
      <c r="AM32" s="415">
        <f t="shared" si="34"/>
        <v>1745419</v>
      </c>
      <c r="AN32" s="400">
        <f t="shared" si="35"/>
        <v>0</v>
      </c>
      <c r="AO32" s="417"/>
      <c r="AP32" s="401">
        <f t="shared" si="15"/>
        <v>0</v>
      </c>
      <c r="AQ32" s="402" t="str">
        <f t="shared" si="16"/>
        <v/>
      </c>
      <c r="AR32" s="403"/>
    </row>
    <row r="33" spans="1:44" ht="12" customHeight="1">
      <c r="A33" s="52"/>
      <c r="B33" s="404" t="s">
        <v>249</v>
      </c>
      <c r="C33" s="579" t="str">
        <f t="shared" si="23"/>
        <v>Street Light.GA Rate Riders</v>
      </c>
      <c r="D33" s="396" t="s">
        <v>308</v>
      </c>
      <c r="E33" s="320"/>
      <c r="F33" s="414">
        <f>IFERROR(VLOOKUP($C33,'Proposed Rates'!$B:$J,F$11,FALSE),0)</f>
        <v>3.8999999999999998E-3</v>
      </c>
      <c r="G33" s="415">
        <f t="shared" si="24"/>
        <v>1745419</v>
      </c>
      <c r="H33" s="400">
        <f t="shared" si="25"/>
        <v>6807.1340999999993</v>
      </c>
      <c r="I33" s="485"/>
      <c r="J33" s="414">
        <f>IFERROR(VLOOKUP($C33,'Proposed Rates'!$B:$J,J$11,FALSE),0)</f>
        <v>4.4999999999999997E-3</v>
      </c>
      <c r="K33" s="415">
        <f t="shared" si="26"/>
        <v>1745419</v>
      </c>
      <c r="L33" s="400">
        <f t="shared" si="27"/>
        <v>7854.3854999999994</v>
      </c>
      <c r="M33" s="417"/>
      <c r="N33" s="401">
        <f t="shared" si="3"/>
        <v>1047.2514000000001</v>
      </c>
      <c r="O33" s="402">
        <f t="shared" si="4"/>
        <v>0.15384615384615388</v>
      </c>
      <c r="P33" s="52"/>
      <c r="Q33" s="414">
        <f>IFERROR(VLOOKUP($C33,'Proposed Rates'!$B:$J,Q$11,FALSE),0)</f>
        <v>0</v>
      </c>
      <c r="R33" s="415">
        <f t="shared" si="28"/>
        <v>1745419</v>
      </c>
      <c r="S33" s="400">
        <f t="shared" si="29"/>
        <v>0</v>
      </c>
      <c r="T33" s="417"/>
      <c r="U33" s="401">
        <f t="shared" si="6"/>
        <v>-7854.3854999999994</v>
      </c>
      <c r="V33" s="402">
        <f t="shared" si="7"/>
        <v>-1</v>
      </c>
      <c r="W33" s="52"/>
      <c r="X33" s="414">
        <f>IFERROR(VLOOKUP($C33,'Proposed Rates'!$B:$J,X$11,FALSE),0)</f>
        <v>0</v>
      </c>
      <c r="Y33" s="415">
        <f t="shared" si="30"/>
        <v>1745419</v>
      </c>
      <c r="Z33" s="400">
        <f t="shared" si="31"/>
        <v>0</v>
      </c>
      <c r="AA33" s="417"/>
      <c r="AB33" s="401">
        <f t="shared" si="9"/>
        <v>0</v>
      </c>
      <c r="AC33" s="402" t="str">
        <f t="shared" si="10"/>
        <v/>
      </c>
      <c r="AD33" s="52"/>
      <c r="AE33" s="414">
        <f>IFERROR(VLOOKUP($C33,'Proposed Rates'!$B:$J,AE$11,FALSE),0)</f>
        <v>0</v>
      </c>
      <c r="AF33" s="415">
        <f t="shared" si="32"/>
        <v>1745419</v>
      </c>
      <c r="AG33" s="400">
        <f t="shared" si="33"/>
        <v>0</v>
      </c>
      <c r="AH33" s="417"/>
      <c r="AI33" s="401">
        <f t="shared" si="12"/>
        <v>0</v>
      </c>
      <c r="AJ33" s="402" t="str">
        <f t="shared" si="13"/>
        <v/>
      </c>
      <c r="AK33" s="52"/>
      <c r="AL33" s="414">
        <f>IFERROR(VLOOKUP($C33,'Proposed Rates'!$B:$J,AL$11,FALSE),0)</f>
        <v>0</v>
      </c>
      <c r="AM33" s="415">
        <f t="shared" si="34"/>
        <v>1745419</v>
      </c>
      <c r="AN33" s="400">
        <f t="shared" si="35"/>
        <v>0</v>
      </c>
      <c r="AO33" s="417"/>
      <c r="AP33" s="401">
        <f t="shared" si="15"/>
        <v>0</v>
      </c>
      <c r="AQ33" s="402" t="str">
        <f t="shared" si="16"/>
        <v/>
      </c>
      <c r="AR33" s="403"/>
    </row>
    <row r="34" spans="1:44" ht="12" customHeight="1">
      <c r="A34" s="52"/>
      <c r="B34" s="404" t="s">
        <v>252</v>
      </c>
      <c r="C34" s="579" t="str">
        <f t="shared" si="23"/>
        <v>Street Light.Total Deferral/Variance Account Rate RidersYr2</v>
      </c>
      <c r="D34" s="396" t="s">
        <v>377</v>
      </c>
      <c r="E34" s="320"/>
      <c r="F34" s="397">
        <f>IFERROR(VLOOKUP($C34,'Proposed Rates'!$B:$J,F$11,FALSE),0)</f>
        <v>0</v>
      </c>
      <c r="G34" s="415">
        <f t="shared" si="24"/>
        <v>4909.7700000000004</v>
      </c>
      <c r="H34" s="400">
        <f t="shared" si="25"/>
        <v>0</v>
      </c>
      <c r="I34" s="485"/>
      <c r="J34" s="397">
        <f>IFERROR(VLOOKUP($C34,'Proposed Rates'!$B:$J,J$11,FALSE),0)</f>
        <v>0</v>
      </c>
      <c r="K34" s="415">
        <f t="shared" si="26"/>
        <v>4909.7700000000004</v>
      </c>
      <c r="L34" s="400">
        <f t="shared" si="27"/>
        <v>0</v>
      </c>
      <c r="M34" s="417"/>
      <c r="N34" s="401">
        <f t="shared" si="3"/>
        <v>0</v>
      </c>
      <c r="O34" s="402" t="str">
        <f t="shared" si="4"/>
        <v/>
      </c>
      <c r="P34" s="52"/>
      <c r="Q34" s="397">
        <f>IFERROR(VLOOKUP($C34,'Proposed Rates'!$B:$J,Q$11,FALSE),0)</f>
        <v>0</v>
      </c>
      <c r="R34" s="415">
        <f t="shared" si="28"/>
        <v>4909.7700000000004</v>
      </c>
      <c r="S34" s="400">
        <f t="shared" si="29"/>
        <v>0</v>
      </c>
      <c r="T34" s="417"/>
      <c r="U34" s="401">
        <f t="shared" si="6"/>
        <v>0</v>
      </c>
      <c r="V34" s="402" t="str">
        <f t="shared" si="7"/>
        <v/>
      </c>
      <c r="W34" s="52"/>
      <c r="X34" s="397">
        <f>IFERROR(VLOOKUP($C34,'Proposed Rates'!$B:$J,X$11,FALSE),0)</f>
        <v>0</v>
      </c>
      <c r="Y34" s="415">
        <f t="shared" si="30"/>
        <v>4909.7700000000004</v>
      </c>
      <c r="Z34" s="400">
        <f t="shared" si="31"/>
        <v>0</v>
      </c>
      <c r="AA34" s="417"/>
      <c r="AB34" s="401">
        <f t="shared" si="9"/>
        <v>0</v>
      </c>
      <c r="AC34" s="402" t="str">
        <f t="shared" si="10"/>
        <v/>
      </c>
      <c r="AD34" s="52"/>
      <c r="AE34" s="397">
        <f>IFERROR(VLOOKUP($C34,'Proposed Rates'!$B:$J,AE$11,FALSE),0)</f>
        <v>0</v>
      </c>
      <c r="AF34" s="415">
        <f t="shared" si="32"/>
        <v>4909.7700000000004</v>
      </c>
      <c r="AG34" s="400">
        <f t="shared" si="33"/>
        <v>0</v>
      </c>
      <c r="AH34" s="417"/>
      <c r="AI34" s="401">
        <f t="shared" si="12"/>
        <v>0</v>
      </c>
      <c r="AJ34" s="402" t="str">
        <f t="shared" si="13"/>
        <v/>
      </c>
      <c r="AK34" s="52"/>
      <c r="AL34" s="397">
        <f>IFERROR(VLOOKUP($C34,'Proposed Rates'!$B:$J,AL$11,FALSE),0)</f>
        <v>0</v>
      </c>
      <c r="AM34" s="415">
        <f t="shared" si="34"/>
        <v>4909.7700000000004</v>
      </c>
      <c r="AN34" s="400">
        <f t="shared" si="35"/>
        <v>0</v>
      </c>
      <c r="AO34" s="417"/>
      <c r="AP34" s="401">
        <f t="shared" si="15"/>
        <v>0</v>
      </c>
      <c r="AQ34" s="402" t="str">
        <f t="shared" si="16"/>
        <v/>
      </c>
      <c r="AR34" s="403"/>
    </row>
    <row r="35" spans="1:44" ht="12" customHeight="1">
      <c r="A35" s="52"/>
      <c r="B35" s="404" t="s">
        <v>254</v>
      </c>
      <c r="C35" s="579" t="str">
        <f t="shared" si="23"/>
        <v>Street Light.Total Deferral/Variance Account Rate Riders</v>
      </c>
      <c r="D35" s="396" t="s">
        <v>377</v>
      </c>
      <c r="E35" s="320"/>
      <c r="F35" s="397">
        <f>IFERROR(VLOOKUP($C35,'Proposed Rates'!$B:$J,F$11,FALSE),0)</f>
        <v>0</v>
      </c>
      <c r="G35" s="415">
        <f t="shared" si="24"/>
        <v>4909.7700000000004</v>
      </c>
      <c r="H35" s="400">
        <f t="shared" si="25"/>
        <v>0</v>
      </c>
      <c r="I35" s="128"/>
      <c r="J35" s="397">
        <f>IFERROR(VLOOKUP($C35,'Proposed Rates'!$B:$J,J$11,FALSE),0)</f>
        <v>0</v>
      </c>
      <c r="K35" s="415">
        <f t="shared" si="26"/>
        <v>4909.7700000000004</v>
      </c>
      <c r="L35" s="400">
        <f t="shared" si="27"/>
        <v>0</v>
      </c>
      <c r="M35" s="128"/>
      <c r="N35" s="401">
        <f t="shared" si="3"/>
        <v>0</v>
      </c>
      <c r="O35" s="402" t="str">
        <f t="shared" si="4"/>
        <v/>
      </c>
      <c r="P35" s="52"/>
      <c r="Q35" s="397">
        <f>IFERROR(VLOOKUP($C35,'Proposed Rates'!$B:$J,Q$11,FALSE),0)</f>
        <v>0</v>
      </c>
      <c r="R35" s="415">
        <f t="shared" si="28"/>
        <v>4909.7700000000004</v>
      </c>
      <c r="S35" s="400">
        <f t="shared" si="29"/>
        <v>0</v>
      </c>
      <c r="T35" s="128"/>
      <c r="U35" s="401">
        <f t="shared" si="6"/>
        <v>0</v>
      </c>
      <c r="V35" s="402" t="str">
        <f t="shared" si="7"/>
        <v/>
      </c>
      <c r="W35" s="52"/>
      <c r="X35" s="397">
        <f>IFERROR(VLOOKUP($C35,'Proposed Rates'!$B:$J,X$11,FALSE),0)</f>
        <v>0</v>
      </c>
      <c r="Y35" s="415">
        <f t="shared" si="30"/>
        <v>4909.7700000000004</v>
      </c>
      <c r="Z35" s="400">
        <f t="shared" si="31"/>
        <v>0</v>
      </c>
      <c r="AA35" s="128"/>
      <c r="AB35" s="401">
        <f t="shared" si="9"/>
        <v>0</v>
      </c>
      <c r="AC35" s="402" t="str">
        <f t="shared" si="10"/>
        <v/>
      </c>
      <c r="AD35" s="52"/>
      <c r="AE35" s="397">
        <f>IFERROR(VLOOKUP($C35,'Proposed Rates'!$B:$J,AE$11,FALSE),0)</f>
        <v>0</v>
      </c>
      <c r="AF35" s="415">
        <f t="shared" si="32"/>
        <v>4909.7700000000004</v>
      </c>
      <c r="AG35" s="400">
        <f t="shared" si="33"/>
        <v>0</v>
      </c>
      <c r="AH35" s="128"/>
      <c r="AI35" s="401">
        <f t="shared" si="12"/>
        <v>0</v>
      </c>
      <c r="AJ35" s="402" t="str">
        <f t="shared" si="13"/>
        <v/>
      </c>
      <c r="AK35" s="52"/>
      <c r="AL35" s="397">
        <f>IFERROR(VLOOKUP($C35,'Proposed Rates'!$B:$J,AL$11,FALSE),0)</f>
        <v>0</v>
      </c>
      <c r="AM35" s="415">
        <f t="shared" si="34"/>
        <v>4909.7700000000004</v>
      </c>
      <c r="AN35" s="400">
        <f t="shared" si="35"/>
        <v>0</v>
      </c>
      <c r="AO35" s="128"/>
      <c r="AP35" s="401">
        <f t="shared" si="15"/>
        <v>0</v>
      </c>
      <c r="AQ35" s="402" t="str">
        <f t="shared" si="16"/>
        <v/>
      </c>
      <c r="AR35" s="403"/>
    </row>
    <row r="36" spans="1:44" ht="12" customHeight="1">
      <c r="A36" s="52"/>
      <c r="B36" s="320" t="s">
        <v>269</v>
      </c>
      <c r="C36" s="579" t="str">
        <f t="shared" si="23"/>
        <v>Street Light.Low Voltage Service Charge</v>
      </c>
      <c r="D36" s="396" t="s">
        <v>377</v>
      </c>
      <c r="E36" s="320"/>
      <c r="F36" s="418">
        <f>IFERROR(VLOOKUP($C36,'Proposed Rates'!$B:$J,F$11,FALSE),0)</f>
        <v>1.5640000000000001E-2</v>
      </c>
      <c r="G36" s="415">
        <f t="shared" si="24"/>
        <v>4909.7700000000004</v>
      </c>
      <c r="H36" s="400">
        <f t="shared" si="25"/>
        <v>76.788802800000013</v>
      </c>
      <c r="I36" s="128"/>
      <c r="J36" s="418">
        <f>IFERROR(VLOOKUP($C36,'Proposed Rates'!$B:$J,J$11,FALSE),0)</f>
        <v>1.0999999999999999E-2</v>
      </c>
      <c r="K36" s="415">
        <f t="shared" si="26"/>
        <v>4909.7700000000004</v>
      </c>
      <c r="L36" s="400">
        <f t="shared" si="27"/>
        <v>54.007470000000005</v>
      </c>
      <c r="M36" s="128"/>
      <c r="N36" s="401">
        <f t="shared" si="3"/>
        <v>-22.781332800000008</v>
      </c>
      <c r="O36" s="402">
        <f t="shared" si="4"/>
        <v>-0.29667519181585683</v>
      </c>
      <c r="P36" s="52"/>
      <c r="Q36" s="418">
        <f>IFERROR(VLOOKUP($C36,'Proposed Rates'!$B:$J,Q$11,FALSE),0)</f>
        <v>1.128E-2</v>
      </c>
      <c r="R36" s="415">
        <f t="shared" si="28"/>
        <v>4909.7700000000004</v>
      </c>
      <c r="S36" s="400">
        <f t="shared" si="29"/>
        <v>55.382205600000006</v>
      </c>
      <c r="T36" s="128"/>
      <c r="U36" s="401">
        <f t="shared" si="6"/>
        <v>1.3747356000000011</v>
      </c>
      <c r="V36" s="402">
        <f t="shared" si="7"/>
        <v>2.5454545454545473E-2</v>
      </c>
      <c r="W36" s="52"/>
      <c r="X36" s="418">
        <f>IFERROR(VLOOKUP($C36,'Proposed Rates'!$B:$J,X$11,FALSE),0)</f>
        <v>1.1429999999999999E-2</v>
      </c>
      <c r="Y36" s="415">
        <f t="shared" si="30"/>
        <v>4909.7700000000004</v>
      </c>
      <c r="Z36" s="400">
        <f t="shared" si="31"/>
        <v>56.1186711</v>
      </c>
      <c r="AA36" s="128"/>
      <c r="AB36" s="401">
        <f t="shared" si="9"/>
        <v>0.73646549999999422</v>
      </c>
      <c r="AC36" s="402">
        <f t="shared" si="10"/>
        <v>1.3297872340425426E-2</v>
      </c>
      <c r="AD36" s="52"/>
      <c r="AE36" s="418">
        <f>IFERROR(VLOOKUP($C36,'Proposed Rates'!$B:$J,AE$11,FALSE),0)</f>
        <v>1.162E-2</v>
      </c>
      <c r="AF36" s="415">
        <f t="shared" si="32"/>
        <v>4909.7700000000004</v>
      </c>
      <c r="AG36" s="400">
        <f t="shared" si="33"/>
        <v>57.051527400000005</v>
      </c>
      <c r="AH36" s="128"/>
      <c r="AI36" s="401">
        <f t="shared" si="12"/>
        <v>0.93285630000000452</v>
      </c>
      <c r="AJ36" s="402">
        <f t="shared" si="13"/>
        <v>1.662292213473324E-2</v>
      </c>
      <c r="AK36" s="52"/>
      <c r="AL36" s="418">
        <f>IFERROR(VLOOKUP($C36,'Proposed Rates'!$B:$J,AL$11,FALSE),0)</f>
        <v>1.1820000000000001E-2</v>
      </c>
      <c r="AM36" s="415">
        <f t="shared" si="34"/>
        <v>4909.7700000000004</v>
      </c>
      <c r="AN36" s="400">
        <f t="shared" si="35"/>
        <v>58.033481400000007</v>
      </c>
      <c r="AO36" s="128"/>
      <c r="AP36" s="401">
        <f t="shared" si="15"/>
        <v>0.98195400000000177</v>
      </c>
      <c r="AQ36" s="402">
        <f t="shared" si="16"/>
        <v>1.721170395869194E-2</v>
      </c>
      <c r="AR36" s="403"/>
    </row>
    <row r="37" spans="1:44" ht="12" customHeight="1">
      <c r="A37" s="52"/>
      <c r="B37" s="320" t="s">
        <v>312</v>
      </c>
      <c r="C37" s="581"/>
      <c r="D37" s="396"/>
      <c r="E37" s="320"/>
      <c r="F37" s="420">
        <f>'Proposed Rates'!$K$249*F$46+'Proposed Rates'!$K$250*F$47+'Proposed Rates'!$K$251*F$48</f>
        <v>0.12752000000000002</v>
      </c>
      <c r="G37" s="507">
        <f>$F$9*(1+F$65)-$F$9</f>
        <v>58995.162200000137</v>
      </c>
      <c r="H37" s="400">
        <f t="shared" si="25"/>
        <v>7523.0630837440185</v>
      </c>
      <c r="I37" s="128"/>
      <c r="J37" s="420">
        <f>'Proposed Rates'!$K$249*J$46+'Proposed Rates'!$K$250*J$47+'Proposed Rates'!$K$251*J$48</f>
        <v>0.12752000000000002</v>
      </c>
      <c r="K37" s="507">
        <f>$F$9*(1+J$65)-$F$9</f>
        <v>57947.910799999721</v>
      </c>
      <c r="L37" s="400">
        <f t="shared" si="27"/>
        <v>7389.5175852159655</v>
      </c>
      <c r="M37" s="128"/>
      <c r="N37" s="401">
        <f t="shared" si="3"/>
        <v>-133.54549852805303</v>
      </c>
      <c r="O37" s="402">
        <f t="shared" si="4"/>
        <v>-1.7751479289947834E-2</v>
      </c>
      <c r="P37" s="52"/>
      <c r="Q37" s="420">
        <f>'Proposed Rates'!$K$249*Q$46+'Proposed Rates'!$K$250*Q$47+'Proposed Rates'!$K$251*Q$48</f>
        <v>0.12752000000000002</v>
      </c>
      <c r="R37" s="507">
        <f>$F$9*(1+Q$65)-$F$9</f>
        <v>57947.910799999721</v>
      </c>
      <c r="S37" s="400">
        <f t="shared" si="29"/>
        <v>7389.5175852159655</v>
      </c>
      <c r="T37" s="128"/>
      <c r="U37" s="401">
        <f t="shared" si="6"/>
        <v>0</v>
      </c>
      <c r="V37" s="402">
        <f t="shared" si="7"/>
        <v>0</v>
      </c>
      <c r="W37" s="52"/>
      <c r="X37" s="420">
        <f>'Proposed Rates'!$K$249*X$46+'Proposed Rates'!$K$250*X$47+'Proposed Rates'!$K$251*X$48</f>
        <v>0.12752000000000002</v>
      </c>
      <c r="Y37" s="507">
        <f>$F$9*(1+X$65)-$F$9</f>
        <v>57947.910799999721</v>
      </c>
      <c r="Z37" s="400">
        <f t="shared" si="31"/>
        <v>7389.5175852159655</v>
      </c>
      <c r="AA37" s="128"/>
      <c r="AB37" s="401">
        <f t="shared" si="9"/>
        <v>0</v>
      </c>
      <c r="AC37" s="402">
        <f t="shared" si="10"/>
        <v>0</v>
      </c>
      <c r="AD37" s="52"/>
      <c r="AE37" s="420">
        <f>'Proposed Rates'!$K$249*AE$46+'Proposed Rates'!$K$250*AE$47+'Proposed Rates'!$K$251*AE$48</f>
        <v>0.12752000000000002</v>
      </c>
      <c r="AF37" s="507">
        <f>$F$9*(1+AE$65)-$F$9</f>
        <v>57947.910799999721</v>
      </c>
      <c r="AG37" s="400">
        <f t="shared" si="33"/>
        <v>7389.5175852159655</v>
      </c>
      <c r="AH37" s="128"/>
      <c r="AI37" s="401">
        <f t="shared" si="12"/>
        <v>0</v>
      </c>
      <c r="AJ37" s="402">
        <f t="shared" si="13"/>
        <v>0</v>
      </c>
      <c r="AK37" s="52"/>
      <c r="AL37" s="420">
        <f>'Proposed Rates'!$K$249*AL$46+'Proposed Rates'!$K$250*AL$47+'Proposed Rates'!$K$251*AL$48</f>
        <v>0.12752000000000002</v>
      </c>
      <c r="AM37" s="507">
        <f>$F$9*(1+AL$65)-$F$9</f>
        <v>57947.910799999721</v>
      </c>
      <c r="AN37" s="400">
        <f t="shared" si="35"/>
        <v>7389.5175852159655</v>
      </c>
      <c r="AO37" s="128"/>
      <c r="AP37" s="401">
        <f t="shared" si="15"/>
        <v>0</v>
      </c>
      <c r="AQ37" s="402">
        <f t="shared" si="16"/>
        <v>0</v>
      </c>
      <c r="AR37" s="403"/>
    </row>
    <row r="38" spans="1:44" ht="12" customHeight="1">
      <c r="A38" s="52"/>
      <c r="B38" s="320" t="s">
        <v>271</v>
      </c>
      <c r="C38" s="579"/>
      <c r="D38" s="396"/>
      <c r="E38" s="320"/>
      <c r="F38" s="414">
        <f>IFERROR(VLOOKUP($C38,'Proposed Rates'!$B:$J,F$11,FALSE),0)</f>
        <v>0</v>
      </c>
      <c r="G38" s="415">
        <f>IF($D38="Monthly",1,IF($D38="per KW",$F$10,IF($D38="per kWh",$F$9,0)))</f>
        <v>0</v>
      </c>
      <c r="H38" s="400">
        <f t="shared" si="25"/>
        <v>0</v>
      </c>
      <c r="I38" s="128"/>
      <c r="J38" s="414">
        <f>IFERROR(VLOOKUP($C38,'Proposed Rates'!$B:$J,J$11,FALSE),0)</f>
        <v>0</v>
      </c>
      <c r="K38" s="415">
        <f>IF($D38="Monthly",1,IF($D38="per KW",$F$10,IF($D38="per kWh",$F$9,0)))</f>
        <v>0</v>
      </c>
      <c r="L38" s="400">
        <f t="shared" si="27"/>
        <v>0</v>
      </c>
      <c r="M38" s="128"/>
      <c r="N38" s="401">
        <f t="shared" si="3"/>
        <v>0</v>
      </c>
      <c r="O38" s="402" t="str">
        <f t="shared" si="4"/>
        <v/>
      </c>
      <c r="P38" s="52"/>
      <c r="Q38" s="414">
        <f>IFERROR(VLOOKUP($C38,'Proposed Rates'!$B:$J,Q$11,FALSE),0)</f>
        <v>0</v>
      </c>
      <c r="R38" s="415">
        <f>IF($D38="Monthly",1,IF($D38="per KW",$F$10,IF($D38="per kWh",$F$9,0)))</f>
        <v>0</v>
      </c>
      <c r="S38" s="400">
        <f t="shared" si="29"/>
        <v>0</v>
      </c>
      <c r="T38" s="128"/>
      <c r="U38" s="401">
        <f t="shared" si="6"/>
        <v>0</v>
      </c>
      <c r="V38" s="402" t="str">
        <f t="shared" si="7"/>
        <v/>
      </c>
      <c r="W38" s="52"/>
      <c r="X38" s="414">
        <f>IFERROR(VLOOKUP($C38,'Proposed Rates'!$B:$J,X$11,FALSE),0)</f>
        <v>0</v>
      </c>
      <c r="Y38" s="415">
        <f>IF($D38="Monthly",1,IF($D38="per KW",$F$10,IF($D38="per kWh",$F$9,0)))</f>
        <v>0</v>
      </c>
      <c r="Z38" s="400">
        <f t="shared" si="31"/>
        <v>0</v>
      </c>
      <c r="AA38" s="128"/>
      <c r="AB38" s="401">
        <f t="shared" si="9"/>
        <v>0</v>
      </c>
      <c r="AC38" s="402" t="str">
        <f t="shared" si="10"/>
        <v/>
      </c>
      <c r="AD38" s="52"/>
      <c r="AE38" s="414">
        <f>IFERROR(VLOOKUP($C38,'Proposed Rates'!$B:$J,AE$11,FALSE),0)</f>
        <v>0</v>
      </c>
      <c r="AF38" s="415">
        <f>IF($D38="Monthly",1,IF($D38="per KW",$F$10,IF($D38="per kWh",$F$9,0)))</f>
        <v>0</v>
      </c>
      <c r="AG38" s="400">
        <f t="shared" si="33"/>
        <v>0</v>
      </c>
      <c r="AH38" s="128"/>
      <c r="AI38" s="401">
        <f t="shared" si="12"/>
        <v>0</v>
      </c>
      <c r="AJ38" s="402" t="str">
        <f t="shared" si="13"/>
        <v/>
      </c>
      <c r="AK38" s="52"/>
      <c r="AL38" s="414">
        <f>IFERROR(VLOOKUP($C38,'Proposed Rates'!$B:$J,AL$11,FALSE),0)</f>
        <v>0</v>
      </c>
      <c r="AM38" s="415">
        <f>IF($D38="Monthly",1,IF($D38="per KW",$F$10,IF($D38="per kWh",$F$9,0)))</f>
        <v>0</v>
      </c>
      <c r="AN38" s="400">
        <f t="shared" si="35"/>
        <v>0</v>
      </c>
      <c r="AO38" s="128"/>
      <c r="AP38" s="401">
        <f t="shared" si="15"/>
        <v>0</v>
      </c>
      <c r="AQ38" s="402" t="str">
        <f t="shared" si="16"/>
        <v/>
      </c>
      <c r="AR38" s="403"/>
    </row>
    <row r="39" spans="1:44" ht="12" customHeight="1">
      <c r="A39" s="52"/>
      <c r="B39" s="405" t="s">
        <v>313</v>
      </c>
      <c r="C39" s="582"/>
      <c r="D39" s="422"/>
      <c r="E39" s="422"/>
      <c r="F39" s="423"/>
      <c r="G39" s="501"/>
      <c r="H39" s="409">
        <f>SUM(H30:H38)+H29</f>
        <v>148210.82630954401</v>
      </c>
      <c r="I39" s="425"/>
      <c r="J39" s="423"/>
      <c r="K39" s="501"/>
      <c r="L39" s="409">
        <f>SUM(L30:L38)+L29</f>
        <v>155804.53230821597</v>
      </c>
      <c r="M39" s="425"/>
      <c r="N39" s="411">
        <f t="shared" si="3"/>
        <v>7593.7059986719687</v>
      </c>
      <c r="O39" s="412">
        <f t="shared" si="4"/>
        <v>5.1235838755882931E-2</v>
      </c>
      <c r="P39" s="52"/>
      <c r="Q39" s="423"/>
      <c r="R39" s="501"/>
      <c r="S39" s="409">
        <f>SUM(S30:S38)+S29</f>
        <v>125461.27525681596</v>
      </c>
      <c r="T39" s="425"/>
      <c r="U39" s="411">
        <f t="shared" si="6"/>
        <v>-30343.257051400011</v>
      </c>
      <c r="V39" s="412">
        <f t="shared" si="7"/>
        <v>-0.19475208199575547</v>
      </c>
      <c r="W39" s="52"/>
      <c r="X39" s="423"/>
      <c r="Y39" s="501"/>
      <c r="Z39" s="409">
        <f>SUM(Z30:Z38)+Z29</f>
        <v>131633.19844831599</v>
      </c>
      <c r="AA39" s="425"/>
      <c r="AB39" s="411">
        <f t="shared" si="9"/>
        <v>6171.9231915000273</v>
      </c>
      <c r="AC39" s="412">
        <f t="shared" si="10"/>
        <v>4.9193850284609826E-2</v>
      </c>
      <c r="AD39" s="52"/>
      <c r="AE39" s="423"/>
      <c r="AF39" s="501"/>
      <c r="AG39" s="409">
        <f>SUM(AG30:AG38)+AG29</f>
        <v>133416.41008561599</v>
      </c>
      <c r="AH39" s="425"/>
      <c r="AI39" s="411">
        <f t="shared" si="12"/>
        <v>1783.2116373000026</v>
      </c>
      <c r="AJ39" s="412">
        <f t="shared" si="13"/>
        <v>1.354682297718502E-2</v>
      </c>
      <c r="AK39" s="52"/>
      <c r="AL39" s="423"/>
      <c r="AM39" s="501"/>
      <c r="AN39" s="409">
        <f>SUM(AN30:AN38)+AN29</f>
        <v>139435.393941616</v>
      </c>
      <c r="AO39" s="425"/>
      <c r="AP39" s="411">
        <f t="shared" si="15"/>
        <v>6018.9838560000062</v>
      </c>
      <c r="AQ39" s="412">
        <f t="shared" si="16"/>
        <v>4.5114269317676162E-2</v>
      </c>
      <c r="AR39" s="413"/>
    </row>
    <row r="40" spans="1:44" ht="12" customHeight="1">
      <c r="A40" s="52"/>
      <c r="B40" s="128" t="s">
        <v>255</v>
      </c>
      <c r="C40" s="579" t="str">
        <f t="shared" ref="C40:C41" si="36">D$6&amp;"."&amp;B40</f>
        <v>Street Light.RTSR - Network</v>
      </c>
      <c r="D40" s="426" t="s">
        <v>377</v>
      </c>
      <c r="E40" s="128"/>
      <c r="F40" s="414">
        <f>IFERROR(VLOOKUP($C40,'Proposed Rates'!$B:$J,F$11,FALSE),0)</f>
        <v>3.597</v>
      </c>
      <c r="G40" s="415">
        <f t="shared" ref="G40:G41" si="37">IF($D40="Monthly",1,IF($D40="per KW",$F$10,IF($D40="per kWh",$F$9,0)))</f>
        <v>4909.7700000000004</v>
      </c>
      <c r="H40" s="400">
        <f t="shared" ref="H40:H41" si="38">G40*F40</f>
        <v>17660.44269</v>
      </c>
      <c r="I40" s="128"/>
      <c r="J40" s="414">
        <f>IFERROR(VLOOKUP($C40,'Proposed Rates'!$B:$J,J$11,FALSE),0)</f>
        <v>2.1576</v>
      </c>
      <c r="K40" s="415">
        <f t="shared" ref="K40:K41" si="39">IF($D40="Monthly",1,IF($D40="per KW",$F$10,IF($D40="per kWh",$F$9,0)))</f>
        <v>4909.7700000000004</v>
      </c>
      <c r="L40" s="400">
        <f t="shared" ref="L40:L41" si="40">K40*J40</f>
        <v>10593.319752000001</v>
      </c>
      <c r="M40" s="128"/>
      <c r="N40" s="401">
        <f t="shared" si="3"/>
        <v>-7067.1229379999986</v>
      </c>
      <c r="O40" s="402">
        <f t="shared" si="4"/>
        <v>-0.40016680567139273</v>
      </c>
      <c r="P40" s="52"/>
      <c r="Q40" s="414">
        <f>IFERROR(VLOOKUP($C40,'Proposed Rates'!$B:$J,Q$11,FALSE),0)</f>
        <v>2.1576</v>
      </c>
      <c r="R40" s="415">
        <f t="shared" ref="R40:R41" si="41">IF($D40="Monthly",1,IF($D40="per KW",$F$10,IF($D40="per kWh",$F$9,0)))</f>
        <v>4909.7700000000004</v>
      </c>
      <c r="S40" s="400">
        <f t="shared" ref="S40:S41" si="42">R40*Q40</f>
        <v>10593.319752000001</v>
      </c>
      <c r="T40" s="128"/>
      <c r="U40" s="401">
        <f t="shared" si="6"/>
        <v>0</v>
      </c>
      <c r="V40" s="402">
        <f t="shared" si="7"/>
        <v>0</v>
      </c>
      <c r="W40" s="52"/>
      <c r="X40" s="414">
        <f>IFERROR(VLOOKUP($C40,'Proposed Rates'!$B:$J,X$11,FALSE),0)</f>
        <v>2.1576</v>
      </c>
      <c r="Y40" s="415">
        <f t="shared" ref="Y40:Y41" si="43">IF($D40="Monthly",1,IF($D40="per KW",$F$10,IF($D40="per kWh",$F$9,0)))</f>
        <v>4909.7700000000004</v>
      </c>
      <c r="Z40" s="400">
        <f t="shared" ref="Z40:Z41" si="44">Y40*X40</f>
        <v>10593.319752000001</v>
      </c>
      <c r="AA40" s="128"/>
      <c r="AB40" s="401">
        <f t="shared" si="9"/>
        <v>0</v>
      </c>
      <c r="AC40" s="402">
        <f t="shared" si="10"/>
        <v>0</v>
      </c>
      <c r="AD40" s="52"/>
      <c r="AE40" s="414">
        <f>IFERROR(VLOOKUP($C40,'Proposed Rates'!$B:$J,AE$11,FALSE),0)</f>
        <v>2.1576</v>
      </c>
      <c r="AF40" s="415">
        <f t="shared" ref="AF40:AF41" si="45">IF($D40="Monthly",1,IF($D40="per KW",$F$10,IF($D40="per kWh",$F$9,0)))</f>
        <v>4909.7700000000004</v>
      </c>
      <c r="AG40" s="400">
        <f t="shared" ref="AG40:AG41" si="46">AF40*AE40</f>
        <v>10593.319752000001</v>
      </c>
      <c r="AH40" s="128"/>
      <c r="AI40" s="401">
        <f t="shared" si="12"/>
        <v>0</v>
      </c>
      <c r="AJ40" s="402">
        <f t="shared" si="13"/>
        <v>0</v>
      </c>
      <c r="AK40" s="52"/>
      <c r="AL40" s="414">
        <f>IFERROR(VLOOKUP($C40,'Proposed Rates'!$B:$J,AL$11,FALSE),0)</f>
        <v>2.1576</v>
      </c>
      <c r="AM40" s="415">
        <f t="shared" ref="AM40:AM41" si="47">IF($D40="Monthly",1,IF($D40="per KW",$F$10,IF($D40="per kWh",$F$9,0)))</f>
        <v>4909.7700000000004</v>
      </c>
      <c r="AN40" s="400">
        <f t="shared" ref="AN40:AN41" si="48">AM40*AL40</f>
        <v>10593.319752000001</v>
      </c>
      <c r="AO40" s="128"/>
      <c r="AP40" s="401">
        <f t="shared" si="15"/>
        <v>0</v>
      </c>
      <c r="AQ40" s="402">
        <f t="shared" si="16"/>
        <v>0</v>
      </c>
      <c r="AR40" s="403"/>
    </row>
    <row r="41" spans="1:44" ht="12" customHeight="1">
      <c r="A41" s="52"/>
      <c r="B41" s="128" t="s">
        <v>256</v>
      </c>
      <c r="C41" s="579" t="str">
        <f t="shared" si="36"/>
        <v>Street Light.RTSR - Line and Transformation Connection</v>
      </c>
      <c r="D41" s="426" t="s">
        <v>377</v>
      </c>
      <c r="E41" s="128"/>
      <c r="F41" s="414">
        <f>IFERROR(VLOOKUP($C41,'Proposed Rates'!$B:$J,F$11,FALSE),0)</f>
        <v>2.1377000000000002</v>
      </c>
      <c r="G41" s="415">
        <f t="shared" si="37"/>
        <v>4909.7700000000004</v>
      </c>
      <c r="H41" s="400">
        <f t="shared" si="38"/>
        <v>10495.615329000002</v>
      </c>
      <c r="I41" s="128"/>
      <c r="J41" s="414">
        <f>IFERROR(VLOOKUP($C41,'Proposed Rates'!$B:$J,J$11,FALSE),0)</f>
        <v>1.2213000000000001</v>
      </c>
      <c r="K41" s="415">
        <f t="shared" si="39"/>
        <v>4909.7700000000004</v>
      </c>
      <c r="L41" s="400">
        <f t="shared" si="40"/>
        <v>5996.3021010000011</v>
      </c>
      <c r="M41" s="128"/>
      <c r="N41" s="401">
        <f t="shared" si="3"/>
        <v>-4499.3132280000009</v>
      </c>
      <c r="O41" s="402">
        <f t="shared" si="4"/>
        <v>-0.4286850353183328</v>
      </c>
      <c r="P41" s="52"/>
      <c r="Q41" s="414">
        <f>IFERROR(VLOOKUP($C41,'Proposed Rates'!$B:$J,Q$11,FALSE),0)</f>
        <v>1.2213000000000001</v>
      </c>
      <c r="R41" s="415">
        <f t="shared" si="41"/>
        <v>4909.7700000000004</v>
      </c>
      <c r="S41" s="400">
        <f t="shared" si="42"/>
        <v>5996.3021010000011</v>
      </c>
      <c r="T41" s="128"/>
      <c r="U41" s="401">
        <f t="shared" si="6"/>
        <v>0</v>
      </c>
      <c r="V41" s="402">
        <f t="shared" si="7"/>
        <v>0</v>
      </c>
      <c r="W41" s="52"/>
      <c r="X41" s="414">
        <f>IFERROR(VLOOKUP($C41,'Proposed Rates'!$B:$J,X$11,FALSE),0)</f>
        <v>1.2213000000000001</v>
      </c>
      <c r="Y41" s="415">
        <f t="shared" si="43"/>
        <v>4909.7700000000004</v>
      </c>
      <c r="Z41" s="400">
        <f t="shared" si="44"/>
        <v>5996.3021010000011</v>
      </c>
      <c r="AA41" s="128"/>
      <c r="AB41" s="401">
        <f t="shared" si="9"/>
        <v>0</v>
      </c>
      <c r="AC41" s="402">
        <f t="shared" si="10"/>
        <v>0</v>
      </c>
      <c r="AD41" s="52"/>
      <c r="AE41" s="414">
        <f>IFERROR(VLOOKUP($C41,'Proposed Rates'!$B:$J,AE$11,FALSE),0)</f>
        <v>1.2213000000000001</v>
      </c>
      <c r="AF41" s="415">
        <f t="shared" si="45"/>
        <v>4909.7700000000004</v>
      </c>
      <c r="AG41" s="400">
        <f t="shared" si="46"/>
        <v>5996.3021010000011</v>
      </c>
      <c r="AH41" s="128"/>
      <c r="AI41" s="401">
        <f t="shared" si="12"/>
        <v>0</v>
      </c>
      <c r="AJ41" s="402">
        <f t="shared" si="13"/>
        <v>0</v>
      </c>
      <c r="AK41" s="52"/>
      <c r="AL41" s="414">
        <f>IFERROR(VLOOKUP($C41,'Proposed Rates'!$B:$J,AL$11,FALSE),0)</f>
        <v>1.2213000000000001</v>
      </c>
      <c r="AM41" s="415">
        <f t="shared" si="47"/>
        <v>4909.7700000000004</v>
      </c>
      <c r="AN41" s="400">
        <f t="shared" si="48"/>
        <v>5996.3021010000011</v>
      </c>
      <c r="AO41" s="128"/>
      <c r="AP41" s="401">
        <f t="shared" si="15"/>
        <v>0</v>
      </c>
      <c r="AQ41" s="402">
        <f t="shared" si="16"/>
        <v>0</v>
      </c>
      <c r="AR41" s="403"/>
    </row>
    <row r="42" spans="1:44" ht="12" customHeight="1">
      <c r="A42" s="52"/>
      <c r="B42" s="405" t="s">
        <v>314</v>
      </c>
      <c r="C42" s="583"/>
      <c r="D42" s="427"/>
      <c r="E42" s="427"/>
      <c r="F42" s="428"/>
      <c r="G42" s="501"/>
      <c r="H42" s="409">
        <f>SUM(H39:H41)</f>
        <v>176366.88432854399</v>
      </c>
      <c r="I42" s="410"/>
      <c r="J42" s="428"/>
      <c r="K42" s="501"/>
      <c r="L42" s="409">
        <f>SUM(L39:L41)</f>
        <v>172394.15416121599</v>
      </c>
      <c r="M42" s="410"/>
      <c r="N42" s="411">
        <f t="shared" si="3"/>
        <v>-3972.7301673280017</v>
      </c>
      <c r="O42" s="412">
        <f t="shared" si="4"/>
        <v>-2.2525374774594448E-2</v>
      </c>
      <c r="P42" s="52"/>
      <c r="Q42" s="428"/>
      <c r="R42" s="501"/>
      <c r="S42" s="409">
        <f>SUM(S39:S41)</f>
        <v>142050.89710981597</v>
      </c>
      <c r="T42" s="410"/>
      <c r="U42" s="411">
        <f t="shared" si="6"/>
        <v>-30343.257051400025</v>
      </c>
      <c r="V42" s="412">
        <f t="shared" si="7"/>
        <v>-0.17601093957643277</v>
      </c>
      <c r="W42" s="52"/>
      <c r="X42" s="428"/>
      <c r="Y42" s="501"/>
      <c r="Z42" s="409">
        <f>SUM(Z39:Z41)</f>
        <v>148222.82030131601</v>
      </c>
      <c r="AA42" s="410"/>
      <c r="AB42" s="411">
        <f t="shared" si="9"/>
        <v>6171.9231915000419</v>
      </c>
      <c r="AC42" s="412">
        <f t="shared" si="10"/>
        <v>4.3448674503820159E-2</v>
      </c>
      <c r="AD42" s="52"/>
      <c r="AE42" s="428"/>
      <c r="AF42" s="501"/>
      <c r="AG42" s="409">
        <f>SUM(AG39:AG41)</f>
        <v>150006.03193861601</v>
      </c>
      <c r="AH42" s="410"/>
      <c r="AI42" s="411">
        <f t="shared" si="12"/>
        <v>1783.2116373000026</v>
      </c>
      <c r="AJ42" s="412">
        <f t="shared" si="13"/>
        <v>1.2030614676437717E-2</v>
      </c>
      <c r="AK42" s="52"/>
      <c r="AL42" s="428"/>
      <c r="AM42" s="501"/>
      <c r="AN42" s="409">
        <f>SUM(AN39:AN41)</f>
        <v>156025.01579461602</v>
      </c>
      <c r="AO42" s="410"/>
      <c r="AP42" s="411">
        <f t="shared" si="15"/>
        <v>6018.9838560000062</v>
      </c>
      <c r="AQ42" s="412">
        <f t="shared" si="16"/>
        <v>4.0124945498611918E-2</v>
      </c>
      <c r="AR42" s="413"/>
    </row>
    <row r="43" spans="1:44" ht="12" customHeight="1">
      <c r="A43" s="52"/>
      <c r="B43" s="320" t="s">
        <v>257</v>
      </c>
      <c r="C43" s="579" t="str">
        <f t="shared" ref="C43:C45" si="49">D$6&amp;"."&amp;B43</f>
        <v>Street Light.Wholesale Market Service Charge (WMSC)</v>
      </c>
      <c r="D43" s="396" t="s">
        <v>308</v>
      </c>
      <c r="E43" s="320"/>
      <c r="F43" s="414">
        <f>IFERROR(VLOOKUP($C43,'Proposed Rates'!$B:$J,F$11,FALSE),0)</f>
        <v>4.4999999999999997E-3</v>
      </c>
      <c r="G43" s="574">
        <f t="shared" ref="G43:G44" si="50">$F$9+G$37</f>
        <v>1804414.1622000001</v>
      </c>
      <c r="H43" s="400">
        <f t="shared" ref="H43:H50" si="51">G43*F43</f>
        <v>8119.8637299000002</v>
      </c>
      <c r="I43" s="128"/>
      <c r="J43" s="414">
        <f>IFERROR(VLOOKUP($C43,'Proposed Rates'!$B:$J,J$11,FALSE),0)</f>
        <v>4.4999999999999997E-3</v>
      </c>
      <c r="K43" s="574">
        <f t="shared" ref="K43:K44" si="52">$F$9+K$37</f>
        <v>1803366.9107999997</v>
      </c>
      <c r="L43" s="400">
        <f t="shared" ref="L43:L50" si="53">K43*J43</f>
        <v>8115.1510985999985</v>
      </c>
      <c r="M43" s="128"/>
      <c r="N43" s="401">
        <f t="shared" si="3"/>
        <v>-4.7126313000017035</v>
      </c>
      <c r="O43" s="402">
        <f t="shared" si="4"/>
        <v>-5.803830528150676E-4</v>
      </c>
      <c r="P43" s="52"/>
      <c r="Q43" s="414">
        <f>IFERROR(VLOOKUP($C43,'Proposed Rates'!$B:$J,Q$11,FALSE),0)</f>
        <v>4.4999999999999997E-3</v>
      </c>
      <c r="R43" s="574">
        <f t="shared" ref="R43:R44" si="54">$F$9+R$37</f>
        <v>1803366.9107999997</v>
      </c>
      <c r="S43" s="400">
        <f t="shared" ref="S43:S50" si="55">R43*Q43</f>
        <v>8115.1510985999985</v>
      </c>
      <c r="T43" s="128"/>
      <c r="U43" s="401">
        <f t="shared" si="6"/>
        <v>0</v>
      </c>
      <c r="V43" s="402">
        <f t="shared" si="7"/>
        <v>0</v>
      </c>
      <c r="W43" s="52"/>
      <c r="X43" s="414">
        <f>IFERROR(VLOOKUP($C43,'Proposed Rates'!$B:$J,X$11,FALSE),0)</f>
        <v>4.4999999999999997E-3</v>
      </c>
      <c r="Y43" s="574">
        <f t="shared" ref="Y43:Y44" si="56">$F$9+Y$37</f>
        <v>1803366.9107999997</v>
      </c>
      <c r="Z43" s="400">
        <f t="shared" ref="Z43:Z50" si="57">Y43*X43</f>
        <v>8115.1510985999985</v>
      </c>
      <c r="AA43" s="128"/>
      <c r="AB43" s="401">
        <f t="shared" si="9"/>
        <v>0</v>
      </c>
      <c r="AC43" s="402">
        <f t="shared" si="10"/>
        <v>0</v>
      </c>
      <c r="AD43" s="52"/>
      <c r="AE43" s="414">
        <f>IFERROR(VLOOKUP($C43,'Proposed Rates'!$B:$J,AE$11,FALSE),0)</f>
        <v>4.4999999999999997E-3</v>
      </c>
      <c r="AF43" s="574">
        <f t="shared" ref="AF43:AF44" si="58">$F$9+AF$37</f>
        <v>1803366.9107999997</v>
      </c>
      <c r="AG43" s="400">
        <f t="shared" ref="AG43:AG50" si="59">AF43*AE43</f>
        <v>8115.1510985999985</v>
      </c>
      <c r="AH43" s="128"/>
      <c r="AI43" s="401">
        <f t="shared" si="12"/>
        <v>0</v>
      </c>
      <c r="AJ43" s="402">
        <f t="shared" si="13"/>
        <v>0</v>
      </c>
      <c r="AK43" s="52"/>
      <c r="AL43" s="414">
        <f>IFERROR(VLOOKUP($C43,'Proposed Rates'!$B:$J,AL$11,FALSE),0)</f>
        <v>4.4999999999999997E-3</v>
      </c>
      <c r="AM43" s="574">
        <f t="shared" ref="AM43:AM44" si="60">$F$9+AM$37</f>
        <v>1803366.9107999997</v>
      </c>
      <c r="AN43" s="400">
        <f t="shared" ref="AN43:AN50" si="61">AM43*AL43</f>
        <v>8115.1510985999985</v>
      </c>
      <c r="AO43" s="128"/>
      <c r="AP43" s="401">
        <f t="shared" si="15"/>
        <v>0</v>
      </c>
      <c r="AQ43" s="402">
        <f t="shared" si="16"/>
        <v>0</v>
      </c>
      <c r="AR43" s="403"/>
    </row>
    <row r="44" spans="1:44" ht="12" customHeight="1">
      <c r="A44" s="52"/>
      <c r="B44" s="320" t="s">
        <v>258</v>
      </c>
      <c r="C44" s="579" t="str">
        <f t="shared" si="49"/>
        <v>Street Light.Rural and Remote Rate Protection (RRRP)</v>
      </c>
      <c r="D44" s="396" t="s">
        <v>308</v>
      </c>
      <c r="E44" s="320"/>
      <c r="F44" s="414">
        <f>IFERROR(VLOOKUP($C44,'Proposed Rates'!$B:$J,F$11,FALSE),0)</f>
        <v>1.5E-3</v>
      </c>
      <c r="G44" s="574">
        <f t="shared" si="50"/>
        <v>1804414.1622000001</v>
      </c>
      <c r="H44" s="400">
        <f t="shared" si="51"/>
        <v>2706.6212433000001</v>
      </c>
      <c r="I44" s="128"/>
      <c r="J44" s="414">
        <f>IFERROR(VLOOKUP($C44,'Proposed Rates'!$B:$J,J$11,FALSE),0)</f>
        <v>1.5E-3</v>
      </c>
      <c r="K44" s="574">
        <f t="shared" si="52"/>
        <v>1803366.9107999997</v>
      </c>
      <c r="L44" s="400">
        <f t="shared" si="53"/>
        <v>2705.0503661999996</v>
      </c>
      <c r="M44" s="128"/>
      <c r="N44" s="401">
        <f t="shared" si="3"/>
        <v>-1.5708771000004162</v>
      </c>
      <c r="O44" s="402">
        <f t="shared" si="4"/>
        <v>-5.8038305281501155E-4</v>
      </c>
      <c r="P44" s="52"/>
      <c r="Q44" s="414">
        <f>IFERROR(VLOOKUP($C44,'Proposed Rates'!$B:$J,Q$11,FALSE),0)</f>
        <v>1.5E-3</v>
      </c>
      <c r="R44" s="574">
        <f t="shared" si="54"/>
        <v>1803366.9107999997</v>
      </c>
      <c r="S44" s="400">
        <f t="shared" si="55"/>
        <v>2705.0503661999996</v>
      </c>
      <c r="T44" s="128"/>
      <c r="U44" s="401">
        <f t="shared" si="6"/>
        <v>0</v>
      </c>
      <c r="V44" s="402">
        <f t="shared" si="7"/>
        <v>0</v>
      </c>
      <c r="W44" s="52"/>
      <c r="X44" s="414">
        <f>IFERROR(VLOOKUP($C44,'Proposed Rates'!$B:$J,X$11,FALSE),0)</f>
        <v>1.5E-3</v>
      </c>
      <c r="Y44" s="574">
        <f t="shared" si="56"/>
        <v>1803366.9107999997</v>
      </c>
      <c r="Z44" s="400">
        <f t="shared" si="57"/>
        <v>2705.0503661999996</v>
      </c>
      <c r="AA44" s="128"/>
      <c r="AB44" s="401">
        <f t="shared" si="9"/>
        <v>0</v>
      </c>
      <c r="AC44" s="402">
        <f t="shared" si="10"/>
        <v>0</v>
      </c>
      <c r="AD44" s="52"/>
      <c r="AE44" s="414">
        <f>IFERROR(VLOOKUP($C44,'Proposed Rates'!$B:$J,AE$11,FALSE),0)</f>
        <v>1.5E-3</v>
      </c>
      <c r="AF44" s="574">
        <f t="shared" si="58"/>
        <v>1803366.9107999997</v>
      </c>
      <c r="AG44" s="400">
        <f t="shared" si="59"/>
        <v>2705.0503661999996</v>
      </c>
      <c r="AH44" s="128"/>
      <c r="AI44" s="401">
        <f t="shared" si="12"/>
        <v>0</v>
      </c>
      <c r="AJ44" s="402">
        <f t="shared" si="13"/>
        <v>0</v>
      </c>
      <c r="AK44" s="52"/>
      <c r="AL44" s="414">
        <f>IFERROR(VLOOKUP($C44,'Proposed Rates'!$B:$J,AL$11,FALSE),0)</f>
        <v>1.5E-3</v>
      </c>
      <c r="AM44" s="574">
        <f t="shared" si="60"/>
        <v>1803366.9107999997</v>
      </c>
      <c r="AN44" s="400">
        <f t="shared" si="61"/>
        <v>2705.0503661999996</v>
      </c>
      <c r="AO44" s="128"/>
      <c r="AP44" s="401">
        <f t="shared" si="15"/>
        <v>0</v>
      </c>
      <c r="AQ44" s="402">
        <f t="shared" si="16"/>
        <v>0</v>
      </c>
      <c r="AR44" s="403"/>
    </row>
    <row r="45" spans="1:44" ht="12" customHeight="1">
      <c r="A45" s="52"/>
      <c r="B45" s="320" t="s">
        <v>260</v>
      </c>
      <c r="C45" s="579" t="str">
        <f t="shared" si="49"/>
        <v>Street Light.Standard Supply Service Charge</v>
      </c>
      <c r="D45" s="396" t="s">
        <v>306</v>
      </c>
      <c r="E45" s="320"/>
      <c r="F45" s="397">
        <f>IFERROR(VLOOKUP($C45,'Proposed Rates'!$B:$J,F$11,FALSE),0)</f>
        <v>0.25</v>
      </c>
      <c r="G45" s="415">
        <f>IF($D45="Monthly",1,IF($D45="per KW",$F$10,IF($D45="per kWh",$F$9,0)))</f>
        <v>1</v>
      </c>
      <c r="H45" s="400">
        <f t="shared" si="51"/>
        <v>0.25</v>
      </c>
      <c r="I45" s="128"/>
      <c r="J45" s="397">
        <f>IFERROR(VLOOKUP($C45,'Proposed Rates'!$B:$J,J$11,FALSE),0)</f>
        <v>1.51</v>
      </c>
      <c r="K45" s="415">
        <f>IF($D45="Monthly",1,IF($D45="per KW",$F$10,IF($D45="per kWh",$F$9,0)))</f>
        <v>1</v>
      </c>
      <c r="L45" s="400">
        <f t="shared" si="53"/>
        <v>1.51</v>
      </c>
      <c r="M45" s="128"/>
      <c r="N45" s="401">
        <f t="shared" si="3"/>
        <v>1.26</v>
      </c>
      <c r="O45" s="402">
        <f t="shared" si="4"/>
        <v>5.04</v>
      </c>
      <c r="P45" s="52"/>
      <c r="Q45" s="397">
        <f>IFERROR(VLOOKUP($C45,'Proposed Rates'!$B:$J,Q$11,FALSE),0)</f>
        <v>1.54</v>
      </c>
      <c r="R45" s="415">
        <f>IF($D45="Monthly",1,IF($D45="per KW",$F$10,IF($D45="per kWh",$F$9,0)))</f>
        <v>1</v>
      </c>
      <c r="S45" s="400">
        <f t="shared" si="55"/>
        <v>1.54</v>
      </c>
      <c r="T45" s="128"/>
      <c r="U45" s="401">
        <f t="shared" si="6"/>
        <v>3.0000000000000027E-2</v>
      </c>
      <c r="V45" s="402">
        <f t="shared" si="7"/>
        <v>1.986754966887419E-2</v>
      </c>
      <c r="W45" s="52"/>
      <c r="X45" s="397">
        <f>IFERROR(VLOOKUP($C45,'Proposed Rates'!$B:$J,X$11,FALSE),0)</f>
        <v>1.57</v>
      </c>
      <c r="Y45" s="415">
        <f>IF($D45="Monthly",1,IF($D45="per KW",$F$10,IF($D45="per kWh",$F$9,0)))</f>
        <v>1</v>
      </c>
      <c r="Z45" s="400">
        <f t="shared" si="57"/>
        <v>1.57</v>
      </c>
      <c r="AA45" s="128"/>
      <c r="AB45" s="401">
        <f t="shared" si="9"/>
        <v>3.0000000000000027E-2</v>
      </c>
      <c r="AC45" s="402">
        <f t="shared" si="10"/>
        <v>1.9480519480519497E-2</v>
      </c>
      <c r="AD45" s="52"/>
      <c r="AE45" s="397">
        <f>IFERROR(VLOOKUP($C45,'Proposed Rates'!$B:$J,AE$11,FALSE),0)</f>
        <v>1.6</v>
      </c>
      <c r="AF45" s="415">
        <f>IF($D45="Monthly",1,IF($D45="per KW",$F$10,IF($D45="per kWh",$F$9,0)))</f>
        <v>1</v>
      </c>
      <c r="AG45" s="400">
        <f t="shared" si="59"/>
        <v>1.6</v>
      </c>
      <c r="AH45" s="128"/>
      <c r="AI45" s="401">
        <f t="shared" si="12"/>
        <v>3.0000000000000027E-2</v>
      </c>
      <c r="AJ45" s="402">
        <f t="shared" si="13"/>
        <v>1.9108280254777087E-2</v>
      </c>
      <c r="AK45" s="52"/>
      <c r="AL45" s="397">
        <f>IFERROR(VLOOKUP($C45,'Proposed Rates'!$B:$J,AL$11,FALSE),0)</f>
        <v>1.63</v>
      </c>
      <c r="AM45" s="415">
        <f>IF($D45="Monthly",1,IF($D45="per KW",$F$10,IF($D45="per kWh",$F$9,0)))</f>
        <v>1</v>
      </c>
      <c r="AN45" s="400">
        <f t="shared" si="61"/>
        <v>1.63</v>
      </c>
      <c r="AO45" s="128"/>
      <c r="AP45" s="401">
        <f t="shared" si="15"/>
        <v>2.9999999999999805E-2</v>
      </c>
      <c r="AQ45" s="402">
        <f t="shared" si="16"/>
        <v>1.8749999999999878E-2</v>
      </c>
      <c r="AR45" s="403"/>
    </row>
    <row r="46" spans="1:44" ht="12" customHeight="1">
      <c r="A46" s="52"/>
      <c r="B46" s="320" t="s">
        <v>262</v>
      </c>
      <c r="C46" s="579" t="str">
        <f t="shared" ref="C46:C50" si="62">B46</f>
        <v>TOU - Off Peak</v>
      </c>
      <c r="D46" s="396" t="s">
        <v>308</v>
      </c>
      <c r="E46" s="320"/>
      <c r="F46" s="430">
        <f>VLOOKUP($B46,'Proposed Rates'!$D$248:$J$254,+F$11-2,FALSE)</f>
        <v>9.8000000000000004E-2</v>
      </c>
      <c r="G46" s="575">
        <f>'Proposed Rates'!$K$249*$F$9</f>
        <v>1117068.1599999999</v>
      </c>
      <c r="H46" s="400">
        <f t="shared" si="51"/>
        <v>109472.67968</v>
      </c>
      <c r="I46" s="128"/>
      <c r="J46" s="430">
        <f>VLOOKUP($B46,'Proposed Rates'!$D$248:$J$254,+J$11-2,FALSE)</f>
        <v>9.8000000000000004E-2</v>
      </c>
      <c r="K46" s="575">
        <f>'Proposed Rates'!$K$249*$F$9</f>
        <v>1117068.1599999999</v>
      </c>
      <c r="L46" s="400">
        <f t="shared" si="53"/>
        <v>109472.67968</v>
      </c>
      <c r="M46" s="128"/>
      <c r="N46" s="401">
        <f t="shared" si="3"/>
        <v>0</v>
      </c>
      <c r="O46" s="402">
        <f t="shared" si="4"/>
        <v>0</v>
      </c>
      <c r="P46" s="52"/>
      <c r="Q46" s="430">
        <f>VLOOKUP($B46,'Proposed Rates'!$D$248:$J$254,+Q$11-2,FALSE)</f>
        <v>9.8000000000000004E-2</v>
      </c>
      <c r="R46" s="575">
        <f>'Proposed Rates'!$K$249*$F$9</f>
        <v>1117068.1599999999</v>
      </c>
      <c r="S46" s="400">
        <f t="shared" si="55"/>
        <v>109472.67968</v>
      </c>
      <c r="T46" s="128"/>
      <c r="U46" s="401">
        <f t="shared" si="6"/>
        <v>0</v>
      </c>
      <c r="V46" s="402">
        <f t="shared" si="7"/>
        <v>0</v>
      </c>
      <c r="W46" s="52"/>
      <c r="X46" s="430">
        <f>VLOOKUP($B46,'Proposed Rates'!$D$248:$J$254,+X$11-2,FALSE)</f>
        <v>9.8000000000000004E-2</v>
      </c>
      <c r="Y46" s="575">
        <f>'Proposed Rates'!$K$249*$F$9</f>
        <v>1117068.1599999999</v>
      </c>
      <c r="Z46" s="400">
        <f t="shared" si="57"/>
        <v>109472.67968</v>
      </c>
      <c r="AA46" s="128"/>
      <c r="AB46" s="401">
        <f t="shared" si="9"/>
        <v>0</v>
      </c>
      <c r="AC46" s="402">
        <f t="shared" si="10"/>
        <v>0</v>
      </c>
      <c r="AD46" s="52"/>
      <c r="AE46" s="430">
        <f>VLOOKUP($B46,'Proposed Rates'!$D$248:$J$254,+AE$11-2,FALSE)</f>
        <v>9.8000000000000004E-2</v>
      </c>
      <c r="AF46" s="575">
        <f>'Proposed Rates'!$K$249*$F$9</f>
        <v>1117068.1599999999</v>
      </c>
      <c r="AG46" s="400">
        <f t="shared" si="59"/>
        <v>109472.67968</v>
      </c>
      <c r="AH46" s="128"/>
      <c r="AI46" s="401">
        <f t="shared" si="12"/>
        <v>0</v>
      </c>
      <c r="AJ46" s="402">
        <f t="shared" si="13"/>
        <v>0</v>
      </c>
      <c r="AK46" s="52"/>
      <c r="AL46" s="430">
        <f>VLOOKUP($B46,'Proposed Rates'!$D$248:$J$254,+AL$11-2,FALSE)</f>
        <v>9.8000000000000004E-2</v>
      </c>
      <c r="AM46" s="575">
        <f>'Proposed Rates'!$K$249*$F$9</f>
        <v>1117068.1599999999</v>
      </c>
      <c r="AN46" s="400">
        <f t="shared" si="61"/>
        <v>109472.67968</v>
      </c>
      <c r="AO46" s="128"/>
      <c r="AP46" s="401">
        <f t="shared" si="15"/>
        <v>0</v>
      </c>
      <c r="AQ46" s="402">
        <f t="shared" si="16"/>
        <v>0</v>
      </c>
      <c r="AR46" s="403"/>
    </row>
    <row r="47" spans="1:44" ht="12" customHeight="1">
      <c r="A47" s="52"/>
      <c r="B47" s="320" t="s">
        <v>263</v>
      </c>
      <c r="C47" s="579" t="str">
        <f t="shared" si="62"/>
        <v>TOU - Mid Peak</v>
      </c>
      <c r="D47" s="396" t="s">
        <v>308</v>
      </c>
      <c r="E47" s="320"/>
      <c r="F47" s="430">
        <f>VLOOKUP($B47,'Proposed Rates'!$D$248:$J$254,+F$11-2,FALSE)</f>
        <v>0.157</v>
      </c>
      <c r="G47" s="575">
        <f>'Proposed Rates'!$K$250*$F$9</f>
        <v>314175.42</v>
      </c>
      <c r="H47" s="400">
        <f t="shared" si="51"/>
        <v>49325.540939999999</v>
      </c>
      <c r="I47" s="128"/>
      <c r="J47" s="430">
        <f>VLOOKUP($B47,'Proposed Rates'!$D$248:$J$254,+J$11-2,FALSE)</f>
        <v>0.157</v>
      </c>
      <c r="K47" s="575">
        <f>'Proposed Rates'!$K$250*$F$9</f>
        <v>314175.42</v>
      </c>
      <c r="L47" s="400">
        <f t="shared" si="53"/>
        <v>49325.540939999999</v>
      </c>
      <c r="M47" s="128"/>
      <c r="N47" s="401">
        <f t="shared" si="3"/>
        <v>0</v>
      </c>
      <c r="O47" s="402">
        <f t="shared" si="4"/>
        <v>0</v>
      </c>
      <c r="P47" s="52"/>
      <c r="Q47" s="430">
        <f>VLOOKUP($B47,'Proposed Rates'!$D$248:$J$254,+Q$11-2,FALSE)</f>
        <v>0.157</v>
      </c>
      <c r="R47" s="575">
        <f>'Proposed Rates'!$K$250*$F$9</f>
        <v>314175.42</v>
      </c>
      <c r="S47" s="400">
        <f t="shared" si="55"/>
        <v>49325.540939999999</v>
      </c>
      <c r="T47" s="128"/>
      <c r="U47" s="401">
        <f t="shared" si="6"/>
        <v>0</v>
      </c>
      <c r="V47" s="402">
        <f t="shared" si="7"/>
        <v>0</v>
      </c>
      <c r="W47" s="52"/>
      <c r="X47" s="430">
        <f>VLOOKUP($B47,'Proposed Rates'!$D$248:$J$254,+X$11-2,FALSE)</f>
        <v>0.157</v>
      </c>
      <c r="Y47" s="575">
        <f>'Proposed Rates'!$K$250*$F$9</f>
        <v>314175.42</v>
      </c>
      <c r="Z47" s="400">
        <f t="shared" si="57"/>
        <v>49325.540939999999</v>
      </c>
      <c r="AA47" s="128"/>
      <c r="AB47" s="401">
        <f t="shared" si="9"/>
        <v>0</v>
      </c>
      <c r="AC47" s="402">
        <f t="shared" si="10"/>
        <v>0</v>
      </c>
      <c r="AD47" s="52"/>
      <c r="AE47" s="430">
        <f>VLOOKUP($B47,'Proposed Rates'!$D$248:$J$254,+AE$11-2,FALSE)</f>
        <v>0.157</v>
      </c>
      <c r="AF47" s="575">
        <f>'Proposed Rates'!$K$250*$F$9</f>
        <v>314175.42</v>
      </c>
      <c r="AG47" s="400">
        <f t="shared" si="59"/>
        <v>49325.540939999999</v>
      </c>
      <c r="AH47" s="128"/>
      <c r="AI47" s="401">
        <f t="shared" si="12"/>
        <v>0</v>
      </c>
      <c r="AJ47" s="402">
        <f t="shared" si="13"/>
        <v>0</v>
      </c>
      <c r="AK47" s="52"/>
      <c r="AL47" s="430">
        <f>VLOOKUP($B47,'Proposed Rates'!$D$248:$J$254,+AL$11-2,FALSE)</f>
        <v>0.157</v>
      </c>
      <c r="AM47" s="575">
        <f>'Proposed Rates'!$K$250*$F$9</f>
        <v>314175.42</v>
      </c>
      <c r="AN47" s="400">
        <f t="shared" si="61"/>
        <v>49325.540939999999</v>
      </c>
      <c r="AO47" s="128"/>
      <c r="AP47" s="401">
        <f t="shared" si="15"/>
        <v>0</v>
      </c>
      <c r="AQ47" s="402">
        <f t="shared" si="16"/>
        <v>0</v>
      </c>
      <c r="AR47" s="403"/>
    </row>
    <row r="48" spans="1:44" ht="12" customHeight="1">
      <c r="A48" s="52"/>
      <c r="B48" s="320" t="s">
        <v>264</v>
      </c>
      <c r="C48" s="579" t="str">
        <f t="shared" si="62"/>
        <v>TOU - On Peak</v>
      </c>
      <c r="D48" s="396" t="s">
        <v>308</v>
      </c>
      <c r="E48" s="320"/>
      <c r="F48" s="430">
        <f>VLOOKUP($B48,'Proposed Rates'!$D$248:$J$254,+F$11-2,FALSE)</f>
        <v>0.20300000000000001</v>
      </c>
      <c r="G48" s="575">
        <f>'Proposed Rates'!$K$251*$F$9</f>
        <v>314175.42</v>
      </c>
      <c r="H48" s="400">
        <f t="shared" si="51"/>
        <v>63777.610260000001</v>
      </c>
      <c r="I48" s="128"/>
      <c r="J48" s="430">
        <f>VLOOKUP($B48,'Proposed Rates'!$D$248:$J$254,+J$11-2,FALSE)</f>
        <v>0.20300000000000001</v>
      </c>
      <c r="K48" s="575">
        <f>'Proposed Rates'!$K$251*$F$9</f>
        <v>314175.42</v>
      </c>
      <c r="L48" s="400">
        <f t="shared" si="53"/>
        <v>63777.610260000001</v>
      </c>
      <c r="M48" s="128"/>
      <c r="N48" s="401">
        <f t="shared" si="3"/>
        <v>0</v>
      </c>
      <c r="O48" s="402">
        <f t="shared" si="4"/>
        <v>0</v>
      </c>
      <c r="P48" s="52"/>
      <c r="Q48" s="430">
        <f>VLOOKUP($B48,'Proposed Rates'!$D$248:$J$254,+Q$11-2,FALSE)</f>
        <v>0.20300000000000001</v>
      </c>
      <c r="R48" s="575">
        <f>'Proposed Rates'!$K$251*$F$9</f>
        <v>314175.42</v>
      </c>
      <c r="S48" s="400">
        <f t="shared" si="55"/>
        <v>63777.610260000001</v>
      </c>
      <c r="T48" s="128"/>
      <c r="U48" s="401">
        <f t="shared" si="6"/>
        <v>0</v>
      </c>
      <c r="V48" s="402">
        <f t="shared" si="7"/>
        <v>0</v>
      </c>
      <c r="W48" s="52"/>
      <c r="X48" s="430">
        <f>VLOOKUP($B48,'Proposed Rates'!$D$248:$J$254,+X$11-2,FALSE)</f>
        <v>0.20300000000000001</v>
      </c>
      <c r="Y48" s="575">
        <f>'Proposed Rates'!$K$251*$F$9</f>
        <v>314175.42</v>
      </c>
      <c r="Z48" s="400">
        <f t="shared" si="57"/>
        <v>63777.610260000001</v>
      </c>
      <c r="AA48" s="128"/>
      <c r="AB48" s="401">
        <f t="shared" si="9"/>
        <v>0</v>
      </c>
      <c r="AC48" s="402">
        <f t="shared" si="10"/>
        <v>0</v>
      </c>
      <c r="AD48" s="52"/>
      <c r="AE48" s="430">
        <f>VLOOKUP($B48,'Proposed Rates'!$D$248:$J$254,+AE$11-2,FALSE)</f>
        <v>0.20300000000000001</v>
      </c>
      <c r="AF48" s="575">
        <f>'Proposed Rates'!$K$251*$F$9</f>
        <v>314175.42</v>
      </c>
      <c r="AG48" s="400">
        <f t="shared" si="59"/>
        <v>63777.610260000001</v>
      </c>
      <c r="AH48" s="128"/>
      <c r="AI48" s="401">
        <f t="shared" si="12"/>
        <v>0</v>
      </c>
      <c r="AJ48" s="402">
        <f t="shared" si="13"/>
        <v>0</v>
      </c>
      <c r="AK48" s="52"/>
      <c r="AL48" s="430">
        <f>VLOOKUP($B48,'Proposed Rates'!$D$248:$J$254,+AL$11-2,FALSE)</f>
        <v>0.20300000000000001</v>
      </c>
      <c r="AM48" s="575">
        <f>'Proposed Rates'!$K$251*$F$9</f>
        <v>314175.42</v>
      </c>
      <c r="AN48" s="400">
        <f t="shared" si="61"/>
        <v>63777.610260000001</v>
      </c>
      <c r="AO48" s="128"/>
      <c r="AP48" s="401">
        <f t="shared" si="15"/>
        <v>0</v>
      </c>
      <c r="AQ48" s="402">
        <f t="shared" si="16"/>
        <v>0</v>
      </c>
      <c r="AR48" s="403"/>
    </row>
    <row r="49" spans="1:44" ht="12" customHeight="1">
      <c r="A49" s="52"/>
      <c r="B49" s="320" t="s">
        <v>265</v>
      </c>
      <c r="C49" s="579" t="str">
        <f t="shared" si="62"/>
        <v>Energy - RPP - Tier 1</v>
      </c>
      <c r="D49" s="396" t="s">
        <v>308</v>
      </c>
      <c r="E49" s="320"/>
      <c r="F49" s="430">
        <f>VLOOKUP($B49,'Proposed Rates'!$D$248:$J$254,+F$11-2,FALSE)</f>
        <v>0.12</v>
      </c>
      <c r="G49" s="575">
        <f>IF(AND($S$2=1, F12&gt;=600), 600, IF(AND($S$2=1, AND(F12&lt;600, F12&gt;=0)), F12, IF(AND($S$2=2, F12&gt;=1000), 1000, IF(AND($S$2=2, AND(F12&lt;1000, F12&gt;=0)), F12))))</f>
        <v>600</v>
      </c>
      <c r="H49" s="400">
        <f t="shared" si="51"/>
        <v>72</v>
      </c>
      <c r="I49" s="128"/>
      <c r="J49" s="430">
        <f>VLOOKUP($B49,'Proposed Rates'!$D$248:$J$254,+J$11-2,FALSE)</f>
        <v>0.12</v>
      </c>
      <c r="K49" s="575">
        <f>IF(AND($S$2=1, J12&gt;=600), 600, IF(AND($S$2=1, AND(J12&lt;600, J12&gt;=0)), J12, IF(AND($S$2=2, J12&gt;=1000), 1000, IF(AND($S$2=2, AND(J12&lt;1000, J12&gt;=0)), J12))))</f>
        <v>600</v>
      </c>
      <c r="L49" s="400">
        <f t="shared" si="53"/>
        <v>72</v>
      </c>
      <c r="M49" s="128"/>
      <c r="N49" s="401">
        <f t="shared" si="3"/>
        <v>0</v>
      </c>
      <c r="O49" s="402">
        <f t="shared" si="4"/>
        <v>0</v>
      </c>
      <c r="P49" s="52"/>
      <c r="Q49" s="430">
        <f>VLOOKUP($B49,'Proposed Rates'!$D$248:$J$254,+Q$11-2,FALSE)</f>
        <v>0.12</v>
      </c>
      <c r="R49" s="575">
        <f>IF(AND($S$2=1, Q12&gt;=600), 600, IF(AND($S$2=1, AND(Q12&lt;600, Q12&gt;=0)), Q12, IF(AND($S$2=2, Q12&gt;=1000), 1000, IF(AND($S$2=2, AND(Q12&lt;1000, Q12&gt;=0)), Q12))))</f>
        <v>600</v>
      </c>
      <c r="S49" s="400">
        <f t="shared" si="55"/>
        <v>72</v>
      </c>
      <c r="T49" s="128"/>
      <c r="U49" s="401">
        <f t="shared" si="6"/>
        <v>0</v>
      </c>
      <c r="V49" s="402">
        <f t="shared" si="7"/>
        <v>0</v>
      </c>
      <c r="W49" s="52"/>
      <c r="X49" s="430">
        <f>VLOOKUP($B49,'Proposed Rates'!$D$248:$J$254,+X$11-2,FALSE)</f>
        <v>0.12</v>
      </c>
      <c r="Y49" s="575">
        <f>IF(AND($S$2=1, X12&gt;=600), 600, IF(AND($S$2=1, AND(X12&lt;600, X12&gt;=0)), X12, IF(AND($S$2=2, X12&gt;=1000), 1000, IF(AND($S$2=2, AND(X12&lt;1000, X12&gt;=0)), X12))))</f>
        <v>600</v>
      </c>
      <c r="Z49" s="400">
        <f t="shared" si="57"/>
        <v>72</v>
      </c>
      <c r="AA49" s="128"/>
      <c r="AB49" s="401">
        <f t="shared" si="9"/>
        <v>0</v>
      </c>
      <c r="AC49" s="402">
        <f t="shared" si="10"/>
        <v>0</v>
      </c>
      <c r="AD49" s="52"/>
      <c r="AE49" s="430">
        <f>VLOOKUP($B49,'Proposed Rates'!$D$248:$J$254,+AE$11-2,FALSE)</f>
        <v>0.12</v>
      </c>
      <c r="AF49" s="575">
        <f>IF(AND($S$2=1, AE12&gt;=600), 600, IF(AND($S$2=1, AND(AE12&lt;600, AE12&gt;=0)), AE12, IF(AND($S$2=2, AE12&gt;=1000), 1000, IF(AND($S$2=2, AND(AE12&lt;1000, AE12&gt;=0)), AE12))))</f>
        <v>600</v>
      </c>
      <c r="AG49" s="400">
        <f t="shared" si="59"/>
        <v>72</v>
      </c>
      <c r="AH49" s="128"/>
      <c r="AI49" s="401">
        <f t="shared" si="12"/>
        <v>0</v>
      </c>
      <c r="AJ49" s="402">
        <f t="shared" si="13"/>
        <v>0</v>
      </c>
      <c r="AK49" s="52"/>
      <c r="AL49" s="430">
        <f>VLOOKUP($B49,'Proposed Rates'!$D$248:$J$254,+AL$11-2,FALSE)</f>
        <v>0.12</v>
      </c>
      <c r="AM49" s="575">
        <f>IF(AND($S$2=1, AL12&gt;=600), 600, IF(AND($S$2=1, AND(AL12&lt;600, AL12&gt;=0)), AL12, IF(AND($S$2=2, AL12&gt;=1000), 1000, IF(AND($S$2=2, AND(AL12&lt;1000, AL12&gt;=0)), AL12))))</f>
        <v>600</v>
      </c>
      <c r="AN49" s="400">
        <f t="shared" si="61"/>
        <v>72</v>
      </c>
      <c r="AO49" s="128"/>
      <c r="AP49" s="401">
        <f t="shared" si="15"/>
        <v>0</v>
      </c>
      <c r="AQ49" s="402">
        <f t="shared" si="16"/>
        <v>0</v>
      </c>
      <c r="AR49" s="403"/>
    </row>
    <row r="50" spans="1:44" ht="12" customHeight="1">
      <c r="A50" s="52"/>
      <c r="B50" s="320" t="s">
        <v>266</v>
      </c>
      <c r="C50" s="579" t="str">
        <f t="shared" si="62"/>
        <v>Energy - RPP - Tier 2</v>
      </c>
      <c r="D50" s="396" t="s">
        <v>308</v>
      </c>
      <c r="E50" s="320"/>
      <c r="F50" s="430">
        <f>VLOOKUP($B50,'Proposed Rates'!$D$248:$J$254,+F$11-2,FALSE)</f>
        <v>0.14199999999999999</v>
      </c>
      <c r="G50" s="575">
        <f>IF(AND($S$2=1, $F$9&gt;=600), $F$9-600, IF(AND($S$2=1, AND($F$9&lt;600, $F$9&gt;=0)), 0, IF(AND($S$2=2, $F$9&gt;=1000), $F$9-1000, IF(AND($S$2=2, AND($F$9&lt;1000, $F$9&gt;=0)), 0))))</f>
        <v>1744819</v>
      </c>
      <c r="H50" s="400">
        <f t="shared" si="51"/>
        <v>247764.29799999998</v>
      </c>
      <c r="I50" s="128"/>
      <c r="J50" s="430">
        <f>VLOOKUP($B50,'Proposed Rates'!$D$248:$J$254,+J$11-2,FALSE)</f>
        <v>0.14199999999999999</v>
      </c>
      <c r="K50" s="575">
        <f>IF(AND($S$2=1, $F$9&gt;=600), $F$9-600, IF(AND($S$2=1, AND($F$9&lt;600, $F$9&gt;=0)), 0, IF(AND($S$2=2, $F$9&gt;=1000), $F$9-1000, IF(AND($S$2=2, AND($F$9&lt;1000, $F$9&gt;=0)), 0))))</f>
        <v>1744819</v>
      </c>
      <c r="L50" s="400">
        <f t="shared" si="53"/>
        <v>247764.29799999998</v>
      </c>
      <c r="M50" s="128"/>
      <c r="N50" s="401">
        <f t="shared" si="3"/>
        <v>0</v>
      </c>
      <c r="O50" s="402">
        <f t="shared" si="4"/>
        <v>0</v>
      </c>
      <c r="P50" s="52"/>
      <c r="Q50" s="430">
        <f>VLOOKUP($B50,'Proposed Rates'!$D$248:$J$254,+Q$11-2,FALSE)</f>
        <v>0.14199999999999999</v>
      </c>
      <c r="R50" s="575">
        <f>IF(AND($S$2=1, $F$9&gt;=600), $F$9-600, IF(AND($S$2=1, AND($F$9&lt;600, $F$9&gt;=0)), 0, IF(AND($S$2=2, $F$9&gt;=1000), $F$9-1000, IF(AND($S$2=2, AND($F$9&lt;1000, $F$9&gt;=0)), 0))))</f>
        <v>1744819</v>
      </c>
      <c r="S50" s="400">
        <f t="shared" si="55"/>
        <v>247764.29799999998</v>
      </c>
      <c r="T50" s="128"/>
      <c r="U50" s="401">
        <f t="shared" si="6"/>
        <v>0</v>
      </c>
      <c r="V50" s="402">
        <f t="shared" si="7"/>
        <v>0</v>
      </c>
      <c r="W50" s="52"/>
      <c r="X50" s="430">
        <f>VLOOKUP($B50,'Proposed Rates'!$D$248:$J$254,+X$11-2,FALSE)</f>
        <v>0.14199999999999999</v>
      </c>
      <c r="Y50" s="575">
        <f>IF(AND($S$2=1, $F$9&gt;=600), $F$9-600, IF(AND($S$2=1, AND($F$9&lt;600, $F$9&gt;=0)), 0, IF(AND($S$2=2, $F$9&gt;=1000), $F$9-1000, IF(AND($S$2=2, AND($F$9&lt;1000, $F$9&gt;=0)), 0))))</f>
        <v>1744819</v>
      </c>
      <c r="Z50" s="400">
        <f t="shared" si="57"/>
        <v>247764.29799999998</v>
      </c>
      <c r="AA50" s="128"/>
      <c r="AB50" s="401">
        <f t="shared" si="9"/>
        <v>0</v>
      </c>
      <c r="AC50" s="402">
        <f t="shared" si="10"/>
        <v>0</v>
      </c>
      <c r="AD50" s="52"/>
      <c r="AE50" s="430">
        <f>VLOOKUP($B50,'Proposed Rates'!$D$248:$J$254,+AE$11-2,FALSE)</f>
        <v>0.14199999999999999</v>
      </c>
      <c r="AF50" s="575">
        <f>IF(AND($S$2=1, $F$9&gt;=600), $F$9-600, IF(AND($S$2=1, AND($F$9&lt;600, $F$9&gt;=0)), 0, IF(AND($S$2=2, $F$9&gt;=1000), $F$9-1000, IF(AND($S$2=2, AND($F$9&lt;1000, $F$9&gt;=0)), 0))))</f>
        <v>1744819</v>
      </c>
      <c r="AG50" s="400">
        <f t="shared" si="59"/>
        <v>247764.29799999998</v>
      </c>
      <c r="AH50" s="128"/>
      <c r="AI50" s="401">
        <f t="shared" si="12"/>
        <v>0</v>
      </c>
      <c r="AJ50" s="402">
        <f t="shared" si="13"/>
        <v>0</v>
      </c>
      <c r="AK50" s="52"/>
      <c r="AL50" s="430">
        <f>VLOOKUP($B50,'Proposed Rates'!$D$248:$J$254,+AL$11-2,FALSE)</f>
        <v>0.14199999999999999</v>
      </c>
      <c r="AM50" s="575">
        <f>IF(AND($S$2=1, $F$9&gt;=600), $F$9-600, IF(AND($S$2=1, AND($F$9&lt;600, $F$9&gt;=0)), 0, IF(AND($S$2=2, $F$9&gt;=1000), $F$9-1000, IF(AND($S$2=2, AND($F$9&lt;1000, $F$9&gt;=0)), 0))))</f>
        <v>1744819</v>
      </c>
      <c r="AN50" s="400">
        <f t="shared" si="61"/>
        <v>247764.29799999998</v>
      </c>
      <c r="AO50" s="128"/>
      <c r="AP50" s="401">
        <f t="shared" si="15"/>
        <v>0</v>
      </c>
      <c r="AQ50" s="402">
        <f t="shared" si="16"/>
        <v>0</v>
      </c>
      <c r="AR50" s="403"/>
    </row>
    <row r="51" spans="1:44" ht="12" customHeight="1">
      <c r="A51" s="52"/>
      <c r="B51" s="434"/>
      <c r="C51" s="584"/>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 customHeight="1">
      <c r="A52" s="52"/>
      <c r="B52" s="444" t="s">
        <v>315</v>
      </c>
      <c r="C52" s="581"/>
      <c r="D52" s="320"/>
      <c r="E52" s="320"/>
      <c r="F52" s="445"/>
      <c r="G52" s="489"/>
      <c r="H52" s="447">
        <f>SUM(H43:H48,H42)</f>
        <v>409769.45018174394</v>
      </c>
      <c r="I52" s="482"/>
      <c r="J52" s="446"/>
      <c r="K52" s="446"/>
      <c r="L52" s="447">
        <f>SUM(L43:L48,L42)</f>
        <v>405791.69650601601</v>
      </c>
      <c r="M52" s="449"/>
      <c r="N52" s="448">
        <f t="shared" ref="N52:N56" si="63">L52-H52</f>
        <v>-3977.7536757279304</v>
      </c>
      <c r="O52" s="450">
        <f t="shared" ref="O52:O56" si="64">IF((H52)=0,"",(N52/H52))</f>
        <v>-9.70729680790915E-3</v>
      </c>
      <c r="P52" s="52"/>
      <c r="Q52" s="446"/>
      <c r="R52" s="446"/>
      <c r="S52" s="447">
        <f>SUM(S43:S48,S42)</f>
        <v>375448.46945461596</v>
      </c>
      <c r="T52" s="449"/>
      <c r="U52" s="448">
        <f t="shared" ref="U52:U56" si="65">S52-L52</f>
        <v>-30343.227051400056</v>
      </c>
      <c r="V52" s="450">
        <f t="shared" ref="V52:V56" si="66">IF((L52)=0,"",(U52/L52))</f>
        <v>-7.4775376905599655E-2</v>
      </c>
      <c r="W52" s="52"/>
      <c r="X52" s="446"/>
      <c r="Y52" s="446"/>
      <c r="Z52" s="447">
        <f>SUM(Z43:Z48,Z42)</f>
        <v>381620.422646116</v>
      </c>
      <c r="AA52" s="449"/>
      <c r="AB52" s="448">
        <f t="shared" ref="AB52:AB56" si="67">Z52-S52</f>
        <v>6171.9531915000407</v>
      </c>
      <c r="AC52" s="450">
        <f t="shared" ref="AC52:AC56" si="68">IF((S52)=0,"",(AB52/S52))</f>
        <v>1.6438882279812047E-2</v>
      </c>
      <c r="AD52" s="52"/>
      <c r="AE52" s="446"/>
      <c r="AF52" s="446"/>
      <c r="AG52" s="447">
        <f>SUM(AG43:AG48,AG42)</f>
        <v>383403.664283416</v>
      </c>
      <c r="AH52" s="449"/>
      <c r="AI52" s="448">
        <f t="shared" ref="AI52:AI56" si="69">AG52-Z52</f>
        <v>1783.2416373000015</v>
      </c>
      <c r="AJ52" s="450">
        <f t="shared" ref="AJ52:AJ56" si="70">IF((Z52)=0,"",(AI52/Z52))</f>
        <v>4.6728150053794056E-3</v>
      </c>
      <c r="AK52" s="52"/>
      <c r="AL52" s="446"/>
      <c r="AM52" s="446"/>
      <c r="AN52" s="447">
        <f>SUM(AN43:AN48,AN42)</f>
        <v>389422.67813941604</v>
      </c>
      <c r="AO52" s="449"/>
      <c r="AP52" s="448">
        <f t="shared" ref="AP52:AP56" si="71">AN52-AG52</f>
        <v>6019.0138560000341</v>
      </c>
      <c r="AQ52" s="450">
        <f t="shared" ref="AQ52:AQ56" si="72">IF((AG52)=0,"",(AP52/AG52))</f>
        <v>1.5698894968178282E-2</v>
      </c>
      <c r="AR52" s="451"/>
    </row>
    <row r="53" spans="1:44" ht="12" customHeight="1">
      <c r="A53" s="52"/>
      <c r="B53" s="452" t="s">
        <v>316</v>
      </c>
      <c r="C53" s="581"/>
      <c r="D53" s="320"/>
      <c r="E53" s="320"/>
      <c r="F53" s="445">
        <v>0.13</v>
      </c>
      <c r="G53" s="128"/>
      <c r="H53" s="490">
        <f>H52*F53</f>
        <v>53270.028523626715</v>
      </c>
      <c r="I53" s="417"/>
      <c r="J53" s="453">
        <v>0.13</v>
      </c>
      <c r="K53" s="417"/>
      <c r="L53" s="400">
        <f>L52*J53</f>
        <v>52752.920545782086</v>
      </c>
      <c r="M53" s="128"/>
      <c r="N53" s="401">
        <f t="shared" si="63"/>
        <v>-517.1079778446292</v>
      </c>
      <c r="O53" s="402">
        <f t="shared" si="64"/>
        <v>-9.707296807909117E-3</v>
      </c>
      <c r="P53" s="52"/>
      <c r="Q53" s="453">
        <v>0.13</v>
      </c>
      <c r="R53" s="417"/>
      <c r="S53" s="400">
        <f>S52*Q53</f>
        <v>48808.301029100076</v>
      </c>
      <c r="T53" s="128"/>
      <c r="U53" s="401">
        <f t="shared" si="65"/>
        <v>-3944.6195166820107</v>
      </c>
      <c r="V53" s="402">
        <f t="shared" si="66"/>
        <v>-7.4775376905599725E-2</v>
      </c>
      <c r="W53" s="52"/>
      <c r="X53" s="453">
        <v>0.13</v>
      </c>
      <c r="Y53" s="417"/>
      <c r="Z53" s="400">
        <f>Z52*X53</f>
        <v>49610.654943995083</v>
      </c>
      <c r="AA53" s="128"/>
      <c r="AB53" s="401">
        <f t="shared" si="67"/>
        <v>802.35391489500762</v>
      </c>
      <c r="AC53" s="402">
        <f t="shared" si="68"/>
        <v>1.6438882279812096E-2</v>
      </c>
      <c r="AD53" s="52"/>
      <c r="AE53" s="453">
        <v>0.13</v>
      </c>
      <c r="AF53" s="417"/>
      <c r="AG53" s="400">
        <f>AG52*AE53</f>
        <v>49842.476356844083</v>
      </c>
      <c r="AH53" s="128"/>
      <c r="AI53" s="401">
        <f t="shared" si="69"/>
        <v>231.8214128489999</v>
      </c>
      <c r="AJ53" s="402">
        <f t="shared" si="70"/>
        <v>4.6728150053793995E-3</v>
      </c>
      <c r="AK53" s="52"/>
      <c r="AL53" s="453">
        <v>0.13</v>
      </c>
      <c r="AM53" s="417"/>
      <c r="AN53" s="400">
        <f>AN52*AL53</f>
        <v>50624.948158124083</v>
      </c>
      <c r="AO53" s="128"/>
      <c r="AP53" s="401">
        <f t="shared" si="71"/>
        <v>782.47180128000036</v>
      </c>
      <c r="AQ53" s="402">
        <f t="shared" si="72"/>
        <v>1.5698894968178199E-2</v>
      </c>
      <c r="AR53" s="403"/>
    </row>
    <row r="54" spans="1:44" ht="12" customHeight="1">
      <c r="A54" s="52"/>
      <c r="B54" s="454" t="s">
        <v>424</v>
      </c>
      <c r="C54" s="581"/>
      <c r="D54" s="320"/>
      <c r="E54" s="320"/>
      <c r="F54" s="455"/>
      <c r="G54" s="128"/>
      <c r="H54" s="490">
        <f>H52+H53</f>
        <v>463039.47870537068</v>
      </c>
      <c r="I54" s="417"/>
      <c r="J54" s="417"/>
      <c r="K54" s="417"/>
      <c r="L54" s="400">
        <f>L52+L53</f>
        <v>458544.61705179809</v>
      </c>
      <c r="M54" s="128"/>
      <c r="N54" s="401">
        <f t="shared" si="63"/>
        <v>-4494.8616535725887</v>
      </c>
      <c r="O54" s="402">
        <f t="shared" si="64"/>
        <v>-9.707296807909209E-3</v>
      </c>
      <c r="P54" s="52"/>
      <c r="Q54" s="417"/>
      <c r="R54" s="417"/>
      <c r="S54" s="400">
        <f>S52+S53</f>
        <v>424256.77048371604</v>
      </c>
      <c r="T54" s="128"/>
      <c r="U54" s="401">
        <f t="shared" si="65"/>
        <v>-34287.846568082052</v>
      </c>
      <c r="V54" s="402">
        <f t="shared" si="66"/>
        <v>-7.4775376905599641E-2</v>
      </c>
      <c r="W54" s="52"/>
      <c r="X54" s="417"/>
      <c r="Y54" s="417"/>
      <c r="Z54" s="400">
        <f>Z52+Z53</f>
        <v>431231.07759011106</v>
      </c>
      <c r="AA54" s="128"/>
      <c r="AB54" s="401">
        <f t="shared" si="67"/>
        <v>6974.3071063950192</v>
      </c>
      <c r="AC54" s="402">
        <f t="shared" si="68"/>
        <v>1.6438882279811984E-2</v>
      </c>
      <c r="AD54" s="52"/>
      <c r="AE54" s="417"/>
      <c r="AF54" s="417"/>
      <c r="AG54" s="400">
        <f>AG52+AG53</f>
        <v>433246.14064026007</v>
      </c>
      <c r="AH54" s="128"/>
      <c r="AI54" s="401">
        <f t="shared" si="69"/>
        <v>2015.0630501490086</v>
      </c>
      <c r="AJ54" s="402">
        <f t="shared" si="70"/>
        <v>4.672815005379422E-3</v>
      </c>
      <c r="AK54" s="52"/>
      <c r="AL54" s="417"/>
      <c r="AM54" s="417"/>
      <c r="AN54" s="400">
        <f>AN52+AN53</f>
        <v>440047.62629754015</v>
      </c>
      <c r="AO54" s="128"/>
      <c r="AP54" s="401">
        <f t="shared" si="71"/>
        <v>6801.4856572800782</v>
      </c>
      <c r="AQ54" s="402">
        <f t="shared" si="72"/>
        <v>1.5698894968178372E-2</v>
      </c>
      <c r="AR54" s="403"/>
    </row>
    <row r="55" spans="1:44" ht="12" customHeight="1">
      <c r="A55" s="52"/>
      <c r="B55" s="628" t="s">
        <v>273</v>
      </c>
      <c r="C55" s="615"/>
      <c r="D55" s="615"/>
      <c r="E55" s="320"/>
      <c r="F55" s="455"/>
      <c r="G55" s="128"/>
      <c r="H55" s="492">
        <f>F55*H52</f>
        <v>0</v>
      </c>
      <c r="I55" s="417"/>
      <c r="J55" s="417"/>
      <c r="K55" s="417"/>
      <c r="L55" s="512">
        <f>J55*L52</f>
        <v>0</v>
      </c>
      <c r="M55" s="128"/>
      <c r="N55" s="457">
        <f t="shared" si="63"/>
        <v>0</v>
      </c>
      <c r="O55" s="459" t="str">
        <f t="shared" si="64"/>
        <v/>
      </c>
      <c r="P55" s="52"/>
      <c r="Q55" s="417"/>
      <c r="R55" s="417"/>
      <c r="S55" s="512">
        <f>Q55*S52</f>
        <v>0</v>
      </c>
      <c r="T55" s="128"/>
      <c r="U55" s="457">
        <f t="shared" si="65"/>
        <v>0</v>
      </c>
      <c r="V55" s="459" t="str">
        <f t="shared" si="66"/>
        <v/>
      </c>
      <c r="W55" s="52"/>
      <c r="X55" s="417"/>
      <c r="Y55" s="417"/>
      <c r="Z55" s="512">
        <f>X55*Z52</f>
        <v>0</v>
      </c>
      <c r="AA55" s="128"/>
      <c r="AB55" s="457">
        <f t="shared" si="67"/>
        <v>0</v>
      </c>
      <c r="AC55" s="459" t="str">
        <f t="shared" si="68"/>
        <v/>
      </c>
      <c r="AD55" s="52"/>
      <c r="AE55" s="417"/>
      <c r="AF55" s="417"/>
      <c r="AG55" s="512">
        <f>AE55*AG52</f>
        <v>0</v>
      </c>
      <c r="AH55" s="128"/>
      <c r="AI55" s="457">
        <f t="shared" si="69"/>
        <v>0</v>
      </c>
      <c r="AJ55" s="459" t="str">
        <f t="shared" si="70"/>
        <v/>
      </c>
      <c r="AK55" s="52"/>
      <c r="AL55" s="417"/>
      <c r="AM55" s="417"/>
      <c r="AN55" s="512">
        <f>AL55*AN52</f>
        <v>0</v>
      </c>
      <c r="AO55" s="128"/>
      <c r="AP55" s="457">
        <f t="shared" si="71"/>
        <v>0</v>
      </c>
      <c r="AQ55" s="459" t="str">
        <f t="shared" si="72"/>
        <v/>
      </c>
      <c r="AR55" s="460"/>
    </row>
    <row r="56" spans="1:44" ht="12" customHeight="1">
      <c r="A56" s="52"/>
      <c r="B56" s="627" t="s">
        <v>318</v>
      </c>
      <c r="C56" s="613"/>
      <c r="D56" s="613"/>
      <c r="E56" s="461"/>
      <c r="F56" s="462"/>
      <c r="G56" s="493"/>
      <c r="H56" s="494">
        <f>H54-H55</f>
        <v>463039.47870537068</v>
      </c>
      <c r="I56" s="463"/>
      <c r="J56" s="463"/>
      <c r="K56" s="463"/>
      <c r="L56" s="464">
        <f>L54-L55</f>
        <v>458544.61705179809</v>
      </c>
      <c r="M56" s="465"/>
      <c r="N56" s="466">
        <f t="shared" si="63"/>
        <v>-4494.8616535725887</v>
      </c>
      <c r="O56" s="467">
        <f t="shared" si="64"/>
        <v>-9.707296807909209E-3</v>
      </c>
      <c r="P56" s="52"/>
      <c r="Q56" s="463"/>
      <c r="R56" s="463"/>
      <c r="S56" s="464">
        <f>S54-S55</f>
        <v>424256.77048371604</v>
      </c>
      <c r="T56" s="465"/>
      <c r="U56" s="466">
        <f t="shared" si="65"/>
        <v>-34287.846568082052</v>
      </c>
      <c r="V56" s="467">
        <f t="shared" si="66"/>
        <v>-7.4775376905599641E-2</v>
      </c>
      <c r="W56" s="52"/>
      <c r="X56" s="463"/>
      <c r="Y56" s="463"/>
      <c r="Z56" s="464">
        <f>Z54-Z55</f>
        <v>431231.07759011106</v>
      </c>
      <c r="AA56" s="465"/>
      <c r="AB56" s="466">
        <f t="shared" si="67"/>
        <v>6974.3071063950192</v>
      </c>
      <c r="AC56" s="467">
        <f t="shared" si="68"/>
        <v>1.6438882279811984E-2</v>
      </c>
      <c r="AD56" s="52"/>
      <c r="AE56" s="463"/>
      <c r="AF56" s="463"/>
      <c r="AG56" s="464">
        <f>AG54-AG55</f>
        <v>433246.14064026007</v>
      </c>
      <c r="AH56" s="465"/>
      <c r="AI56" s="466">
        <f t="shared" si="69"/>
        <v>2015.0630501490086</v>
      </c>
      <c r="AJ56" s="467">
        <f t="shared" si="70"/>
        <v>4.672815005379422E-3</v>
      </c>
      <c r="AK56" s="52"/>
      <c r="AL56" s="463"/>
      <c r="AM56" s="463"/>
      <c r="AN56" s="464">
        <f>AN54-AN55</f>
        <v>440047.62629754015</v>
      </c>
      <c r="AO56" s="465"/>
      <c r="AP56" s="466">
        <f t="shared" si="71"/>
        <v>6801.4856572800782</v>
      </c>
      <c r="AQ56" s="467">
        <f t="shared" si="72"/>
        <v>1.5698894968178372E-2</v>
      </c>
      <c r="AR56" s="468"/>
    </row>
    <row r="57" spans="1:44" ht="12" customHeight="1">
      <c r="A57" s="52"/>
      <c r="B57" s="434"/>
      <c r="C57" s="584"/>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 customHeight="1">
      <c r="A58" s="52"/>
      <c r="B58" s="444" t="s">
        <v>319</v>
      </c>
      <c r="C58" s="581"/>
      <c r="D58" s="320"/>
      <c r="E58" s="320"/>
      <c r="F58" s="445"/>
      <c r="G58" s="489"/>
      <c r="H58" s="447">
        <f>SUM(H49:H50,H42,H43:H45)</f>
        <v>435029.91730174393</v>
      </c>
      <c r="I58" s="482"/>
      <c r="J58" s="446"/>
      <c r="K58" s="446"/>
      <c r="L58" s="447">
        <f>SUM(L49:L50,L42,L43:L45)</f>
        <v>431052.16362601594</v>
      </c>
      <c r="M58" s="449"/>
      <c r="N58" s="448">
        <f t="shared" ref="N58:N62" si="73">L58-H58</f>
        <v>-3977.7536757279886</v>
      </c>
      <c r="O58" s="450">
        <f t="shared" ref="O58:O62" si="74">IF((H58)=0,"",(N58/H58))</f>
        <v>-9.143632466474606E-3</v>
      </c>
      <c r="P58" s="52"/>
      <c r="Q58" s="446"/>
      <c r="R58" s="446"/>
      <c r="S58" s="447">
        <f>SUM(S49:S50,S42,S43:S45)</f>
        <v>400708.93657461589</v>
      </c>
      <c r="T58" s="449"/>
      <c r="U58" s="448">
        <f t="shared" ref="U58:U62" si="75">S58-L58</f>
        <v>-30343.227051400056</v>
      </c>
      <c r="V58" s="450">
        <f t="shared" ref="V58:V62" si="76">IF((L58)=0,"",(U58/L58))</f>
        <v>-7.0393399249298438E-2</v>
      </c>
      <c r="W58" s="52"/>
      <c r="X58" s="446"/>
      <c r="Y58" s="446"/>
      <c r="Z58" s="447">
        <f>SUM(Z49:Z50,Z42,Z43:Z45)</f>
        <v>406880.88976611599</v>
      </c>
      <c r="AA58" s="449"/>
      <c r="AB58" s="448">
        <f t="shared" ref="AB58:AB62" si="77">Z58-S58</f>
        <v>6171.9531915000989</v>
      </c>
      <c r="AC58" s="450">
        <f t="shared" ref="AC58:AC62" si="78">IF((S58)=0,"",(AB58/S58))</f>
        <v>1.5402584340294146E-2</v>
      </c>
      <c r="AD58" s="52"/>
      <c r="AE58" s="446"/>
      <c r="AF58" s="446"/>
      <c r="AG58" s="447">
        <f>SUM(AG49:AG50,AG42,AG43:AG45)</f>
        <v>408664.13140341599</v>
      </c>
      <c r="AH58" s="449"/>
      <c r="AI58" s="448">
        <f t="shared" ref="AI58:AI62" si="79">AG58-Z58</f>
        <v>1783.2416373000015</v>
      </c>
      <c r="AJ58" s="450">
        <f t="shared" ref="AJ58:AJ62" si="80">IF((Z58)=0,"",(AI58/Z58))</f>
        <v>4.3827117029876916E-3</v>
      </c>
      <c r="AK58" s="52"/>
      <c r="AL58" s="446"/>
      <c r="AM58" s="446"/>
      <c r="AN58" s="447">
        <f>SUM(AN49:AN50,AN42,AN43:AN45)</f>
        <v>414683.14525941602</v>
      </c>
      <c r="AO58" s="449"/>
      <c r="AP58" s="448">
        <f t="shared" ref="AP58:AP62" si="81">AN58-AG58</f>
        <v>6019.0138560000341</v>
      </c>
      <c r="AQ58" s="450">
        <f t="shared" ref="AQ58:AQ62" si="82">IF((AG58)=0,"",(AP58/AG58))</f>
        <v>1.4728510269129339E-2</v>
      </c>
      <c r="AR58" s="451"/>
    </row>
    <row r="59" spans="1:44" ht="12" customHeight="1">
      <c r="A59" s="52"/>
      <c r="B59" s="452" t="s">
        <v>316</v>
      </c>
      <c r="C59" s="581"/>
      <c r="D59" s="320"/>
      <c r="E59" s="320"/>
      <c r="F59" s="445">
        <v>0.13</v>
      </c>
      <c r="G59" s="489"/>
      <c r="H59" s="490">
        <f>H58*F59</f>
        <v>56553.889249226711</v>
      </c>
      <c r="I59" s="417"/>
      <c r="J59" s="445">
        <v>0.13</v>
      </c>
      <c r="K59" s="453"/>
      <c r="L59" s="400">
        <f>L58*J59</f>
        <v>56036.781271382075</v>
      </c>
      <c r="M59" s="128"/>
      <c r="N59" s="401">
        <f t="shared" si="73"/>
        <v>-517.10797784463648</v>
      </c>
      <c r="O59" s="402">
        <f t="shared" si="74"/>
        <v>-9.1436324664745695E-3</v>
      </c>
      <c r="P59" s="52"/>
      <c r="Q59" s="445">
        <v>0.13</v>
      </c>
      <c r="R59" s="453"/>
      <c r="S59" s="400">
        <f>S58*Q59</f>
        <v>52092.161754700064</v>
      </c>
      <c r="T59" s="128"/>
      <c r="U59" s="401">
        <f t="shared" si="75"/>
        <v>-3944.6195166820107</v>
      </c>
      <c r="V59" s="402">
        <f t="shared" si="76"/>
        <v>-7.0393399249298494E-2</v>
      </c>
      <c r="W59" s="52"/>
      <c r="X59" s="445">
        <v>0.13</v>
      </c>
      <c r="Y59" s="453"/>
      <c r="Z59" s="400">
        <f>Z58*X59</f>
        <v>52894.515669595079</v>
      </c>
      <c r="AA59" s="128"/>
      <c r="AB59" s="401">
        <f t="shared" si="77"/>
        <v>802.3539148950149</v>
      </c>
      <c r="AC59" s="402">
        <f t="shared" si="78"/>
        <v>1.5402584340294186E-2</v>
      </c>
      <c r="AD59" s="52"/>
      <c r="AE59" s="445">
        <v>0.13</v>
      </c>
      <c r="AF59" s="453"/>
      <c r="AG59" s="400">
        <f>AG58*AE59</f>
        <v>53126.337082444079</v>
      </c>
      <c r="AH59" s="128"/>
      <c r="AI59" s="401">
        <f t="shared" si="79"/>
        <v>231.8214128489999</v>
      </c>
      <c r="AJ59" s="402">
        <f t="shared" si="80"/>
        <v>4.3827117029876864E-3</v>
      </c>
      <c r="AK59" s="52"/>
      <c r="AL59" s="445">
        <v>0.13</v>
      </c>
      <c r="AM59" s="453"/>
      <c r="AN59" s="400">
        <f>AN58*AL59</f>
        <v>53908.808883724087</v>
      </c>
      <c r="AO59" s="128"/>
      <c r="AP59" s="401">
        <f t="shared" si="81"/>
        <v>782.47180128000764</v>
      </c>
      <c r="AQ59" s="402">
        <f t="shared" si="82"/>
        <v>1.47285102691294E-2</v>
      </c>
      <c r="AR59" s="403"/>
    </row>
    <row r="60" spans="1:44" ht="12" customHeight="1">
      <c r="A60" s="52"/>
      <c r="B60" s="454" t="s">
        <v>425</v>
      </c>
      <c r="C60" s="581"/>
      <c r="D60" s="320"/>
      <c r="E60" s="320"/>
      <c r="F60" s="455"/>
      <c r="G60" s="128"/>
      <c r="H60" s="490">
        <f>H58+H59</f>
        <v>491583.80655097065</v>
      </c>
      <c r="I60" s="417"/>
      <c r="J60" s="417"/>
      <c r="K60" s="417"/>
      <c r="L60" s="400">
        <f>L58+L59</f>
        <v>487088.944897398</v>
      </c>
      <c r="M60" s="128"/>
      <c r="N60" s="401">
        <f t="shared" si="73"/>
        <v>-4494.8616535726469</v>
      </c>
      <c r="O60" s="402">
        <f t="shared" si="74"/>
        <v>-9.1436324664746459E-3</v>
      </c>
      <c r="P60" s="52"/>
      <c r="Q60" s="417"/>
      <c r="R60" s="417"/>
      <c r="S60" s="400">
        <f>S58+S59</f>
        <v>452801.09832931595</v>
      </c>
      <c r="T60" s="128"/>
      <c r="U60" s="401">
        <f t="shared" si="75"/>
        <v>-34287.846568082052</v>
      </c>
      <c r="V60" s="402">
        <f t="shared" si="76"/>
        <v>-7.0393399249298411E-2</v>
      </c>
      <c r="W60" s="52"/>
      <c r="X60" s="417"/>
      <c r="Y60" s="417"/>
      <c r="Z60" s="400">
        <f>Z58+Z59</f>
        <v>459775.40543571109</v>
      </c>
      <c r="AA60" s="128"/>
      <c r="AB60" s="401">
        <f t="shared" si="77"/>
        <v>6974.3071063951356</v>
      </c>
      <c r="AC60" s="402">
        <f t="shared" si="78"/>
        <v>1.5402584340294199E-2</v>
      </c>
      <c r="AD60" s="52"/>
      <c r="AE60" s="417"/>
      <c r="AF60" s="417"/>
      <c r="AG60" s="400">
        <f>AG58+AG59</f>
        <v>461790.46848586004</v>
      </c>
      <c r="AH60" s="128"/>
      <c r="AI60" s="401">
        <f t="shared" si="79"/>
        <v>2015.0630501489504</v>
      </c>
      <c r="AJ60" s="402">
        <f t="shared" si="80"/>
        <v>4.3827117029875797E-3</v>
      </c>
      <c r="AK60" s="52"/>
      <c r="AL60" s="417"/>
      <c r="AM60" s="417"/>
      <c r="AN60" s="400">
        <f>AN58+AN59</f>
        <v>468591.95414314012</v>
      </c>
      <c r="AO60" s="128"/>
      <c r="AP60" s="401">
        <f t="shared" si="81"/>
        <v>6801.4856572800782</v>
      </c>
      <c r="AQ60" s="402">
        <f t="shared" si="82"/>
        <v>1.4728510269129426E-2</v>
      </c>
      <c r="AR60" s="403"/>
    </row>
    <row r="61" spans="1:44" ht="12" customHeight="1">
      <c r="A61" s="52"/>
      <c r="B61" s="628" t="s">
        <v>273</v>
      </c>
      <c r="C61" s="615"/>
      <c r="D61" s="615"/>
      <c r="E61" s="320"/>
      <c r="F61" s="455"/>
      <c r="G61" s="128"/>
      <c r="H61" s="492">
        <f>F61*H58</f>
        <v>0</v>
      </c>
      <c r="I61" s="417"/>
      <c r="J61" s="417"/>
      <c r="K61" s="417"/>
      <c r="L61" s="512">
        <f>J61*L58</f>
        <v>0</v>
      </c>
      <c r="M61" s="128"/>
      <c r="N61" s="457">
        <f t="shared" si="73"/>
        <v>0</v>
      </c>
      <c r="O61" s="459" t="str">
        <f t="shared" si="74"/>
        <v/>
      </c>
      <c r="P61" s="52"/>
      <c r="Q61" s="417"/>
      <c r="R61" s="417"/>
      <c r="S61" s="512">
        <f>Q61*S58</f>
        <v>0</v>
      </c>
      <c r="T61" s="128"/>
      <c r="U61" s="457">
        <f t="shared" si="75"/>
        <v>0</v>
      </c>
      <c r="V61" s="459" t="str">
        <f t="shared" si="76"/>
        <v/>
      </c>
      <c r="W61" s="52"/>
      <c r="X61" s="417"/>
      <c r="Y61" s="417"/>
      <c r="Z61" s="512">
        <f>X61*Z58</f>
        <v>0</v>
      </c>
      <c r="AA61" s="128"/>
      <c r="AB61" s="457">
        <f t="shared" si="77"/>
        <v>0</v>
      </c>
      <c r="AC61" s="459" t="str">
        <f t="shared" si="78"/>
        <v/>
      </c>
      <c r="AD61" s="52"/>
      <c r="AE61" s="417"/>
      <c r="AF61" s="417"/>
      <c r="AG61" s="512">
        <f>AE61*AG58</f>
        <v>0</v>
      </c>
      <c r="AH61" s="128"/>
      <c r="AI61" s="457">
        <f t="shared" si="79"/>
        <v>0</v>
      </c>
      <c r="AJ61" s="459" t="str">
        <f t="shared" si="80"/>
        <v/>
      </c>
      <c r="AK61" s="52"/>
      <c r="AL61" s="417"/>
      <c r="AM61" s="417"/>
      <c r="AN61" s="512">
        <f>AL61*AN58</f>
        <v>0</v>
      </c>
      <c r="AO61" s="128"/>
      <c r="AP61" s="457">
        <f t="shared" si="81"/>
        <v>0</v>
      </c>
      <c r="AQ61" s="459" t="str">
        <f t="shared" si="82"/>
        <v/>
      </c>
      <c r="AR61" s="460"/>
    </row>
    <row r="62" spans="1:44" ht="12" customHeight="1">
      <c r="A62" s="52"/>
      <c r="B62" s="627" t="s">
        <v>321</v>
      </c>
      <c r="C62" s="613"/>
      <c r="D62" s="613"/>
      <c r="E62" s="461"/>
      <c r="F62" s="469"/>
      <c r="G62" s="495"/>
      <c r="H62" s="496">
        <f>H60-H61</f>
        <v>491583.80655097065</v>
      </c>
      <c r="I62" s="470"/>
      <c r="J62" s="470"/>
      <c r="K62" s="470"/>
      <c r="L62" s="471">
        <f>L60-L61</f>
        <v>487088.944897398</v>
      </c>
      <c r="M62" s="472"/>
      <c r="N62" s="473">
        <f t="shared" si="73"/>
        <v>-4494.8616535726469</v>
      </c>
      <c r="O62" s="474">
        <f t="shared" si="74"/>
        <v>-9.1436324664746459E-3</v>
      </c>
      <c r="P62" s="52"/>
      <c r="Q62" s="470"/>
      <c r="R62" s="470"/>
      <c r="S62" s="471">
        <f>S60-S61</f>
        <v>452801.09832931595</v>
      </c>
      <c r="T62" s="472"/>
      <c r="U62" s="473">
        <f t="shared" si="75"/>
        <v>-34287.846568082052</v>
      </c>
      <c r="V62" s="474">
        <f t="shared" si="76"/>
        <v>-7.0393399249298411E-2</v>
      </c>
      <c r="W62" s="52"/>
      <c r="X62" s="470"/>
      <c r="Y62" s="470"/>
      <c r="Z62" s="471">
        <f>Z60-Z61</f>
        <v>459775.40543571109</v>
      </c>
      <c r="AA62" s="472"/>
      <c r="AB62" s="473">
        <f t="shared" si="77"/>
        <v>6974.3071063951356</v>
      </c>
      <c r="AC62" s="474">
        <f t="shared" si="78"/>
        <v>1.5402584340294199E-2</v>
      </c>
      <c r="AD62" s="52"/>
      <c r="AE62" s="470"/>
      <c r="AF62" s="470"/>
      <c r="AG62" s="471">
        <f>AG60-AG61</f>
        <v>461790.46848586004</v>
      </c>
      <c r="AH62" s="472"/>
      <c r="AI62" s="473">
        <f t="shared" si="79"/>
        <v>2015.0630501489504</v>
      </c>
      <c r="AJ62" s="474">
        <f t="shared" si="80"/>
        <v>4.3827117029875797E-3</v>
      </c>
      <c r="AK62" s="52"/>
      <c r="AL62" s="470"/>
      <c r="AM62" s="470"/>
      <c r="AN62" s="471">
        <f>AN60-AN61</f>
        <v>468591.95414314012</v>
      </c>
      <c r="AO62" s="472"/>
      <c r="AP62" s="473">
        <f t="shared" si="81"/>
        <v>6801.4856572800782</v>
      </c>
      <c r="AQ62" s="474">
        <f t="shared" si="82"/>
        <v>1.4728510269129426E-2</v>
      </c>
      <c r="AR62" s="468"/>
    </row>
    <row r="63" spans="1:44" ht="12" customHeight="1">
      <c r="A63" s="52"/>
      <c r="B63" s="434"/>
      <c r="C63" s="584"/>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 customHeight="1">
      <c r="A64" s="52"/>
      <c r="B64" s="52"/>
      <c r="C64" s="577"/>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 customHeight="1">
      <c r="A65" s="52"/>
      <c r="B65" s="306" t="s">
        <v>322</v>
      </c>
      <c r="C65" s="577"/>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 customHeight="1">
      <c r="A66" s="52"/>
      <c r="B66" s="52"/>
      <c r="C66" s="577"/>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479" t="s">
        <v>426</v>
      </c>
      <c r="B67" s="52"/>
      <c r="C67" s="577"/>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c r="B68" s="52"/>
      <c r="C68" s="577"/>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t="s">
        <v>324</v>
      </c>
      <c r="B69" s="52"/>
      <c r="C69" s="577"/>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t="s">
        <v>325</v>
      </c>
      <c r="B70" s="52"/>
      <c r="C70" s="577"/>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c r="B71" s="52"/>
      <c r="C71" s="577"/>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t="s">
        <v>326</v>
      </c>
      <c r="B72" s="52"/>
      <c r="C72" s="577"/>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t="s">
        <v>327</v>
      </c>
      <c r="B73" s="52"/>
      <c r="C73" s="577"/>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77"/>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t="s">
        <v>328</v>
      </c>
      <c r="B75" s="52"/>
      <c r="C75" s="577"/>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t="s">
        <v>329</v>
      </c>
      <c r="B76" s="52"/>
      <c r="C76" s="577"/>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t="s">
        <v>330</v>
      </c>
      <c r="B77" s="52"/>
      <c r="C77" s="577"/>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t="s">
        <v>331</v>
      </c>
      <c r="B78" s="52"/>
      <c r="C78" s="577"/>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t="s">
        <v>332</v>
      </c>
      <c r="B79" s="52"/>
      <c r="C79" s="577"/>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77"/>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480"/>
      <c r="B81" s="52" t="s">
        <v>333</v>
      </c>
      <c r="C81" s="577"/>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77"/>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t="s">
        <v>334</v>
      </c>
      <c r="C83" s="577"/>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77"/>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77"/>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77"/>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77"/>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77"/>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77"/>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77"/>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77"/>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77"/>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77"/>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77"/>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77"/>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77"/>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77"/>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77"/>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77"/>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77"/>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77"/>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77"/>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77"/>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77"/>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77"/>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77"/>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77"/>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77"/>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77"/>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77"/>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77"/>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77"/>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77"/>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77"/>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77"/>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77"/>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77"/>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77"/>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77"/>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77"/>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77"/>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77"/>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77"/>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77"/>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77"/>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77"/>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77"/>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77"/>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77"/>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77"/>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77"/>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77"/>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77"/>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77"/>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77"/>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77"/>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77"/>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77"/>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77"/>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77"/>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77"/>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77"/>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77"/>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77"/>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77"/>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77"/>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77"/>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77"/>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77"/>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77"/>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77"/>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77"/>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77"/>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77"/>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77"/>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77"/>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77"/>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77"/>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77"/>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77"/>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77"/>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77"/>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77"/>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77"/>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77"/>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77"/>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77"/>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77"/>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77"/>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77"/>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77"/>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77"/>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77"/>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77"/>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77"/>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77"/>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77"/>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77"/>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77"/>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77"/>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77"/>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77"/>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77"/>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77"/>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77"/>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77"/>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77"/>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77"/>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77"/>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77"/>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77"/>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77"/>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77"/>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77"/>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77"/>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77"/>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77"/>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77"/>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77"/>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77"/>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77"/>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77"/>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77"/>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77"/>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77"/>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77"/>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77"/>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77"/>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77"/>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77"/>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77"/>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77"/>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77"/>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77"/>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77"/>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77"/>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77"/>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77"/>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77"/>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77"/>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77"/>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77"/>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77"/>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77"/>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77"/>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77"/>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77"/>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77"/>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77"/>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77"/>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77"/>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77"/>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77"/>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77"/>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77"/>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77"/>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77"/>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77"/>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77"/>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77"/>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77"/>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77"/>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77"/>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77"/>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77"/>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77"/>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77"/>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77"/>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77"/>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77"/>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77"/>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77"/>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77"/>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77"/>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77"/>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77"/>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77"/>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77"/>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77"/>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77"/>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77"/>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77"/>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77"/>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77"/>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77"/>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77"/>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77"/>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77"/>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77"/>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77"/>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77"/>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77"/>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77"/>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77"/>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77"/>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77"/>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77"/>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77"/>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77"/>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77"/>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77"/>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 customHeight="1">
      <c r="A282" s="52"/>
      <c r="B282" s="52"/>
      <c r="C282" s="577"/>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 customHeight="1">
      <c r="A283" s="52"/>
      <c r="B283" s="52"/>
      <c r="C283" s="577"/>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700-000000000000}">
      <formula1>"TOU,non-TOU"</formula1>
    </dataValidation>
    <dataValidation type="list" allowBlank="1" showErrorMessage="1" sqref="E15:E28 E30:E38 E40:E41 E43:E51 E57 E63" xr:uid="{00000000-0002-0000-2700-000001000000}">
      <formula1>#REF!</formula1>
    </dataValidation>
    <dataValidation type="list" allowBlank="1" showInputMessage="1" showErrorMessage="1" prompt="Select Charge Unit - monthly, per kWh, per kW" sqref="D15:D28 D30:D38 D40:D41 D43:D51 D57 D63" xr:uid="{00000000-0002-0000-2700-000002000000}">
      <formula1>"Monthly,per kWh,per kW"</formula1>
    </dataValidation>
  </dataValidations>
  <pageMargins left="0.74803149606299213" right="0.74803149606299213" top="0.98425196850393704" bottom="0.98425196850393704"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1000"/>
  <sheetViews>
    <sheetView showGridLines="0" workbookViewId="0">
      <pane ySplit="14" topLeftCell="A15" activePane="bottomLeft" state="frozen"/>
      <selection pane="bottomLeft" activeCell="S86" sqref="S86"/>
    </sheetView>
  </sheetViews>
  <sheetFormatPr defaultColWidth="12.5703125" defaultRowHeight="15" customHeight="1"/>
  <cols>
    <col min="1" max="1" width="2.140625" customWidth="1"/>
    <col min="2" max="2" width="26.42578125" customWidth="1"/>
    <col min="3" max="3" width="12.28515625" customWidth="1"/>
    <col min="4" max="4" width="11.42578125" customWidth="1"/>
    <col min="5" max="5" width="1.42578125" customWidth="1"/>
    <col min="6" max="6" width="18.5703125" customWidth="1"/>
    <col min="7" max="7" width="8" customWidth="1"/>
    <col min="8" max="8" width="8.28515625" customWidth="1"/>
    <col min="9" max="9" width="0.7109375" customWidth="1"/>
    <col min="10" max="10" width="10.42578125" customWidth="1"/>
    <col min="11" max="11" width="8" customWidth="1"/>
    <col min="12" max="12" width="8.7109375" customWidth="1"/>
    <col min="13" max="13" width="0.7109375" customWidth="1"/>
    <col min="14" max="14" width="9.42578125" customWidth="1"/>
    <col min="15" max="15" width="10" customWidth="1"/>
    <col min="16" max="16" width="0.42578125" customWidth="1"/>
    <col min="17" max="17" width="10.42578125" customWidth="1"/>
    <col min="18" max="18" width="8" customWidth="1"/>
    <col min="19" max="19" width="8.7109375" customWidth="1"/>
    <col min="20" max="20" width="0.7109375" customWidth="1"/>
    <col min="21" max="21" width="9.42578125" customWidth="1"/>
    <col min="22" max="22" width="10" customWidth="1"/>
    <col min="23" max="23" width="0.42578125"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1.8554687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1.7109375" customWidth="1"/>
    <col min="38" max="38" width="10.42578125" customWidth="1"/>
    <col min="39" max="39" width="8" customWidth="1"/>
    <col min="40" max="40" width="8.7109375" customWidth="1"/>
    <col min="41" max="41" width="0.7109375" customWidth="1"/>
    <col min="42" max="42" width="9.42578125" customWidth="1"/>
    <col min="43" max="43" width="10" customWidth="1"/>
    <col min="44" max="44" width="1.28515625" customWidth="1"/>
    <col min="45" max="47" width="12.42578125" customWidth="1"/>
  </cols>
  <sheetData>
    <row r="1" spans="1:47" ht="12" customHeight="1">
      <c r="A1" s="52"/>
      <c r="B1" s="52"/>
      <c r="C1" s="52"/>
      <c r="D1" s="52"/>
      <c r="E1" s="52"/>
      <c r="F1" s="52"/>
      <c r="G1" s="52"/>
      <c r="H1" s="52"/>
      <c r="I1" s="52"/>
      <c r="J1" s="52"/>
      <c r="K1" s="52"/>
      <c r="Q1" s="52"/>
      <c r="R1" s="52"/>
      <c r="S1" s="619" t="s">
        <v>290</v>
      </c>
      <c r="T1" s="620"/>
      <c r="U1" s="620"/>
      <c r="V1" s="620"/>
      <c r="W1" s="620"/>
      <c r="X1" s="620"/>
      <c r="Y1" s="621"/>
      <c r="Z1" s="52"/>
      <c r="AA1" s="52"/>
      <c r="AB1" s="52"/>
      <c r="AC1" s="52"/>
      <c r="AD1" s="52"/>
      <c r="AE1" s="52"/>
      <c r="AF1" s="52"/>
      <c r="AG1" s="52"/>
      <c r="AH1" s="52"/>
      <c r="AI1" s="52"/>
      <c r="AJ1" s="52"/>
      <c r="AK1" s="52"/>
      <c r="AL1" s="52"/>
      <c r="AM1" s="52"/>
      <c r="AN1" s="52"/>
      <c r="AO1" s="52"/>
      <c r="AP1" s="52"/>
      <c r="AQ1" s="52"/>
      <c r="AR1" s="52"/>
    </row>
    <row r="2" spans="1:47" ht="12" customHeight="1">
      <c r="A2" s="52"/>
      <c r="B2" s="52"/>
      <c r="C2" s="379"/>
      <c r="D2" s="379"/>
      <c r="E2" s="379"/>
      <c r="F2" s="379" t="s">
        <v>291</v>
      </c>
      <c r="G2" s="379"/>
      <c r="H2" s="379"/>
      <c r="I2" s="379"/>
      <c r="J2" s="379"/>
      <c r="K2" s="379"/>
      <c r="L2" s="379"/>
      <c r="M2" s="379"/>
      <c r="N2" s="379"/>
      <c r="O2" s="379"/>
      <c r="Q2" s="52"/>
      <c r="R2" s="52"/>
      <c r="S2" s="380">
        <f>'Res (100)'!$S$2</f>
        <v>1</v>
      </c>
      <c r="T2" s="634" t="s">
        <v>292</v>
      </c>
      <c r="U2" s="620"/>
      <c r="V2" s="620"/>
      <c r="W2" s="620"/>
      <c r="X2" s="620"/>
      <c r="Y2" s="621"/>
      <c r="Z2" s="52"/>
      <c r="AA2" s="52"/>
      <c r="AB2" s="52"/>
      <c r="AC2" s="52"/>
      <c r="AD2" s="52"/>
      <c r="AE2" s="52"/>
      <c r="AF2" s="52"/>
      <c r="AG2" s="52"/>
      <c r="AH2" s="52"/>
      <c r="AI2" s="52"/>
      <c r="AJ2" s="52"/>
      <c r="AK2" s="52"/>
      <c r="AL2" s="52"/>
      <c r="AM2" s="52"/>
      <c r="AN2" s="52"/>
      <c r="AO2" s="52"/>
      <c r="AP2" s="52"/>
      <c r="AQ2" s="52"/>
      <c r="AR2" s="52"/>
    </row>
    <row r="3" spans="1:47" ht="12" customHeight="1">
      <c r="A3" s="52"/>
      <c r="B3" s="52"/>
      <c r="C3" s="379"/>
      <c r="D3" s="379"/>
      <c r="E3" s="379"/>
      <c r="F3" s="379" t="s">
        <v>293</v>
      </c>
      <c r="G3" s="379"/>
      <c r="H3" s="379"/>
      <c r="I3" s="379"/>
      <c r="J3" s="379"/>
      <c r="K3" s="379"/>
      <c r="L3" s="379"/>
      <c r="M3" s="379"/>
      <c r="N3" s="379"/>
      <c r="O3" s="379"/>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row>
    <row r="4" spans="1:47" ht="12" customHeight="1">
      <c r="A4" s="52"/>
      <c r="B4" s="52"/>
      <c r="C4" s="52"/>
      <c r="D4" s="52"/>
      <c r="E4" s="52"/>
      <c r="F4" s="52"/>
      <c r="G4" s="52"/>
      <c r="H4" s="52"/>
      <c r="I4" s="52"/>
      <c r="J4" s="52"/>
      <c r="K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row>
    <row r="5" spans="1:47" ht="12" customHeight="1">
      <c r="A5" s="52"/>
      <c r="B5" s="52"/>
      <c r="C5" s="52"/>
      <c r="D5" s="52"/>
      <c r="E5" s="52"/>
      <c r="F5" s="52"/>
      <c r="G5" s="52"/>
      <c r="H5" s="52"/>
      <c r="I5" s="52"/>
      <c r="J5" s="52"/>
      <c r="K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row>
    <row r="6" spans="1:47" ht="12" customHeight="1">
      <c r="A6" s="52"/>
      <c r="B6" s="319" t="s">
        <v>294</v>
      </c>
      <c r="C6" s="52"/>
      <c r="D6" s="505" t="s">
        <v>226</v>
      </c>
      <c r="E6" s="506"/>
      <c r="F6" s="506"/>
      <c r="G6" s="506"/>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3"/>
      <c r="AT6" s="3"/>
      <c r="AU6" s="3"/>
    </row>
    <row r="7" spans="1:47" ht="12" customHeight="1">
      <c r="A7" s="52"/>
      <c r="B7" s="383"/>
      <c r="C7" s="52"/>
      <c r="D7" s="384"/>
      <c r="E7" s="384"/>
      <c r="F7" s="384"/>
      <c r="G7" s="384"/>
      <c r="H7" s="384"/>
      <c r="I7" s="384"/>
      <c r="J7" s="384"/>
      <c r="K7" s="384"/>
      <c r="L7" s="384"/>
      <c r="M7" s="384"/>
      <c r="N7" s="384"/>
      <c r="O7" s="384"/>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3"/>
      <c r="AT7" s="3"/>
      <c r="AU7" s="3"/>
    </row>
    <row r="8" spans="1:47" ht="12" customHeight="1">
      <c r="A8" s="52"/>
      <c r="B8" s="319" t="s">
        <v>295</v>
      </c>
      <c r="C8" s="52"/>
      <c r="D8" s="385" t="s">
        <v>296</v>
      </c>
      <c r="E8" s="384"/>
      <c r="F8" s="384"/>
      <c r="G8" s="384"/>
      <c r="H8" s="384"/>
      <c r="I8" s="384"/>
      <c r="J8" s="384"/>
      <c r="K8" s="384"/>
      <c r="L8" s="384"/>
      <c r="M8" s="384"/>
      <c r="N8" s="384"/>
      <c r="O8" s="384"/>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row>
    <row r="9" spans="1:47" ht="12" customHeight="1">
      <c r="A9" s="52"/>
      <c r="B9" s="383"/>
      <c r="C9" s="52"/>
      <c r="D9" s="306" t="s">
        <v>297</v>
      </c>
      <c r="E9" s="306"/>
      <c r="F9" s="386">
        <v>470</v>
      </c>
      <c r="G9" s="306" t="s">
        <v>298</v>
      </c>
      <c r="H9" s="384"/>
      <c r="I9" s="384"/>
      <c r="J9" s="384"/>
      <c r="K9" s="384"/>
      <c r="L9" s="384"/>
      <c r="M9" s="384"/>
      <c r="N9" s="384"/>
      <c r="O9" s="384"/>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row>
    <row r="10" spans="1:47" ht="12" customHeight="1">
      <c r="A10" s="52"/>
      <c r="B10" s="52"/>
      <c r="C10" s="52"/>
      <c r="D10" s="52"/>
      <c r="E10" s="52"/>
      <c r="F10" s="565">
        <v>0</v>
      </c>
      <c r="G10" s="306" t="s">
        <v>376</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7" ht="12" customHeight="1">
      <c r="A11" s="551"/>
      <c r="B11" s="52"/>
      <c r="C11" s="52"/>
      <c r="F11" s="387">
        <v>4</v>
      </c>
      <c r="G11" s="387"/>
      <c r="H11" s="387" t="str">
        <f>F12</f>
        <v>2025A</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c r="AR11" s="387"/>
    </row>
    <row r="12" spans="1:47" ht="12" customHeight="1">
      <c r="A12" s="551"/>
      <c r="B12" s="52"/>
      <c r="C12" s="52"/>
      <c r="D12" s="306"/>
      <c r="E12" s="306"/>
      <c r="F12" s="625" t="s">
        <v>1</v>
      </c>
      <c r="G12" s="589"/>
      <c r="H12" s="590"/>
      <c r="I12" s="52"/>
      <c r="J12" s="625" t="s">
        <v>2</v>
      </c>
      <c r="K12" s="589"/>
      <c r="L12" s="590"/>
      <c r="M12" s="52"/>
      <c r="N12" s="626" t="str">
        <f>"Impact "&amp;F12&amp;" vs "&amp;J12</f>
        <v>Impact 2025A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52"/>
      <c r="AL12" s="625" t="s">
        <v>6</v>
      </c>
      <c r="AM12" s="589"/>
      <c r="AN12" s="590"/>
      <c r="AO12" s="52"/>
      <c r="AP12" s="626" t="str">
        <f>"Impact "&amp;AE12&amp;" vs "&amp;AL12</f>
        <v>Impact 2029F vs 2030F</v>
      </c>
      <c r="AQ12" s="590"/>
      <c r="AR12" s="309"/>
    </row>
    <row r="13" spans="1:47" ht="12" customHeight="1">
      <c r="A13" s="551"/>
      <c r="B13" s="52"/>
      <c r="C13" s="52"/>
      <c r="D13" s="633" t="s">
        <v>299</v>
      </c>
      <c r="E13" s="309"/>
      <c r="F13" s="389" t="s">
        <v>300</v>
      </c>
      <c r="G13" s="389"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52"/>
      <c r="AL13" s="389" t="s">
        <v>300</v>
      </c>
      <c r="AM13" s="390" t="s">
        <v>301</v>
      </c>
      <c r="AN13" s="391" t="s">
        <v>302</v>
      </c>
      <c r="AO13" s="52"/>
      <c r="AP13" s="629" t="s">
        <v>303</v>
      </c>
      <c r="AQ13" s="631" t="s">
        <v>304</v>
      </c>
      <c r="AR13" s="388"/>
    </row>
    <row r="14" spans="1:47" ht="12" customHeight="1">
      <c r="A14" s="551"/>
      <c r="B14" s="52"/>
      <c r="C14" s="52"/>
      <c r="D14" s="615"/>
      <c r="E14" s="309"/>
      <c r="F14" s="392" t="s">
        <v>305</v>
      </c>
      <c r="G14" s="48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52"/>
      <c r="AL14" s="392" t="s">
        <v>305</v>
      </c>
      <c r="AM14" s="393"/>
      <c r="AN14" s="394" t="s">
        <v>305</v>
      </c>
      <c r="AO14" s="52"/>
      <c r="AP14" s="630"/>
      <c r="AQ14" s="632"/>
      <c r="AR14" s="388"/>
    </row>
    <row r="15" spans="1:47" ht="12" customHeight="1">
      <c r="A15" s="551"/>
      <c r="B15" s="320" t="s">
        <v>218</v>
      </c>
      <c r="C15" s="395" t="str">
        <f t="shared" ref="C15:C28" si="0">D$6&amp;"."&amp;B15</f>
        <v>Unmetered Scattered Load.Monthly Service Charge</v>
      </c>
      <c r="D15" s="396" t="s">
        <v>306</v>
      </c>
      <c r="E15" s="320"/>
      <c r="F15" s="397">
        <f>IFERROR(VLOOKUP($C15,'Proposed Rates'!$B:$J,F$11,FALSE),0)</f>
        <v>7.09</v>
      </c>
      <c r="G15" s="415">
        <f t="shared" ref="G15:G28" si="1">IF($D15="Monthly",1,IF($D15="per KW",$F$10,IF($D15="per kWh",$F$9,0)))</f>
        <v>1</v>
      </c>
      <c r="H15" s="400">
        <f t="shared" ref="H15:H28" si="2">G15*F15</f>
        <v>7.09</v>
      </c>
      <c r="I15" s="128"/>
      <c r="J15" s="397">
        <f>IFERROR(VLOOKUP($C15,'Proposed Rates'!$B:$J,J$11,FALSE),0)</f>
        <v>8.1300000000000008</v>
      </c>
      <c r="K15" s="415">
        <f t="shared" ref="K15:K28" si="3">IF($D15="Monthly",1,IF($D15="per KW",$F$10,IF($D15="per kWh",$F$9,0)))</f>
        <v>1</v>
      </c>
      <c r="L15" s="400">
        <f t="shared" ref="L15:L28" si="4">K15*J15</f>
        <v>8.1300000000000008</v>
      </c>
      <c r="M15" s="128"/>
      <c r="N15" s="401">
        <f t="shared" ref="N15:N31" si="5">L15-H15</f>
        <v>1.0400000000000009</v>
      </c>
      <c r="O15" s="402">
        <f t="shared" ref="O15:O31" si="6">IF((H15)=0,"",(N15/H15))</f>
        <v>0.14668547249647404</v>
      </c>
      <c r="P15" s="52"/>
      <c r="Q15" s="397">
        <f>IFERROR(VLOOKUP($C15,'Proposed Rates'!$B:$J,Q$11,FALSE),0)</f>
        <v>8.69</v>
      </c>
      <c r="R15" s="415">
        <f t="shared" ref="R15:R28" si="7">IF($D15="Monthly",1,IF($D15="per KW",$F$10,IF($D15="per kWh",$F$9,0)))</f>
        <v>1</v>
      </c>
      <c r="S15" s="400">
        <f t="shared" ref="S15:S28" si="8">R15*Q15</f>
        <v>8.69</v>
      </c>
      <c r="T15" s="128"/>
      <c r="U15" s="401">
        <f t="shared" ref="U15:U31" si="9">S15-L15</f>
        <v>0.55999999999999872</v>
      </c>
      <c r="V15" s="402">
        <f t="shared" ref="V15:V31" si="10">IF((L15)=0,"",(U15/L15))</f>
        <v>6.8880688806887899E-2</v>
      </c>
      <c r="W15" s="52"/>
      <c r="X15" s="397">
        <f>IFERROR(VLOOKUP($C15,'Proposed Rates'!$B:$J,X$11,FALSE),0)</f>
        <v>9.39</v>
      </c>
      <c r="Y15" s="415">
        <f t="shared" ref="Y15:Y28" si="11">IF($D15="Monthly",1,IF($D15="per KW",$F$10,IF($D15="per kWh",$F$9,0)))</f>
        <v>1</v>
      </c>
      <c r="Z15" s="400">
        <f t="shared" ref="Z15:Z28" si="12">Y15*X15</f>
        <v>9.39</v>
      </c>
      <c r="AA15" s="128"/>
      <c r="AB15" s="401">
        <f t="shared" ref="AB15:AB34" si="13">Z15-S15</f>
        <v>0.70000000000000107</v>
      </c>
      <c r="AC15" s="402">
        <f t="shared" ref="AC15:AC34" si="14">IF((S15)=0,"",(AB15/S15))</f>
        <v>8.0552359033371823E-2</v>
      </c>
      <c r="AD15" s="52"/>
      <c r="AE15" s="397">
        <f>IFERROR(VLOOKUP($C15,'Proposed Rates'!$B:$J,AE$11,FALSE),0)</f>
        <v>9.98</v>
      </c>
      <c r="AF15" s="415">
        <f t="shared" ref="AF15:AF28" si="15">IF($D15="Monthly",1,IF($D15="per KW",$F$10,IF($D15="per kWh",$F$9,0)))</f>
        <v>1</v>
      </c>
      <c r="AG15" s="400">
        <f t="shared" ref="AG15:AG28" si="16">AF15*AE15</f>
        <v>9.98</v>
      </c>
      <c r="AH15" s="128"/>
      <c r="AI15" s="401">
        <f t="shared" ref="AI15:AI50" si="17">AG15-Z15</f>
        <v>0.58999999999999986</v>
      </c>
      <c r="AJ15" s="402">
        <f t="shared" ref="AJ15:AJ50" si="18">IF((Z15)=0,"",(AI15/Z15))</f>
        <v>6.2832800851970155E-2</v>
      </c>
      <c r="AK15" s="52"/>
      <c r="AL15" s="397">
        <f>IFERROR(VLOOKUP($C15,'Proposed Rates'!$B:$J,AL$11,FALSE),0)</f>
        <v>10.55</v>
      </c>
      <c r="AM15" s="415">
        <f t="shared" ref="AM15:AM28" si="19">IF($D15="Monthly",1,IF($D15="per KW",$F$10,IF($D15="per kWh",$F$9,0)))</f>
        <v>1</v>
      </c>
      <c r="AN15" s="400">
        <f t="shared" ref="AN15:AN28" si="20">AM15*AL15</f>
        <v>10.55</v>
      </c>
      <c r="AO15" s="128"/>
      <c r="AP15" s="401">
        <f t="shared" ref="AP15:AP31" si="21">AN15-AG15</f>
        <v>0.57000000000000028</v>
      </c>
      <c r="AQ15" s="402">
        <f t="shared" ref="AQ15:AQ31" si="22">IF((AG15)=0,"",(AP15/AG15))</f>
        <v>5.7114228456913857E-2</v>
      </c>
      <c r="AR15" s="403"/>
    </row>
    <row r="16" spans="1:47" ht="12" customHeight="1">
      <c r="A16" s="551"/>
      <c r="B16" s="320" t="s">
        <v>307</v>
      </c>
      <c r="C16" s="395" t="str">
        <f t="shared" si="0"/>
        <v>Unmetered Scattered Load.Smart Meter Rate Adder</v>
      </c>
      <c r="D16" s="396" t="s">
        <v>306</v>
      </c>
      <c r="E16" s="320"/>
      <c r="F16" s="397">
        <f>IFERROR(VLOOKUP($C16,'Proposed Rates'!$B:$J,F$11,FALSE),0)</f>
        <v>0</v>
      </c>
      <c r="G16" s="415">
        <f t="shared" si="1"/>
        <v>1</v>
      </c>
      <c r="H16" s="400">
        <f t="shared" si="2"/>
        <v>0</v>
      </c>
      <c r="I16" s="128"/>
      <c r="J16" s="397">
        <f>IFERROR(VLOOKUP($C16,'Proposed Rates'!$B:$J,J$11,FALSE),0)</f>
        <v>0</v>
      </c>
      <c r="K16" s="415">
        <f t="shared" si="3"/>
        <v>1</v>
      </c>
      <c r="L16" s="400">
        <f t="shared" si="4"/>
        <v>0</v>
      </c>
      <c r="M16" s="128"/>
      <c r="N16" s="401">
        <f t="shared" si="5"/>
        <v>0</v>
      </c>
      <c r="O16" s="402" t="str">
        <f t="shared" si="6"/>
        <v/>
      </c>
      <c r="P16" s="52"/>
      <c r="Q16" s="397">
        <f>IFERROR(VLOOKUP($C16,'Proposed Rates'!$B:$J,Q$11,FALSE),0)</f>
        <v>0</v>
      </c>
      <c r="R16" s="415">
        <f t="shared" si="7"/>
        <v>1</v>
      </c>
      <c r="S16" s="400">
        <f t="shared" si="8"/>
        <v>0</v>
      </c>
      <c r="T16" s="128"/>
      <c r="U16" s="401">
        <f t="shared" si="9"/>
        <v>0</v>
      </c>
      <c r="V16" s="402" t="str">
        <f t="shared" si="10"/>
        <v/>
      </c>
      <c r="W16" s="52"/>
      <c r="X16" s="397">
        <f>IFERROR(VLOOKUP($C16,'Proposed Rates'!$B:$J,X$11,FALSE),0)</f>
        <v>0</v>
      </c>
      <c r="Y16" s="415">
        <f t="shared" si="11"/>
        <v>1</v>
      </c>
      <c r="Z16" s="400">
        <f t="shared" si="12"/>
        <v>0</v>
      </c>
      <c r="AA16" s="128"/>
      <c r="AB16" s="401">
        <f t="shared" si="13"/>
        <v>0</v>
      </c>
      <c r="AC16" s="402" t="str">
        <f t="shared" si="14"/>
        <v/>
      </c>
      <c r="AD16" s="52"/>
      <c r="AE16" s="397">
        <f>IFERROR(VLOOKUP($C16,'Proposed Rates'!$B:$J,AE$11,FALSE),0)</f>
        <v>0</v>
      </c>
      <c r="AF16" s="415">
        <f t="shared" si="15"/>
        <v>1</v>
      </c>
      <c r="AG16" s="400">
        <f t="shared" si="16"/>
        <v>0</v>
      </c>
      <c r="AH16" s="128"/>
      <c r="AI16" s="401">
        <f t="shared" si="17"/>
        <v>0</v>
      </c>
      <c r="AJ16" s="402" t="str">
        <f t="shared" si="18"/>
        <v/>
      </c>
      <c r="AK16" s="52"/>
      <c r="AL16" s="397">
        <f>IFERROR(VLOOKUP($C16,'Proposed Rates'!$B:$J,AL$11,FALSE),0)</f>
        <v>0</v>
      </c>
      <c r="AM16" s="415">
        <f t="shared" si="19"/>
        <v>1</v>
      </c>
      <c r="AN16" s="400">
        <f t="shared" si="20"/>
        <v>0</v>
      </c>
      <c r="AO16" s="128"/>
      <c r="AP16" s="401">
        <f t="shared" si="21"/>
        <v>0</v>
      </c>
      <c r="AQ16" s="402" t="str">
        <f t="shared" si="22"/>
        <v/>
      </c>
      <c r="AR16" s="403"/>
    </row>
    <row r="17" spans="1:44" ht="12" customHeight="1">
      <c r="A17" s="551"/>
      <c r="B17" s="404" t="str">
        <f>'Proposed Rates'!C115</f>
        <v>Rate Rider Calculation for PILs</v>
      </c>
      <c r="C17" s="395" t="str">
        <f t="shared" si="0"/>
        <v>Unmetered Scattered Load.Rate Rider Calculation for PILs</v>
      </c>
      <c r="D17" s="396" t="s">
        <v>308</v>
      </c>
      <c r="E17" s="320"/>
      <c r="F17" s="397">
        <f>IFERROR(VLOOKUP($C17,'Proposed Rates'!$B:$J,F$11,FALSE),0)</f>
        <v>0</v>
      </c>
      <c r="G17" s="415">
        <f t="shared" si="1"/>
        <v>470</v>
      </c>
      <c r="H17" s="400">
        <f t="shared" si="2"/>
        <v>0</v>
      </c>
      <c r="I17" s="128"/>
      <c r="J17" s="397">
        <f>IFERROR(VLOOKUP($C17,'Proposed Rates'!$B:$J,J$11,FALSE),0)</f>
        <v>0</v>
      </c>
      <c r="K17" s="415">
        <f t="shared" si="3"/>
        <v>470</v>
      </c>
      <c r="L17" s="400">
        <f t="shared" si="4"/>
        <v>0</v>
      </c>
      <c r="M17" s="128"/>
      <c r="N17" s="401">
        <f t="shared" si="5"/>
        <v>0</v>
      </c>
      <c r="O17" s="402" t="str">
        <f t="shared" si="6"/>
        <v/>
      </c>
      <c r="P17" s="52"/>
      <c r="Q17" s="397">
        <f>IFERROR(VLOOKUP($C17,'Proposed Rates'!$B:$J,Q$11,FALSE),0)</f>
        <v>0</v>
      </c>
      <c r="R17" s="415">
        <f t="shared" si="7"/>
        <v>470</v>
      </c>
      <c r="S17" s="400">
        <f t="shared" si="8"/>
        <v>0</v>
      </c>
      <c r="T17" s="128"/>
      <c r="U17" s="401">
        <f t="shared" si="9"/>
        <v>0</v>
      </c>
      <c r="V17" s="402" t="str">
        <f t="shared" si="10"/>
        <v/>
      </c>
      <c r="W17" s="52"/>
      <c r="X17" s="397">
        <f>IFERROR(VLOOKUP($C17,'Proposed Rates'!$B:$J,X$11,FALSE),0)</f>
        <v>0</v>
      </c>
      <c r="Y17" s="415">
        <f t="shared" si="11"/>
        <v>470</v>
      </c>
      <c r="Z17" s="400">
        <f t="shared" si="12"/>
        <v>0</v>
      </c>
      <c r="AA17" s="128"/>
      <c r="AB17" s="401">
        <f t="shared" si="13"/>
        <v>0</v>
      </c>
      <c r="AC17" s="402" t="str">
        <f t="shared" si="14"/>
        <v/>
      </c>
      <c r="AD17" s="52"/>
      <c r="AE17" s="397">
        <f>IFERROR(VLOOKUP($C17,'Proposed Rates'!$B:$J,AE$11,FALSE),0)</f>
        <v>0</v>
      </c>
      <c r="AF17" s="415">
        <f t="shared" si="15"/>
        <v>470</v>
      </c>
      <c r="AG17" s="400">
        <f t="shared" si="16"/>
        <v>0</v>
      </c>
      <c r="AH17" s="128"/>
      <c r="AI17" s="401">
        <f t="shared" si="17"/>
        <v>0</v>
      </c>
      <c r="AJ17" s="402" t="str">
        <f t="shared" si="18"/>
        <v/>
      </c>
      <c r="AK17" s="52"/>
      <c r="AL17" s="397">
        <f>IFERROR(VLOOKUP($C17,'Proposed Rates'!$B:$J,AL$11,FALSE),0)</f>
        <v>0</v>
      </c>
      <c r="AM17" s="415">
        <f t="shared" si="19"/>
        <v>470</v>
      </c>
      <c r="AN17" s="400">
        <f t="shared" si="20"/>
        <v>0</v>
      </c>
      <c r="AO17" s="128"/>
      <c r="AP17" s="401">
        <f t="shared" si="21"/>
        <v>0</v>
      </c>
      <c r="AQ17" s="402" t="str">
        <f t="shared" si="22"/>
        <v/>
      </c>
      <c r="AR17" s="403"/>
    </row>
    <row r="18" spans="1:44" ht="12" customHeight="1">
      <c r="A18" s="551"/>
      <c r="B18" s="404" t="str">
        <f>'Proposed Rates'!C128</f>
        <v>Rate Rider Calculation for Generic</v>
      </c>
      <c r="C18" s="395" t="str">
        <f t="shared" si="0"/>
        <v>Unmetered Scattered Load.Rate Rider Calculation for Generic</v>
      </c>
      <c r="D18" s="396" t="s">
        <v>308</v>
      </c>
      <c r="E18" s="320"/>
      <c r="F18" s="397">
        <f>IFERROR(VLOOKUP($C18,'Proposed Rates'!$B:$J,F$11,FALSE),0)</f>
        <v>0</v>
      </c>
      <c r="G18" s="415">
        <f t="shared" si="1"/>
        <v>470</v>
      </c>
      <c r="H18" s="400">
        <f t="shared" si="2"/>
        <v>0</v>
      </c>
      <c r="I18" s="128"/>
      <c r="J18" s="397">
        <f>IFERROR(VLOOKUP($C18,'Proposed Rates'!$B:$J,J$11,FALSE),0)</f>
        <v>0</v>
      </c>
      <c r="K18" s="415">
        <f t="shared" si="3"/>
        <v>470</v>
      </c>
      <c r="L18" s="400">
        <f t="shared" si="4"/>
        <v>0</v>
      </c>
      <c r="M18" s="128"/>
      <c r="N18" s="401">
        <f t="shared" si="5"/>
        <v>0</v>
      </c>
      <c r="O18" s="402" t="str">
        <f t="shared" si="6"/>
        <v/>
      </c>
      <c r="P18" s="52"/>
      <c r="Q18" s="397">
        <f>IFERROR(VLOOKUP($C18,'Proposed Rates'!$B:$J,Q$11,FALSE),0)</f>
        <v>0</v>
      </c>
      <c r="R18" s="415">
        <f t="shared" si="7"/>
        <v>470</v>
      </c>
      <c r="S18" s="400">
        <f t="shared" si="8"/>
        <v>0</v>
      </c>
      <c r="T18" s="128"/>
      <c r="U18" s="401">
        <f t="shared" si="9"/>
        <v>0</v>
      </c>
      <c r="V18" s="402" t="str">
        <f t="shared" si="10"/>
        <v/>
      </c>
      <c r="W18" s="52"/>
      <c r="X18" s="397">
        <f>IFERROR(VLOOKUP($C18,'Proposed Rates'!$B:$J,X$11,FALSE),0)</f>
        <v>0</v>
      </c>
      <c r="Y18" s="415">
        <f t="shared" si="11"/>
        <v>470</v>
      </c>
      <c r="Z18" s="400">
        <f t="shared" si="12"/>
        <v>0</v>
      </c>
      <c r="AA18" s="128"/>
      <c r="AB18" s="401">
        <f t="shared" si="13"/>
        <v>0</v>
      </c>
      <c r="AC18" s="402" t="str">
        <f t="shared" si="14"/>
        <v/>
      </c>
      <c r="AD18" s="52"/>
      <c r="AE18" s="397">
        <f>IFERROR(VLOOKUP($C18,'Proposed Rates'!$B:$J,AE$11,FALSE),0)</f>
        <v>0</v>
      </c>
      <c r="AF18" s="415">
        <f t="shared" si="15"/>
        <v>470</v>
      </c>
      <c r="AG18" s="400">
        <f t="shared" si="16"/>
        <v>0</v>
      </c>
      <c r="AH18" s="128"/>
      <c r="AI18" s="401">
        <f t="shared" si="17"/>
        <v>0</v>
      </c>
      <c r="AJ18" s="402" t="str">
        <f t="shared" si="18"/>
        <v/>
      </c>
      <c r="AK18" s="52"/>
      <c r="AL18" s="397">
        <f>IFERROR(VLOOKUP($C18,'Proposed Rates'!$B:$J,AL$11,FALSE),0)</f>
        <v>0</v>
      </c>
      <c r="AM18" s="415">
        <f t="shared" si="19"/>
        <v>470</v>
      </c>
      <c r="AN18" s="400">
        <f t="shared" si="20"/>
        <v>0</v>
      </c>
      <c r="AO18" s="128"/>
      <c r="AP18" s="401">
        <f t="shared" si="21"/>
        <v>0</v>
      </c>
      <c r="AQ18" s="402" t="str">
        <f t="shared" si="22"/>
        <v/>
      </c>
      <c r="AR18" s="403"/>
    </row>
    <row r="19" spans="1:44" ht="12" customHeight="1">
      <c r="A19" s="551"/>
      <c r="B19" s="320" t="s">
        <v>59</v>
      </c>
      <c r="C19" s="395" t="str">
        <f t="shared" si="0"/>
        <v>Unmetered Scattered Load.Distribution Volumetric Rate</v>
      </c>
      <c r="D19" s="396" t="s">
        <v>308</v>
      </c>
      <c r="E19" s="320"/>
      <c r="F19" s="414">
        <f>IFERROR(VLOOKUP($C19,'Proposed Rates'!$B:$J,F$11,FALSE),0)</f>
        <v>3.3799999999999997E-2</v>
      </c>
      <c r="G19" s="415">
        <f t="shared" si="1"/>
        <v>470</v>
      </c>
      <c r="H19" s="400">
        <f t="shared" si="2"/>
        <v>15.885999999999999</v>
      </c>
      <c r="I19" s="128"/>
      <c r="J19" s="414">
        <f>IFERROR(VLOOKUP($C19,'Proposed Rates'!$B:$J,J$11,FALSE),0)</f>
        <v>3.8800000000000001E-2</v>
      </c>
      <c r="K19" s="415">
        <f t="shared" si="3"/>
        <v>470</v>
      </c>
      <c r="L19" s="400">
        <f t="shared" si="4"/>
        <v>18.236000000000001</v>
      </c>
      <c r="M19" s="128"/>
      <c r="N19" s="401">
        <f t="shared" si="5"/>
        <v>2.3500000000000014</v>
      </c>
      <c r="O19" s="402">
        <f t="shared" si="6"/>
        <v>0.14792899408284033</v>
      </c>
      <c r="P19" s="52"/>
      <c r="Q19" s="414">
        <f>IFERROR(VLOOKUP($C19,'Proposed Rates'!$B:$J,Q$11,FALSE),0)</f>
        <v>4.1500000000000002E-2</v>
      </c>
      <c r="R19" s="415">
        <f t="shared" si="7"/>
        <v>470</v>
      </c>
      <c r="S19" s="400">
        <f t="shared" si="8"/>
        <v>19.505000000000003</v>
      </c>
      <c r="T19" s="128"/>
      <c r="U19" s="401">
        <f t="shared" si="9"/>
        <v>1.2690000000000019</v>
      </c>
      <c r="V19" s="402">
        <f t="shared" si="10"/>
        <v>6.9587628865979481E-2</v>
      </c>
      <c r="W19" s="52"/>
      <c r="X19" s="414">
        <f>IFERROR(VLOOKUP($C19,'Proposed Rates'!$B:$J,X$11,FALSE),0)</f>
        <v>4.4900000000000002E-2</v>
      </c>
      <c r="Y19" s="415">
        <f t="shared" si="11"/>
        <v>470</v>
      </c>
      <c r="Z19" s="400">
        <f t="shared" si="12"/>
        <v>21.103000000000002</v>
      </c>
      <c r="AA19" s="128"/>
      <c r="AB19" s="401">
        <f t="shared" si="13"/>
        <v>1.597999999999999</v>
      </c>
      <c r="AC19" s="402">
        <f t="shared" si="14"/>
        <v>8.1927710843373427E-2</v>
      </c>
      <c r="AD19" s="52"/>
      <c r="AE19" s="414">
        <f>IFERROR(VLOOKUP($C19,'Proposed Rates'!$B:$J,AE$11,FALSE),0)</f>
        <v>4.7699999999999999E-2</v>
      </c>
      <c r="AF19" s="415">
        <f t="shared" si="15"/>
        <v>470</v>
      </c>
      <c r="AG19" s="400">
        <f t="shared" si="16"/>
        <v>22.419</v>
      </c>
      <c r="AH19" s="128"/>
      <c r="AI19" s="401">
        <f t="shared" si="17"/>
        <v>1.3159999999999989</v>
      </c>
      <c r="AJ19" s="402">
        <f t="shared" si="18"/>
        <v>6.2360801781737141E-2</v>
      </c>
      <c r="AK19" s="52"/>
      <c r="AL19" s="414">
        <f>IFERROR(VLOOKUP($C19,'Proposed Rates'!$B:$J,AL$11,FALSE),0)</f>
        <v>5.0500000000000003E-2</v>
      </c>
      <c r="AM19" s="415">
        <f t="shared" si="19"/>
        <v>470</v>
      </c>
      <c r="AN19" s="400">
        <f t="shared" si="20"/>
        <v>23.735000000000003</v>
      </c>
      <c r="AO19" s="128"/>
      <c r="AP19" s="401">
        <f t="shared" si="21"/>
        <v>1.3160000000000025</v>
      </c>
      <c r="AQ19" s="402">
        <f t="shared" si="22"/>
        <v>5.8700209643605977E-2</v>
      </c>
      <c r="AR19" s="403"/>
    </row>
    <row r="20" spans="1:44" ht="12" customHeight="1">
      <c r="A20" s="551"/>
      <c r="B20" s="320" t="s">
        <v>309</v>
      </c>
      <c r="C20" s="395" t="str">
        <f t="shared" si="0"/>
        <v>Unmetered Scattered Load.Smart Meter Disposition Rider</v>
      </c>
      <c r="D20" s="396" t="s">
        <v>308</v>
      </c>
      <c r="E20" s="320"/>
      <c r="F20" s="397">
        <f>IFERROR(VLOOKUP($C20,'Proposed Rates'!$B:$J,F$11,FALSE),0)</f>
        <v>0</v>
      </c>
      <c r="G20" s="415">
        <f t="shared" si="1"/>
        <v>470</v>
      </c>
      <c r="H20" s="400">
        <f t="shared" si="2"/>
        <v>0</v>
      </c>
      <c r="I20" s="128"/>
      <c r="J20" s="397">
        <f>IFERROR(VLOOKUP($C20,'Proposed Rates'!$B:$J,J$11,FALSE),0)</f>
        <v>0</v>
      </c>
      <c r="K20" s="415">
        <f t="shared" si="3"/>
        <v>470</v>
      </c>
      <c r="L20" s="400">
        <f t="shared" si="4"/>
        <v>0</v>
      </c>
      <c r="M20" s="128"/>
      <c r="N20" s="401">
        <f t="shared" si="5"/>
        <v>0</v>
      </c>
      <c r="O20" s="402" t="str">
        <f t="shared" si="6"/>
        <v/>
      </c>
      <c r="P20" s="52"/>
      <c r="Q20" s="397">
        <f>IFERROR(VLOOKUP($C20,'Proposed Rates'!$B:$J,Q$11,FALSE),0)</f>
        <v>0</v>
      </c>
      <c r="R20" s="415">
        <f t="shared" si="7"/>
        <v>470</v>
      </c>
      <c r="S20" s="400">
        <f t="shared" si="8"/>
        <v>0</v>
      </c>
      <c r="T20" s="128"/>
      <c r="U20" s="401">
        <f t="shared" si="9"/>
        <v>0</v>
      </c>
      <c r="V20" s="402" t="str">
        <f t="shared" si="10"/>
        <v/>
      </c>
      <c r="W20" s="52"/>
      <c r="X20" s="397">
        <f>IFERROR(VLOOKUP($C20,'Proposed Rates'!$B:$J,X$11,FALSE),0)</f>
        <v>0</v>
      </c>
      <c r="Y20" s="415">
        <f t="shared" si="11"/>
        <v>470</v>
      </c>
      <c r="Z20" s="400">
        <f t="shared" si="12"/>
        <v>0</v>
      </c>
      <c r="AA20" s="128"/>
      <c r="AB20" s="401">
        <f t="shared" si="13"/>
        <v>0</v>
      </c>
      <c r="AC20" s="402" t="str">
        <f t="shared" si="14"/>
        <v/>
      </c>
      <c r="AD20" s="52"/>
      <c r="AE20" s="397">
        <f>IFERROR(VLOOKUP($C20,'Proposed Rates'!$B:$J,AE$11,FALSE),0)</f>
        <v>0</v>
      </c>
      <c r="AF20" s="415">
        <f t="shared" si="15"/>
        <v>470</v>
      </c>
      <c r="AG20" s="400">
        <f t="shared" si="16"/>
        <v>0</v>
      </c>
      <c r="AH20" s="128"/>
      <c r="AI20" s="401">
        <f t="shared" si="17"/>
        <v>0</v>
      </c>
      <c r="AJ20" s="402" t="str">
        <f t="shared" si="18"/>
        <v/>
      </c>
      <c r="AK20" s="52"/>
      <c r="AL20" s="397">
        <f>IFERROR(VLOOKUP($C20,'Proposed Rates'!$B:$J,AL$11,FALSE),0)</f>
        <v>0</v>
      </c>
      <c r="AM20" s="415">
        <f t="shared" si="19"/>
        <v>470</v>
      </c>
      <c r="AN20" s="400">
        <f t="shared" si="20"/>
        <v>0</v>
      </c>
      <c r="AO20" s="128"/>
      <c r="AP20" s="401">
        <f t="shared" si="21"/>
        <v>0</v>
      </c>
      <c r="AQ20" s="402" t="str">
        <f t="shared" si="22"/>
        <v/>
      </c>
      <c r="AR20" s="403"/>
    </row>
    <row r="21" spans="1:44" ht="12" customHeight="1">
      <c r="A21" s="551"/>
      <c r="B21" s="320" t="s">
        <v>241</v>
      </c>
      <c r="C21" s="395" t="str">
        <f t="shared" si="0"/>
        <v>Unmetered Scattered Load.LRAM Rate Rider</v>
      </c>
      <c r="D21" s="396" t="s">
        <v>308</v>
      </c>
      <c r="E21" s="320"/>
      <c r="F21" s="414">
        <f>'Proposed Rates'!E84+'Proposed Rates'!E97</f>
        <v>0</v>
      </c>
      <c r="G21" s="415">
        <f t="shared" si="1"/>
        <v>470</v>
      </c>
      <c r="H21" s="400">
        <f t="shared" si="2"/>
        <v>0</v>
      </c>
      <c r="I21" s="128"/>
      <c r="J21" s="414">
        <f>'Proposed Rates'!F84+'Proposed Rates'!F97</f>
        <v>-5.0000000000000001E-4</v>
      </c>
      <c r="K21" s="415">
        <f t="shared" si="3"/>
        <v>470</v>
      </c>
      <c r="L21" s="400">
        <f t="shared" si="4"/>
        <v>-0.23500000000000001</v>
      </c>
      <c r="M21" s="128"/>
      <c r="N21" s="401">
        <f t="shared" si="5"/>
        <v>-0.23500000000000001</v>
      </c>
      <c r="O21" s="402" t="str">
        <f t="shared" si="6"/>
        <v/>
      </c>
      <c r="P21" s="52"/>
      <c r="Q21" s="414">
        <f>'Proposed Rates'!G84+'Proposed Rates'!G97</f>
        <v>0</v>
      </c>
      <c r="R21" s="415">
        <f t="shared" si="7"/>
        <v>470</v>
      </c>
      <c r="S21" s="400">
        <f t="shared" si="8"/>
        <v>0</v>
      </c>
      <c r="T21" s="128"/>
      <c r="U21" s="401">
        <f t="shared" si="9"/>
        <v>0.23500000000000001</v>
      </c>
      <c r="V21" s="402">
        <f t="shared" si="10"/>
        <v>-1</v>
      </c>
      <c r="W21" s="52"/>
      <c r="X21" s="397">
        <f>IFERROR(VLOOKUP($C21,'Proposed Rates'!$B:$J,X$11,FALSE),0)</f>
        <v>0</v>
      </c>
      <c r="Y21" s="415">
        <f t="shared" si="11"/>
        <v>470</v>
      </c>
      <c r="Z21" s="400">
        <f t="shared" si="12"/>
        <v>0</v>
      </c>
      <c r="AA21" s="128"/>
      <c r="AB21" s="401">
        <f t="shared" si="13"/>
        <v>0</v>
      </c>
      <c r="AC21" s="402" t="str">
        <f t="shared" si="14"/>
        <v/>
      </c>
      <c r="AD21" s="52"/>
      <c r="AE21" s="397">
        <f>IFERROR(VLOOKUP($C21,'Proposed Rates'!$B:$J,AE$11,FALSE),0)</f>
        <v>0</v>
      </c>
      <c r="AF21" s="415">
        <f t="shared" si="15"/>
        <v>470</v>
      </c>
      <c r="AG21" s="400">
        <f t="shared" si="16"/>
        <v>0</v>
      </c>
      <c r="AH21" s="128"/>
      <c r="AI21" s="401">
        <f t="shared" si="17"/>
        <v>0</v>
      </c>
      <c r="AJ21" s="402" t="str">
        <f t="shared" si="18"/>
        <v/>
      </c>
      <c r="AK21" s="52"/>
      <c r="AL21" s="397">
        <f>IFERROR(VLOOKUP($C21,'Proposed Rates'!$B:$J,AL$11,FALSE),0)</f>
        <v>0</v>
      </c>
      <c r="AM21" s="415">
        <f t="shared" si="19"/>
        <v>470</v>
      </c>
      <c r="AN21" s="400">
        <f t="shared" si="20"/>
        <v>0</v>
      </c>
      <c r="AO21" s="128"/>
      <c r="AP21" s="401">
        <f t="shared" si="21"/>
        <v>0</v>
      </c>
      <c r="AQ21" s="402" t="str">
        <f t="shared" si="22"/>
        <v/>
      </c>
      <c r="AR21" s="403"/>
    </row>
    <row r="22" spans="1:44" ht="12" customHeight="1">
      <c r="A22" s="551"/>
      <c r="B22" s="404" t="s">
        <v>237</v>
      </c>
      <c r="C22" s="395" t="str">
        <f t="shared" si="0"/>
        <v>Unmetered Scattered Load.Deferral/Variance Account Disposition Rate Rider Group 2</v>
      </c>
      <c r="D22" s="396" t="s">
        <v>308</v>
      </c>
      <c r="E22" s="320"/>
      <c r="F22" s="397">
        <f>IFERROR(VLOOKUP($C22,'Proposed Rates'!$B:$J,F$11,FALSE),0)</f>
        <v>0</v>
      </c>
      <c r="G22" s="415">
        <f t="shared" si="1"/>
        <v>470</v>
      </c>
      <c r="H22" s="400">
        <f t="shared" si="2"/>
        <v>0</v>
      </c>
      <c r="I22" s="128"/>
      <c r="J22" s="414">
        <f>IFERROR(VLOOKUP($C22,'Proposed Rates'!$B:$J,J$11,FALSE),0)</f>
        <v>-8.9999999999999998E-4</v>
      </c>
      <c r="K22" s="415">
        <f t="shared" si="3"/>
        <v>470</v>
      </c>
      <c r="L22" s="400">
        <f t="shared" si="4"/>
        <v>-0.42299999999999999</v>
      </c>
      <c r="M22" s="128"/>
      <c r="N22" s="401">
        <f t="shared" si="5"/>
        <v>-0.42299999999999999</v>
      </c>
      <c r="O22" s="402" t="str">
        <f t="shared" si="6"/>
        <v/>
      </c>
      <c r="P22" s="52"/>
      <c r="Q22" s="397">
        <f>IFERROR(VLOOKUP($C22,'Proposed Rates'!$B:$J,Q$11,FALSE),0)</f>
        <v>0</v>
      </c>
      <c r="R22" s="415">
        <f t="shared" si="7"/>
        <v>470</v>
      </c>
      <c r="S22" s="400">
        <f t="shared" si="8"/>
        <v>0</v>
      </c>
      <c r="T22" s="128"/>
      <c r="U22" s="401">
        <f t="shared" si="9"/>
        <v>0.42299999999999999</v>
      </c>
      <c r="V22" s="402">
        <f t="shared" si="10"/>
        <v>-1</v>
      </c>
      <c r="W22" s="52"/>
      <c r="X22" s="397">
        <f>IFERROR(VLOOKUP($C22,'Proposed Rates'!$B:$J,X$11,FALSE),0)</f>
        <v>0</v>
      </c>
      <c r="Y22" s="415">
        <f t="shared" si="11"/>
        <v>470</v>
      </c>
      <c r="Z22" s="400">
        <f t="shared" si="12"/>
        <v>0</v>
      </c>
      <c r="AA22" s="128"/>
      <c r="AB22" s="401">
        <f t="shared" si="13"/>
        <v>0</v>
      </c>
      <c r="AC22" s="402" t="str">
        <f t="shared" si="14"/>
        <v/>
      </c>
      <c r="AD22" s="52"/>
      <c r="AE22" s="397">
        <f>IFERROR(VLOOKUP($C22,'Proposed Rates'!$B:$J,AE$11,FALSE),0)</f>
        <v>0</v>
      </c>
      <c r="AF22" s="415">
        <f t="shared" si="15"/>
        <v>470</v>
      </c>
      <c r="AG22" s="400">
        <f t="shared" si="16"/>
        <v>0</v>
      </c>
      <c r="AH22" s="128"/>
      <c r="AI22" s="401">
        <f t="shared" si="17"/>
        <v>0</v>
      </c>
      <c r="AJ22" s="402" t="str">
        <f t="shared" si="18"/>
        <v/>
      </c>
      <c r="AK22" s="52"/>
      <c r="AL22" s="397">
        <f>IFERROR(VLOOKUP($C22,'Proposed Rates'!$B:$J,AL$11,FALSE),0)</f>
        <v>0</v>
      </c>
      <c r="AM22" s="415">
        <f t="shared" si="19"/>
        <v>470</v>
      </c>
      <c r="AN22" s="400">
        <f t="shared" si="20"/>
        <v>0</v>
      </c>
      <c r="AO22" s="128"/>
      <c r="AP22" s="401">
        <f t="shared" si="21"/>
        <v>0</v>
      </c>
      <c r="AQ22" s="402" t="str">
        <f t="shared" si="22"/>
        <v/>
      </c>
      <c r="AR22" s="403"/>
    </row>
    <row r="23" spans="1:44" ht="12" customHeight="1">
      <c r="A23" s="551"/>
      <c r="B23" s="404"/>
      <c r="C23" s="395" t="str">
        <f t="shared" si="0"/>
        <v>Unmetered Scattered Load.</v>
      </c>
      <c r="D23" s="396"/>
      <c r="E23" s="320"/>
      <c r="F23" s="397">
        <f>IFERROR(VLOOKUP($C23,'Proposed Rates'!$B:$J,F$11,FALSE),0)</f>
        <v>0</v>
      </c>
      <c r="G23" s="415">
        <f t="shared" si="1"/>
        <v>0</v>
      </c>
      <c r="H23" s="400">
        <f t="shared" si="2"/>
        <v>0</v>
      </c>
      <c r="I23" s="128"/>
      <c r="J23" s="397">
        <f>IFERROR(VLOOKUP($C23,'Proposed Rates'!$B:$J,J$11,FALSE),0)</f>
        <v>0</v>
      </c>
      <c r="K23" s="415">
        <f t="shared" si="3"/>
        <v>0</v>
      </c>
      <c r="L23" s="400">
        <f t="shared" si="4"/>
        <v>0</v>
      </c>
      <c r="M23" s="128"/>
      <c r="N23" s="401">
        <f t="shared" si="5"/>
        <v>0</v>
      </c>
      <c r="O23" s="402" t="str">
        <f t="shared" si="6"/>
        <v/>
      </c>
      <c r="P23" s="52"/>
      <c r="Q23" s="397">
        <f>IFERROR(VLOOKUP($C23,'Proposed Rates'!$B:$J,Q$11,FALSE),0)</f>
        <v>0</v>
      </c>
      <c r="R23" s="415">
        <f t="shared" si="7"/>
        <v>0</v>
      </c>
      <c r="S23" s="400">
        <f t="shared" si="8"/>
        <v>0</v>
      </c>
      <c r="T23" s="128"/>
      <c r="U23" s="401">
        <f t="shared" si="9"/>
        <v>0</v>
      </c>
      <c r="V23" s="402" t="str">
        <f t="shared" si="10"/>
        <v/>
      </c>
      <c r="W23" s="52"/>
      <c r="X23" s="397">
        <f>IFERROR(VLOOKUP($C23,'Proposed Rates'!$B:$J,X$11,FALSE),0)</f>
        <v>0</v>
      </c>
      <c r="Y23" s="415">
        <f t="shared" si="11"/>
        <v>0</v>
      </c>
      <c r="Z23" s="400">
        <f t="shared" si="12"/>
        <v>0</v>
      </c>
      <c r="AA23" s="128"/>
      <c r="AB23" s="401">
        <f t="shared" si="13"/>
        <v>0</v>
      </c>
      <c r="AC23" s="402" t="str">
        <f t="shared" si="14"/>
        <v/>
      </c>
      <c r="AD23" s="52"/>
      <c r="AE23" s="397">
        <f>IFERROR(VLOOKUP($C23,'Proposed Rates'!$B:$J,AE$11,FALSE),0)</f>
        <v>0</v>
      </c>
      <c r="AF23" s="415">
        <f t="shared" si="15"/>
        <v>0</v>
      </c>
      <c r="AG23" s="400">
        <f t="shared" si="16"/>
        <v>0</v>
      </c>
      <c r="AH23" s="128"/>
      <c r="AI23" s="401">
        <f t="shared" si="17"/>
        <v>0</v>
      </c>
      <c r="AJ23" s="402" t="str">
        <f t="shared" si="18"/>
        <v/>
      </c>
      <c r="AK23" s="52"/>
      <c r="AL23" s="397">
        <f>IFERROR(VLOOKUP($C23,'Proposed Rates'!$B:$J,AL$11,FALSE),0)</f>
        <v>0</v>
      </c>
      <c r="AM23" s="415">
        <f t="shared" si="19"/>
        <v>0</v>
      </c>
      <c r="AN23" s="400">
        <f t="shared" si="20"/>
        <v>0</v>
      </c>
      <c r="AO23" s="128"/>
      <c r="AP23" s="401">
        <f t="shared" si="21"/>
        <v>0</v>
      </c>
      <c r="AQ23" s="402" t="str">
        <f t="shared" si="22"/>
        <v/>
      </c>
      <c r="AR23" s="403"/>
    </row>
    <row r="24" spans="1:44" ht="12" customHeight="1">
      <c r="A24" s="551"/>
      <c r="B24" s="404"/>
      <c r="C24" s="395" t="str">
        <f t="shared" si="0"/>
        <v>Unmetered Scattered Load.</v>
      </c>
      <c r="D24" s="396"/>
      <c r="E24" s="320"/>
      <c r="F24" s="397">
        <f>IFERROR(VLOOKUP($C24,'Proposed Rates'!$B:$J,F$11,FALSE),0)</f>
        <v>0</v>
      </c>
      <c r="G24" s="415">
        <f t="shared" si="1"/>
        <v>0</v>
      </c>
      <c r="H24" s="400">
        <f t="shared" si="2"/>
        <v>0</v>
      </c>
      <c r="I24" s="128"/>
      <c r="J24" s="397">
        <f>IFERROR(VLOOKUP($C24,'Proposed Rates'!$B:$J,J$11,FALSE),0)</f>
        <v>0</v>
      </c>
      <c r="K24" s="415">
        <f t="shared" si="3"/>
        <v>0</v>
      </c>
      <c r="L24" s="400">
        <f t="shared" si="4"/>
        <v>0</v>
      </c>
      <c r="M24" s="128"/>
      <c r="N24" s="401">
        <f t="shared" si="5"/>
        <v>0</v>
      </c>
      <c r="O24" s="402" t="str">
        <f t="shared" si="6"/>
        <v/>
      </c>
      <c r="P24" s="52"/>
      <c r="Q24" s="397">
        <f>IFERROR(VLOOKUP($C24,'Proposed Rates'!$B:$J,Q$11,FALSE),0)</f>
        <v>0</v>
      </c>
      <c r="R24" s="415">
        <f t="shared" si="7"/>
        <v>0</v>
      </c>
      <c r="S24" s="400">
        <f t="shared" si="8"/>
        <v>0</v>
      </c>
      <c r="T24" s="128"/>
      <c r="U24" s="401">
        <f t="shared" si="9"/>
        <v>0</v>
      </c>
      <c r="V24" s="402" t="str">
        <f t="shared" si="10"/>
        <v/>
      </c>
      <c r="W24" s="52"/>
      <c r="X24" s="397">
        <f>IFERROR(VLOOKUP($C24,'Proposed Rates'!$B:$J,X$11,FALSE),0)</f>
        <v>0</v>
      </c>
      <c r="Y24" s="415">
        <f t="shared" si="11"/>
        <v>0</v>
      </c>
      <c r="Z24" s="400">
        <f t="shared" si="12"/>
        <v>0</v>
      </c>
      <c r="AA24" s="128"/>
      <c r="AB24" s="401">
        <f t="shared" si="13"/>
        <v>0</v>
      </c>
      <c r="AC24" s="402" t="str">
        <f t="shared" si="14"/>
        <v/>
      </c>
      <c r="AD24" s="52"/>
      <c r="AE24" s="397">
        <f>IFERROR(VLOOKUP($C24,'Proposed Rates'!$B:$J,AE$11,FALSE),0)</f>
        <v>0</v>
      </c>
      <c r="AF24" s="415">
        <f t="shared" si="15"/>
        <v>0</v>
      </c>
      <c r="AG24" s="400">
        <f t="shared" si="16"/>
        <v>0</v>
      </c>
      <c r="AH24" s="128"/>
      <c r="AI24" s="401">
        <f t="shared" si="17"/>
        <v>0</v>
      </c>
      <c r="AJ24" s="402" t="str">
        <f t="shared" si="18"/>
        <v/>
      </c>
      <c r="AK24" s="52"/>
      <c r="AL24" s="397">
        <f>IFERROR(VLOOKUP($C24,'Proposed Rates'!$B:$J,AL$11,FALSE),0)</f>
        <v>0</v>
      </c>
      <c r="AM24" s="415">
        <f t="shared" si="19"/>
        <v>0</v>
      </c>
      <c r="AN24" s="400">
        <f t="shared" si="20"/>
        <v>0</v>
      </c>
      <c r="AO24" s="128"/>
      <c r="AP24" s="401">
        <f t="shared" si="21"/>
        <v>0</v>
      </c>
      <c r="AQ24" s="402" t="str">
        <f t="shared" si="22"/>
        <v/>
      </c>
      <c r="AR24" s="403"/>
    </row>
    <row r="25" spans="1:44" ht="12" customHeight="1">
      <c r="A25" s="551"/>
      <c r="B25" s="404"/>
      <c r="C25" s="395" t="str">
        <f t="shared" si="0"/>
        <v>Unmetered Scattered Load.</v>
      </c>
      <c r="D25" s="396"/>
      <c r="E25" s="320"/>
      <c r="F25" s="397">
        <f>IFERROR(VLOOKUP($C25,'Proposed Rates'!$B:$J,F$11,FALSE),0)</f>
        <v>0</v>
      </c>
      <c r="G25" s="415">
        <f t="shared" si="1"/>
        <v>0</v>
      </c>
      <c r="H25" s="400">
        <f t="shared" si="2"/>
        <v>0</v>
      </c>
      <c r="I25" s="128"/>
      <c r="J25" s="397">
        <f>IFERROR(VLOOKUP($C25,'Proposed Rates'!$B:$J,J$11,FALSE),0)</f>
        <v>0</v>
      </c>
      <c r="K25" s="415">
        <f t="shared" si="3"/>
        <v>0</v>
      </c>
      <c r="L25" s="400">
        <f t="shared" si="4"/>
        <v>0</v>
      </c>
      <c r="M25" s="128"/>
      <c r="N25" s="401">
        <f t="shared" si="5"/>
        <v>0</v>
      </c>
      <c r="O25" s="402" t="str">
        <f t="shared" si="6"/>
        <v/>
      </c>
      <c r="P25" s="52"/>
      <c r="Q25" s="397">
        <f>IFERROR(VLOOKUP($C25,'Proposed Rates'!$B:$J,Q$11,FALSE),0)</f>
        <v>0</v>
      </c>
      <c r="R25" s="415">
        <f t="shared" si="7"/>
        <v>0</v>
      </c>
      <c r="S25" s="400">
        <f t="shared" si="8"/>
        <v>0</v>
      </c>
      <c r="T25" s="128"/>
      <c r="U25" s="401">
        <f t="shared" si="9"/>
        <v>0</v>
      </c>
      <c r="V25" s="402" t="str">
        <f t="shared" si="10"/>
        <v/>
      </c>
      <c r="W25" s="52"/>
      <c r="X25" s="397">
        <f>IFERROR(VLOOKUP($C25,'Proposed Rates'!$B:$J,X$11,FALSE),0)</f>
        <v>0</v>
      </c>
      <c r="Y25" s="415">
        <f t="shared" si="11"/>
        <v>0</v>
      </c>
      <c r="Z25" s="400">
        <f t="shared" si="12"/>
        <v>0</v>
      </c>
      <c r="AA25" s="128"/>
      <c r="AB25" s="401">
        <f t="shared" si="13"/>
        <v>0</v>
      </c>
      <c r="AC25" s="402" t="str">
        <f t="shared" si="14"/>
        <v/>
      </c>
      <c r="AD25" s="52"/>
      <c r="AE25" s="397">
        <f>IFERROR(VLOOKUP($C25,'Proposed Rates'!$B:$J,AE$11,FALSE),0)</f>
        <v>0</v>
      </c>
      <c r="AF25" s="415">
        <f t="shared" si="15"/>
        <v>0</v>
      </c>
      <c r="AG25" s="400">
        <f t="shared" si="16"/>
        <v>0</v>
      </c>
      <c r="AH25" s="128"/>
      <c r="AI25" s="401">
        <f t="shared" si="17"/>
        <v>0</v>
      </c>
      <c r="AJ25" s="402" t="str">
        <f t="shared" si="18"/>
        <v/>
      </c>
      <c r="AK25" s="52"/>
      <c r="AL25" s="397">
        <f>IFERROR(VLOOKUP($C25,'Proposed Rates'!$B:$J,AL$11,FALSE),0)</f>
        <v>0</v>
      </c>
      <c r="AM25" s="415">
        <f t="shared" si="19"/>
        <v>0</v>
      </c>
      <c r="AN25" s="400">
        <f t="shared" si="20"/>
        <v>0</v>
      </c>
      <c r="AO25" s="128"/>
      <c r="AP25" s="401">
        <f t="shared" si="21"/>
        <v>0</v>
      </c>
      <c r="AQ25" s="402" t="str">
        <f t="shared" si="22"/>
        <v/>
      </c>
      <c r="AR25" s="403"/>
    </row>
    <row r="26" spans="1:44" ht="12" customHeight="1">
      <c r="A26" s="551"/>
      <c r="B26" s="404"/>
      <c r="C26" s="395" t="str">
        <f t="shared" si="0"/>
        <v>Unmetered Scattered Load.</v>
      </c>
      <c r="D26" s="396"/>
      <c r="E26" s="320"/>
      <c r="F26" s="397">
        <f>IFERROR(VLOOKUP($C26,'Proposed Rates'!$B:$J,F$11,FALSE),0)</f>
        <v>0</v>
      </c>
      <c r="G26" s="415">
        <f t="shared" si="1"/>
        <v>0</v>
      </c>
      <c r="H26" s="400">
        <f t="shared" si="2"/>
        <v>0</v>
      </c>
      <c r="I26" s="128"/>
      <c r="J26" s="397">
        <f>IFERROR(VLOOKUP($C26,'Proposed Rates'!$B:$J,J$11,FALSE),0)</f>
        <v>0</v>
      </c>
      <c r="K26" s="415">
        <f t="shared" si="3"/>
        <v>0</v>
      </c>
      <c r="L26" s="400">
        <f t="shared" si="4"/>
        <v>0</v>
      </c>
      <c r="M26" s="128"/>
      <c r="N26" s="401">
        <f t="shared" si="5"/>
        <v>0</v>
      </c>
      <c r="O26" s="402" t="str">
        <f t="shared" si="6"/>
        <v/>
      </c>
      <c r="P26" s="52"/>
      <c r="Q26" s="397">
        <f>IFERROR(VLOOKUP($C26,'Proposed Rates'!$B:$J,Q$11,FALSE),0)</f>
        <v>0</v>
      </c>
      <c r="R26" s="415">
        <f t="shared" si="7"/>
        <v>0</v>
      </c>
      <c r="S26" s="400">
        <f t="shared" si="8"/>
        <v>0</v>
      </c>
      <c r="T26" s="128"/>
      <c r="U26" s="401">
        <f t="shared" si="9"/>
        <v>0</v>
      </c>
      <c r="V26" s="402" t="str">
        <f t="shared" si="10"/>
        <v/>
      </c>
      <c r="W26" s="52"/>
      <c r="X26" s="397">
        <f>IFERROR(VLOOKUP($C26,'Proposed Rates'!$B:$J,X$11,FALSE),0)</f>
        <v>0</v>
      </c>
      <c r="Y26" s="415">
        <f t="shared" si="11"/>
        <v>0</v>
      </c>
      <c r="Z26" s="400">
        <f t="shared" si="12"/>
        <v>0</v>
      </c>
      <c r="AA26" s="128"/>
      <c r="AB26" s="401">
        <f t="shared" si="13"/>
        <v>0</v>
      </c>
      <c r="AC26" s="402" t="str">
        <f t="shared" si="14"/>
        <v/>
      </c>
      <c r="AD26" s="52"/>
      <c r="AE26" s="397">
        <f>IFERROR(VLOOKUP($C26,'Proposed Rates'!$B:$J,AE$11,FALSE),0)</f>
        <v>0</v>
      </c>
      <c r="AF26" s="415">
        <f t="shared" si="15"/>
        <v>0</v>
      </c>
      <c r="AG26" s="400">
        <f t="shared" si="16"/>
        <v>0</v>
      </c>
      <c r="AH26" s="128"/>
      <c r="AI26" s="401">
        <f t="shared" si="17"/>
        <v>0</v>
      </c>
      <c r="AJ26" s="402" t="str">
        <f t="shared" si="18"/>
        <v/>
      </c>
      <c r="AK26" s="52"/>
      <c r="AL26" s="397">
        <f>IFERROR(VLOOKUP($C26,'Proposed Rates'!$B:$J,AL$11,FALSE),0)</f>
        <v>0</v>
      </c>
      <c r="AM26" s="415">
        <f t="shared" si="19"/>
        <v>0</v>
      </c>
      <c r="AN26" s="400">
        <f t="shared" si="20"/>
        <v>0</v>
      </c>
      <c r="AO26" s="128"/>
      <c r="AP26" s="401">
        <f t="shared" si="21"/>
        <v>0</v>
      </c>
      <c r="AQ26" s="402" t="str">
        <f t="shared" si="22"/>
        <v/>
      </c>
      <c r="AR26" s="403"/>
    </row>
    <row r="27" spans="1:44" ht="12" customHeight="1">
      <c r="A27" s="551"/>
      <c r="B27" s="404"/>
      <c r="C27" s="395" t="str">
        <f t="shared" si="0"/>
        <v>Unmetered Scattered Load.</v>
      </c>
      <c r="D27" s="396"/>
      <c r="E27" s="320"/>
      <c r="F27" s="397">
        <f>IFERROR(VLOOKUP($C27,'Proposed Rates'!$B:$J,F$11,FALSE),0)</f>
        <v>0</v>
      </c>
      <c r="G27" s="415">
        <f t="shared" si="1"/>
        <v>0</v>
      </c>
      <c r="H27" s="400">
        <f t="shared" si="2"/>
        <v>0</v>
      </c>
      <c r="I27" s="128"/>
      <c r="J27" s="397">
        <f>IFERROR(VLOOKUP($C27,'Proposed Rates'!$B:$J,J$11,FALSE),0)</f>
        <v>0</v>
      </c>
      <c r="K27" s="415">
        <f t="shared" si="3"/>
        <v>0</v>
      </c>
      <c r="L27" s="400">
        <f t="shared" si="4"/>
        <v>0</v>
      </c>
      <c r="M27" s="128"/>
      <c r="N27" s="401">
        <f t="shared" si="5"/>
        <v>0</v>
      </c>
      <c r="O27" s="402" t="str">
        <f t="shared" si="6"/>
        <v/>
      </c>
      <c r="P27" s="52"/>
      <c r="Q27" s="397">
        <f>IFERROR(VLOOKUP($C27,'Proposed Rates'!$B:$J,Q$11,FALSE),0)</f>
        <v>0</v>
      </c>
      <c r="R27" s="415">
        <f t="shared" si="7"/>
        <v>0</v>
      </c>
      <c r="S27" s="400">
        <f t="shared" si="8"/>
        <v>0</v>
      </c>
      <c r="T27" s="128"/>
      <c r="U27" s="401">
        <f t="shared" si="9"/>
        <v>0</v>
      </c>
      <c r="V27" s="402" t="str">
        <f t="shared" si="10"/>
        <v/>
      </c>
      <c r="W27" s="52"/>
      <c r="X27" s="397">
        <f>IFERROR(VLOOKUP($C27,'Proposed Rates'!$B:$J,X$11,FALSE),0)</f>
        <v>0</v>
      </c>
      <c r="Y27" s="415">
        <f t="shared" si="11"/>
        <v>0</v>
      </c>
      <c r="Z27" s="400">
        <f t="shared" si="12"/>
        <v>0</v>
      </c>
      <c r="AA27" s="128"/>
      <c r="AB27" s="401">
        <f t="shared" si="13"/>
        <v>0</v>
      </c>
      <c r="AC27" s="402" t="str">
        <f t="shared" si="14"/>
        <v/>
      </c>
      <c r="AD27" s="52"/>
      <c r="AE27" s="397">
        <f>IFERROR(VLOOKUP($C27,'Proposed Rates'!$B:$J,AE$11,FALSE),0)</f>
        <v>0</v>
      </c>
      <c r="AF27" s="415">
        <f t="shared" si="15"/>
        <v>0</v>
      </c>
      <c r="AG27" s="400">
        <f t="shared" si="16"/>
        <v>0</v>
      </c>
      <c r="AH27" s="128"/>
      <c r="AI27" s="401">
        <f t="shared" si="17"/>
        <v>0</v>
      </c>
      <c r="AJ27" s="402" t="str">
        <f t="shared" si="18"/>
        <v/>
      </c>
      <c r="AK27" s="52"/>
      <c r="AL27" s="397">
        <f>IFERROR(VLOOKUP($C27,'Proposed Rates'!$B:$J,AL$11,FALSE),0)</f>
        <v>0</v>
      </c>
      <c r="AM27" s="415">
        <f t="shared" si="19"/>
        <v>0</v>
      </c>
      <c r="AN27" s="400">
        <f t="shared" si="20"/>
        <v>0</v>
      </c>
      <c r="AO27" s="128"/>
      <c r="AP27" s="401">
        <f t="shared" si="21"/>
        <v>0</v>
      </c>
      <c r="AQ27" s="402" t="str">
        <f t="shared" si="22"/>
        <v/>
      </c>
      <c r="AR27" s="403"/>
    </row>
    <row r="28" spans="1:44" ht="12" customHeight="1">
      <c r="A28" s="551"/>
      <c r="B28" s="404"/>
      <c r="C28" s="395" t="str">
        <f t="shared" si="0"/>
        <v>Unmetered Scattered Load.</v>
      </c>
      <c r="D28" s="396"/>
      <c r="E28" s="320"/>
      <c r="F28" s="397">
        <f>IFERROR(VLOOKUP($C28,'Proposed Rates'!$B:$J,F$11,FALSE),0)</f>
        <v>0</v>
      </c>
      <c r="G28" s="415">
        <f t="shared" si="1"/>
        <v>0</v>
      </c>
      <c r="H28" s="400">
        <f t="shared" si="2"/>
        <v>0</v>
      </c>
      <c r="I28" s="128"/>
      <c r="J28" s="397">
        <f>IFERROR(VLOOKUP($C28,'Proposed Rates'!$B:$J,J$11,FALSE),0)</f>
        <v>0</v>
      </c>
      <c r="K28" s="415">
        <f t="shared" si="3"/>
        <v>0</v>
      </c>
      <c r="L28" s="400">
        <f t="shared" si="4"/>
        <v>0</v>
      </c>
      <c r="M28" s="128"/>
      <c r="N28" s="401">
        <f t="shared" si="5"/>
        <v>0</v>
      </c>
      <c r="O28" s="402" t="str">
        <f t="shared" si="6"/>
        <v/>
      </c>
      <c r="P28" s="52"/>
      <c r="Q28" s="397">
        <f>IFERROR(VLOOKUP($C28,'Proposed Rates'!$B:$J,Q$11,FALSE),0)</f>
        <v>0</v>
      </c>
      <c r="R28" s="415">
        <f t="shared" si="7"/>
        <v>0</v>
      </c>
      <c r="S28" s="400">
        <f t="shared" si="8"/>
        <v>0</v>
      </c>
      <c r="T28" s="128"/>
      <c r="U28" s="401">
        <f t="shared" si="9"/>
        <v>0</v>
      </c>
      <c r="V28" s="402" t="str">
        <f t="shared" si="10"/>
        <v/>
      </c>
      <c r="W28" s="52"/>
      <c r="X28" s="397">
        <f>IFERROR(VLOOKUP($C28,'Proposed Rates'!$B:$J,X$11,FALSE),0)</f>
        <v>0</v>
      </c>
      <c r="Y28" s="415">
        <f t="shared" si="11"/>
        <v>0</v>
      </c>
      <c r="Z28" s="400">
        <f t="shared" si="12"/>
        <v>0</v>
      </c>
      <c r="AA28" s="128"/>
      <c r="AB28" s="401">
        <f t="shared" si="13"/>
        <v>0</v>
      </c>
      <c r="AC28" s="402" t="str">
        <f t="shared" si="14"/>
        <v/>
      </c>
      <c r="AD28" s="52"/>
      <c r="AE28" s="397">
        <f>IFERROR(VLOOKUP($C28,'Proposed Rates'!$B:$J,AE$11,FALSE),0)</f>
        <v>0</v>
      </c>
      <c r="AF28" s="415">
        <f t="shared" si="15"/>
        <v>0</v>
      </c>
      <c r="AG28" s="400">
        <f t="shared" si="16"/>
        <v>0</v>
      </c>
      <c r="AH28" s="128"/>
      <c r="AI28" s="401">
        <f t="shared" si="17"/>
        <v>0</v>
      </c>
      <c r="AJ28" s="402" t="str">
        <f t="shared" si="18"/>
        <v/>
      </c>
      <c r="AK28" s="52"/>
      <c r="AL28" s="397">
        <f>IFERROR(VLOOKUP($C28,'Proposed Rates'!$B:$J,AL$11,FALSE),0)</f>
        <v>0</v>
      </c>
      <c r="AM28" s="415">
        <f t="shared" si="19"/>
        <v>0</v>
      </c>
      <c r="AN28" s="400">
        <f t="shared" si="20"/>
        <v>0</v>
      </c>
      <c r="AO28" s="128"/>
      <c r="AP28" s="401">
        <f t="shared" si="21"/>
        <v>0</v>
      </c>
      <c r="AQ28" s="402" t="str">
        <f t="shared" si="22"/>
        <v/>
      </c>
      <c r="AR28" s="403"/>
    </row>
    <row r="29" spans="1:44" ht="12" customHeight="1">
      <c r="A29" s="551"/>
      <c r="B29" s="405" t="s">
        <v>310</v>
      </c>
      <c r="C29" s="406"/>
      <c r="D29" s="406"/>
      <c r="E29" s="406"/>
      <c r="F29" s="407"/>
      <c r="G29" s="500"/>
      <c r="H29" s="409">
        <f>SUM(H15:H28)</f>
        <v>22.975999999999999</v>
      </c>
      <c r="I29" s="410"/>
      <c r="J29" s="407"/>
      <c r="K29" s="500"/>
      <c r="L29" s="409">
        <f>SUM(L15:L28)</f>
        <v>25.708000000000002</v>
      </c>
      <c r="M29" s="410"/>
      <c r="N29" s="411">
        <f t="shared" si="5"/>
        <v>2.7320000000000029</v>
      </c>
      <c r="O29" s="412">
        <f t="shared" si="6"/>
        <v>0.11890668523676894</v>
      </c>
      <c r="P29" s="306"/>
      <c r="Q29" s="407"/>
      <c r="R29" s="500"/>
      <c r="S29" s="409">
        <f>SUM(S15:S28)</f>
        <v>28.195</v>
      </c>
      <c r="T29" s="410"/>
      <c r="U29" s="411">
        <f t="shared" si="9"/>
        <v>2.4869999999999983</v>
      </c>
      <c r="V29" s="412">
        <f t="shared" si="10"/>
        <v>9.6740314299050806E-2</v>
      </c>
      <c r="W29" s="306"/>
      <c r="X29" s="407"/>
      <c r="Y29" s="500"/>
      <c r="Z29" s="409">
        <f>SUM(Z15:Z28)</f>
        <v>30.493000000000002</v>
      </c>
      <c r="AA29" s="410"/>
      <c r="AB29" s="411">
        <f t="shared" si="13"/>
        <v>2.2980000000000018</v>
      </c>
      <c r="AC29" s="412">
        <f t="shared" si="14"/>
        <v>8.1503812732754102E-2</v>
      </c>
      <c r="AD29" s="306"/>
      <c r="AE29" s="407"/>
      <c r="AF29" s="500"/>
      <c r="AG29" s="409">
        <f>SUM(AG15:AG28)</f>
        <v>32.399000000000001</v>
      </c>
      <c r="AH29" s="410"/>
      <c r="AI29" s="411">
        <f t="shared" si="17"/>
        <v>1.9059999999999988</v>
      </c>
      <c r="AJ29" s="412">
        <f t="shared" si="18"/>
        <v>6.2506148952218496E-2</v>
      </c>
      <c r="AK29" s="306"/>
      <c r="AL29" s="407"/>
      <c r="AM29" s="500"/>
      <c r="AN29" s="409">
        <f>SUM(AN15:AN28)</f>
        <v>34.285000000000004</v>
      </c>
      <c r="AO29" s="410"/>
      <c r="AP29" s="411">
        <f t="shared" si="21"/>
        <v>1.8860000000000028</v>
      </c>
      <c r="AQ29" s="412">
        <f t="shared" si="22"/>
        <v>5.8211673199790204E-2</v>
      </c>
      <c r="AR29" s="413"/>
    </row>
    <row r="30" spans="1:44" ht="12" customHeight="1">
      <c r="A30" s="551"/>
      <c r="B30" s="404" t="s">
        <v>234</v>
      </c>
      <c r="C30" s="395" t="str">
        <f t="shared" ref="C30:C38" si="23">D$6&amp;"."&amp;B30</f>
        <v>Unmetered Scattered Load.DVA Disposition Rate Rider Group 1 -2025</v>
      </c>
      <c r="D30" s="396" t="s">
        <v>308</v>
      </c>
      <c r="E30" s="320"/>
      <c r="F30" s="414">
        <f>IFERROR(VLOOKUP($C30,'Proposed Rates'!$B:$J,F$11,FALSE),0)</f>
        <v>1E-4</v>
      </c>
      <c r="G30" s="415">
        <f t="shared" ref="G30:G35" si="24">IF($D30="Monthly",1,IF($D30="per KW",$F$10,IF($D30="per kWh",$F$9,0)))</f>
        <v>470</v>
      </c>
      <c r="H30" s="400">
        <f t="shared" ref="H30:H38" si="25">G30*F30</f>
        <v>4.7E-2</v>
      </c>
      <c r="I30" s="128"/>
      <c r="J30" s="414">
        <f>IFERROR(VLOOKUP($C30,'Proposed Rates'!$B:$J,J$11,FALSE),0)</f>
        <v>-5.0000000000000001E-4</v>
      </c>
      <c r="K30" s="415">
        <f t="shared" ref="K30:K35" si="26">IF($D30="Monthly",1,IF($D30="per KW",$F$10,IF($D30="per kWh",$F$9,0)))</f>
        <v>470</v>
      </c>
      <c r="L30" s="400">
        <f t="shared" ref="L30:L38" si="27">K30*J30</f>
        <v>-0.23500000000000001</v>
      </c>
      <c r="M30" s="128"/>
      <c r="N30" s="401">
        <f t="shared" si="5"/>
        <v>-0.28200000000000003</v>
      </c>
      <c r="O30" s="402">
        <f t="shared" si="6"/>
        <v>-6.0000000000000009</v>
      </c>
      <c r="P30" s="52"/>
      <c r="Q30" s="414">
        <f>IFERROR(VLOOKUP($C30,'Proposed Rates'!$B:$J,Q$11,FALSE),0)</f>
        <v>0</v>
      </c>
      <c r="R30" s="415">
        <f t="shared" ref="R30:R35" si="28">IF($D30="Monthly",1,IF($D30="per KW",$F$10,IF($D30="per kWh",$F$9,0)))</f>
        <v>470</v>
      </c>
      <c r="S30" s="400">
        <f t="shared" ref="S30:S38" si="29">R30*Q30</f>
        <v>0</v>
      </c>
      <c r="T30" s="128"/>
      <c r="U30" s="401">
        <f t="shared" si="9"/>
        <v>0.23500000000000001</v>
      </c>
      <c r="V30" s="402">
        <f t="shared" si="10"/>
        <v>-1</v>
      </c>
      <c r="W30" s="52"/>
      <c r="X30" s="414">
        <f>IFERROR(VLOOKUP($C30,'Proposed Rates'!$B:$J,X$11,FALSE),0)</f>
        <v>0</v>
      </c>
      <c r="Y30" s="415">
        <f t="shared" ref="Y30:Y35" si="30">IF($D30="Monthly",1,IF($D30="per KW",$F$10,IF($D30="per kWh",$F$9,0)))</f>
        <v>470</v>
      </c>
      <c r="Z30" s="400">
        <f t="shared" ref="Z30:Z38" si="31">Y30*X30</f>
        <v>0</v>
      </c>
      <c r="AA30" s="128"/>
      <c r="AB30" s="401">
        <f t="shared" si="13"/>
        <v>0</v>
      </c>
      <c r="AC30" s="402" t="str">
        <f t="shared" si="14"/>
        <v/>
      </c>
      <c r="AD30" s="52"/>
      <c r="AE30" s="414">
        <f>IFERROR(VLOOKUP($C30,'Proposed Rates'!$B:$J,AE$11,FALSE),0)</f>
        <v>0</v>
      </c>
      <c r="AF30" s="415">
        <f t="shared" ref="AF30:AF35" si="32">IF($D30="Monthly",1,IF($D30="per KW",$F$10,IF($D30="per kWh",$F$9,0)))</f>
        <v>470</v>
      </c>
      <c r="AG30" s="400">
        <f t="shared" ref="AG30:AG38" si="33">AF30*AE30</f>
        <v>0</v>
      </c>
      <c r="AH30" s="128"/>
      <c r="AI30" s="401">
        <f t="shared" si="17"/>
        <v>0</v>
      </c>
      <c r="AJ30" s="402" t="str">
        <f t="shared" si="18"/>
        <v/>
      </c>
      <c r="AK30" s="52"/>
      <c r="AL30" s="414">
        <f>IFERROR(VLOOKUP($C30,'Proposed Rates'!$B:$J,AL$11,FALSE),0)</f>
        <v>0</v>
      </c>
      <c r="AM30" s="415">
        <f t="shared" ref="AM30:AM35" si="34">IF($D30="Monthly",1,IF($D30="per KW",$F$10,IF($D30="per kWh",$F$9,0)))</f>
        <v>470</v>
      </c>
      <c r="AN30" s="400">
        <f t="shared" ref="AN30:AN38" si="35">AM30*AL30</f>
        <v>0</v>
      </c>
      <c r="AO30" s="128"/>
      <c r="AP30" s="401">
        <f t="shared" si="21"/>
        <v>0</v>
      </c>
      <c r="AQ30" s="402" t="str">
        <f t="shared" si="22"/>
        <v/>
      </c>
      <c r="AR30" s="403"/>
    </row>
    <row r="31" spans="1:44" ht="12" customHeight="1">
      <c r="A31" s="551"/>
      <c r="B31" s="404" t="s">
        <v>236</v>
      </c>
      <c r="C31" s="395" t="str">
        <f t="shared" si="23"/>
        <v>Unmetered Scattered Load.DVA Disposition Rate Rider Group 1 - 2024</v>
      </c>
      <c r="D31" s="396" t="s">
        <v>308</v>
      </c>
      <c r="E31" s="320"/>
      <c r="F31" s="397">
        <f>IFERROR(VLOOKUP($C31,'Proposed Rates'!$B:$J,F$11,FALSE),0)</f>
        <v>0</v>
      </c>
      <c r="G31" s="415">
        <f t="shared" si="24"/>
        <v>470</v>
      </c>
      <c r="H31" s="400">
        <f t="shared" si="25"/>
        <v>0</v>
      </c>
      <c r="I31" s="128"/>
      <c r="J31" s="397">
        <f>IFERROR(VLOOKUP($C31,'Proposed Rates'!$B:$J,J$11,FALSE),0)</f>
        <v>0</v>
      </c>
      <c r="K31" s="415">
        <f t="shared" si="26"/>
        <v>470</v>
      </c>
      <c r="L31" s="400">
        <f t="shared" si="27"/>
        <v>0</v>
      </c>
      <c r="M31" s="128"/>
      <c r="N31" s="401">
        <f t="shared" si="5"/>
        <v>0</v>
      </c>
      <c r="O31" s="402" t="str">
        <f t="shared" si="6"/>
        <v/>
      </c>
      <c r="P31" s="52"/>
      <c r="Q31" s="397">
        <f>IFERROR(VLOOKUP($C31,'Proposed Rates'!$B:$J,Q$11,FALSE),0)</f>
        <v>0</v>
      </c>
      <c r="R31" s="415">
        <f t="shared" si="28"/>
        <v>470</v>
      </c>
      <c r="S31" s="400">
        <f t="shared" si="29"/>
        <v>0</v>
      </c>
      <c r="T31" s="128"/>
      <c r="U31" s="401">
        <f t="shared" si="9"/>
        <v>0</v>
      </c>
      <c r="V31" s="402" t="str">
        <f t="shared" si="10"/>
        <v/>
      </c>
      <c r="W31" s="52"/>
      <c r="X31" s="397">
        <f>IFERROR(VLOOKUP($C31,'Proposed Rates'!$B:$J,X$11,FALSE),0)</f>
        <v>0</v>
      </c>
      <c r="Y31" s="415">
        <f t="shared" si="30"/>
        <v>470</v>
      </c>
      <c r="Z31" s="400">
        <f t="shared" si="31"/>
        <v>0</v>
      </c>
      <c r="AA31" s="128"/>
      <c r="AB31" s="401">
        <f t="shared" si="13"/>
        <v>0</v>
      </c>
      <c r="AC31" s="402" t="str">
        <f t="shared" si="14"/>
        <v/>
      </c>
      <c r="AD31" s="52"/>
      <c r="AE31" s="397">
        <f>IFERROR(VLOOKUP($C31,'Proposed Rates'!$B:$J,AE$11,FALSE),0)</f>
        <v>0</v>
      </c>
      <c r="AF31" s="415">
        <f t="shared" si="32"/>
        <v>470</v>
      </c>
      <c r="AG31" s="400">
        <f t="shared" si="33"/>
        <v>0</v>
      </c>
      <c r="AH31" s="128"/>
      <c r="AI31" s="401">
        <f t="shared" si="17"/>
        <v>0</v>
      </c>
      <c r="AJ31" s="402" t="str">
        <f t="shared" si="18"/>
        <v/>
      </c>
      <c r="AK31" s="52"/>
      <c r="AL31" s="397">
        <f>IFERROR(VLOOKUP($C31,'Proposed Rates'!$B:$J,AL$11,FALSE),0)</f>
        <v>0</v>
      </c>
      <c r="AM31" s="415">
        <f t="shared" si="34"/>
        <v>470</v>
      </c>
      <c r="AN31" s="400">
        <f t="shared" si="35"/>
        <v>0</v>
      </c>
      <c r="AO31" s="128"/>
      <c r="AP31" s="401">
        <f t="shared" si="21"/>
        <v>0</v>
      </c>
      <c r="AQ31" s="402" t="str">
        <f t="shared" si="22"/>
        <v/>
      </c>
      <c r="AR31" s="403"/>
    </row>
    <row r="32" spans="1:44" ht="12" customHeight="1">
      <c r="A32" s="551"/>
      <c r="B32" s="404" t="s">
        <v>244</v>
      </c>
      <c r="C32" s="395" t="str">
        <f t="shared" si="23"/>
        <v>Unmetered Scattered Load.CBR Class B Rate Riders</v>
      </c>
      <c r="D32" s="396" t="s">
        <v>308</v>
      </c>
      <c r="E32" s="320"/>
      <c r="F32" s="414">
        <f>IFERROR(VLOOKUP($C32,'Proposed Rates'!$B:$J,F$11,FALSE),0)</f>
        <v>2.0000000000000001E-4</v>
      </c>
      <c r="G32" s="415">
        <f t="shared" si="24"/>
        <v>470</v>
      </c>
      <c r="H32" s="400">
        <f t="shared" si="25"/>
        <v>9.4E-2</v>
      </c>
      <c r="I32" s="485"/>
      <c r="J32" s="414">
        <f>IFERROR(VLOOKUP($C32,'Proposed Rates'!$B:$J,J$11,FALSE),0)</f>
        <v>4.0000000000000002E-4</v>
      </c>
      <c r="K32" s="415">
        <f t="shared" si="26"/>
        <v>470</v>
      </c>
      <c r="L32" s="400">
        <f t="shared" si="27"/>
        <v>0.188</v>
      </c>
      <c r="M32" s="417"/>
      <c r="N32" s="401"/>
      <c r="O32" s="402"/>
      <c r="P32" s="52"/>
      <c r="Q32" s="414">
        <f>IFERROR(VLOOKUP($C32,'Proposed Rates'!$B:$J,Q$11,FALSE),0)</f>
        <v>0</v>
      </c>
      <c r="R32" s="415">
        <f t="shared" si="28"/>
        <v>470</v>
      </c>
      <c r="S32" s="400">
        <f t="shared" si="29"/>
        <v>0</v>
      </c>
      <c r="T32" s="417"/>
      <c r="U32" s="401"/>
      <c r="V32" s="402"/>
      <c r="W32" s="52"/>
      <c r="X32" s="414">
        <f>IFERROR(VLOOKUP($C32,'Proposed Rates'!$B:$J,X$11,FALSE),0)</f>
        <v>0</v>
      </c>
      <c r="Y32" s="415">
        <f t="shared" si="30"/>
        <v>470</v>
      </c>
      <c r="Z32" s="400">
        <f t="shared" si="31"/>
        <v>0</v>
      </c>
      <c r="AA32" s="128"/>
      <c r="AB32" s="401">
        <f t="shared" si="13"/>
        <v>0</v>
      </c>
      <c r="AC32" s="402" t="str">
        <f t="shared" si="14"/>
        <v/>
      </c>
      <c r="AD32" s="52"/>
      <c r="AE32" s="414">
        <f>IFERROR(VLOOKUP($C32,'Proposed Rates'!$B:$J,AE$11,FALSE),0)</f>
        <v>0</v>
      </c>
      <c r="AF32" s="415">
        <f t="shared" si="32"/>
        <v>470</v>
      </c>
      <c r="AG32" s="400">
        <f t="shared" si="33"/>
        <v>0</v>
      </c>
      <c r="AH32" s="128"/>
      <c r="AI32" s="401">
        <f t="shared" si="17"/>
        <v>0</v>
      </c>
      <c r="AJ32" s="402" t="str">
        <f t="shared" si="18"/>
        <v/>
      </c>
      <c r="AK32" s="52"/>
      <c r="AL32" s="414">
        <f>IFERROR(VLOOKUP($C32,'Proposed Rates'!$B:$J,AL$11,FALSE),0)</f>
        <v>0</v>
      </c>
      <c r="AM32" s="415">
        <f t="shared" si="34"/>
        <v>470</v>
      </c>
      <c r="AN32" s="400">
        <f t="shared" si="35"/>
        <v>0</v>
      </c>
      <c r="AO32" s="417"/>
      <c r="AP32" s="401"/>
      <c r="AQ32" s="402"/>
      <c r="AR32" s="403"/>
    </row>
    <row r="33" spans="1:44" ht="12" customHeight="1">
      <c r="A33" s="551"/>
      <c r="B33" s="404" t="s">
        <v>249</v>
      </c>
      <c r="C33" s="395" t="str">
        <f t="shared" si="23"/>
        <v>Unmetered Scattered Load.GA Rate Riders</v>
      </c>
      <c r="D33" s="396" t="s">
        <v>308</v>
      </c>
      <c r="E33" s="320"/>
      <c r="F33" s="397">
        <f>IFERROR(VLOOKUP($C33,'Proposed Rates'!$B:$J,F$11,FALSE),0)</f>
        <v>0</v>
      </c>
      <c r="G33" s="415">
        <f t="shared" si="24"/>
        <v>470</v>
      </c>
      <c r="H33" s="400">
        <f t="shared" si="25"/>
        <v>0</v>
      </c>
      <c r="I33" s="485"/>
      <c r="J33" s="397">
        <f>IFERROR(VLOOKUP($C33,'Proposed Rates'!$B:$J,J$11,FALSE),0)</f>
        <v>0</v>
      </c>
      <c r="K33" s="415">
        <f t="shared" si="26"/>
        <v>470</v>
      </c>
      <c r="L33" s="400">
        <f t="shared" si="27"/>
        <v>0</v>
      </c>
      <c r="M33" s="417"/>
      <c r="N33" s="401">
        <f t="shared" ref="N33:N34" si="36">L33-H33</f>
        <v>0</v>
      </c>
      <c r="O33" s="402" t="str">
        <f t="shared" ref="O33:O34" si="37">IF((H33)=0,"",(N33/H33))</f>
        <v/>
      </c>
      <c r="P33" s="52"/>
      <c r="Q33" s="397">
        <f>IFERROR(VLOOKUP($C33,'Proposed Rates'!$B:$J,Q$11,FALSE),0)</f>
        <v>0</v>
      </c>
      <c r="R33" s="415">
        <f t="shared" si="28"/>
        <v>470</v>
      </c>
      <c r="S33" s="400">
        <f t="shared" si="29"/>
        <v>0</v>
      </c>
      <c r="T33" s="417"/>
      <c r="U33" s="401">
        <f t="shared" ref="U33:U34" si="38">S33-L33</f>
        <v>0</v>
      </c>
      <c r="V33" s="402" t="str">
        <f t="shared" ref="V33:V34" si="39">IF((L33)=0,"",(U33/L33))</f>
        <v/>
      </c>
      <c r="W33" s="52"/>
      <c r="X33" s="397">
        <f>IFERROR(VLOOKUP($C33,'Proposed Rates'!$B:$J,X$11,FALSE),0)</f>
        <v>0</v>
      </c>
      <c r="Y33" s="415">
        <f t="shared" si="30"/>
        <v>470</v>
      </c>
      <c r="Z33" s="400">
        <f t="shared" si="31"/>
        <v>0</v>
      </c>
      <c r="AA33" s="417"/>
      <c r="AB33" s="401">
        <f t="shared" si="13"/>
        <v>0</v>
      </c>
      <c r="AC33" s="402" t="str">
        <f t="shared" si="14"/>
        <v/>
      </c>
      <c r="AD33" s="52"/>
      <c r="AE33" s="397">
        <f>IFERROR(VLOOKUP($C33,'Proposed Rates'!$B:$J,AE$11,FALSE),0)</f>
        <v>0</v>
      </c>
      <c r="AF33" s="415">
        <f t="shared" si="32"/>
        <v>470</v>
      </c>
      <c r="AG33" s="400">
        <f t="shared" si="33"/>
        <v>0</v>
      </c>
      <c r="AH33" s="417"/>
      <c r="AI33" s="401">
        <f t="shared" si="17"/>
        <v>0</v>
      </c>
      <c r="AJ33" s="402" t="str">
        <f t="shared" si="18"/>
        <v/>
      </c>
      <c r="AK33" s="52"/>
      <c r="AL33" s="397">
        <f>IFERROR(VLOOKUP($C33,'Proposed Rates'!$B:$J,AL$11,FALSE),0)</f>
        <v>0</v>
      </c>
      <c r="AM33" s="415">
        <f t="shared" si="34"/>
        <v>470</v>
      </c>
      <c r="AN33" s="400">
        <f t="shared" si="35"/>
        <v>0</v>
      </c>
      <c r="AO33" s="417"/>
      <c r="AP33" s="401">
        <f t="shared" ref="AP33:AP34" si="40">AN33-AG33</f>
        <v>0</v>
      </c>
      <c r="AQ33" s="402" t="str">
        <f t="shared" ref="AQ33:AQ34" si="41">IF((AG33)=0,"",(AP33/AG33))</f>
        <v/>
      </c>
      <c r="AR33" s="403"/>
    </row>
    <row r="34" spans="1:44" ht="12" customHeight="1">
      <c r="A34" s="551"/>
      <c r="B34" s="404" t="s">
        <v>252</v>
      </c>
      <c r="C34" s="395" t="str">
        <f t="shared" si="23"/>
        <v>Unmetered Scattered Load.Total Deferral/Variance Account Rate RidersYr2</v>
      </c>
      <c r="D34" s="396" t="s">
        <v>308</v>
      </c>
      <c r="E34" s="320"/>
      <c r="F34" s="397">
        <f>IFERROR(VLOOKUP($C34,'Proposed Rates'!$B:$J,F$11,FALSE),0)</f>
        <v>0</v>
      </c>
      <c r="G34" s="415">
        <f t="shared" si="24"/>
        <v>470</v>
      </c>
      <c r="H34" s="400">
        <f t="shared" si="25"/>
        <v>0</v>
      </c>
      <c r="I34" s="485"/>
      <c r="J34" s="397">
        <f>IFERROR(VLOOKUP($C34,'Proposed Rates'!$B:$J,J$11,FALSE),0)</f>
        <v>0</v>
      </c>
      <c r="K34" s="415">
        <f t="shared" si="26"/>
        <v>470</v>
      </c>
      <c r="L34" s="400">
        <f t="shared" si="27"/>
        <v>0</v>
      </c>
      <c r="M34" s="417"/>
      <c r="N34" s="401">
        <f t="shared" si="36"/>
        <v>0</v>
      </c>
      <c r="O34" s="402" t="str">
        <f t="shared" si="37"/>
        <v/>
      </c>
      <c r="P34" s="52"/>
      <c r="Q34" s="397">
        <f>IFERROR(VLOOKUP($C34,'Proposed Rates'!$B:$J,Q$11,FALSE),0)</f>
        <v>0</v>
      </c>
      <c r="R34" s="415">
        <f t="shared" si="28"/>
        <v>470</v>
      </c>
      <c r="S34" s="400">
        <f t="shared" si="29"/>
        <v>0</v>
      </c>
      <c r="T34" s="417"/>
      <c r="U34" s="401">
        <f t="shared" si="38"/>
        <v>0</v>
      </c>
      <c r="V34" s="402" t="str">
        <f t="shared" si="39"/>
        <v/>
      </c>
      <c r="W34" s="52"/>
      <c r="X34" s="397">
        <f>IFERROR(VLOOKUP($C34,'Proposed Rates'!$B:$J,X$11,FALSE),0)</f>
        <v>0</v>
      </c>
      <c r="Y34" s="415">
        <f t="shared" si="30"/>
        <v>470</v>
      </c>
      <c r="Z34" s="400">
        <f t="shared" si="31"/>
        <v>0</v>
      </c>
      <c r="AA34" s="417"/>
      <c r="AB34" s="401">
        <f t="shared" si="13"/>
        <v>0</v>
      </c>
      <c r="AC34" s="402" t="str">
        <f t="shared" si="14"/>
        <v/>
      </c>
      <c r="AD34" s="52"/>
      <c r="AE34" s="397">
        <f>IFERROR(VLOOKUP($C34,'Proposed Rates'!$B:$J,AE$11,FALSE),0)</f>
        <v>0</v>
      </c>
      <c r="AF34" s="415">
        <f t="shared" si="32"/>
        <v>470</v>
      </c>
      <c r="AG34" s="400">
        <f t="shared" si="33"/>
        <v>0</v>
      </c>
      <c r="AH34" s="417"/>
      <c r="AI34" s="401">
        <f t="shared" si="17"/>
        <v>0</v>
      </c>
      <c r="AJ34" s="402" t="str">
        <f t="shared" si="18"/>
        <v/>
      </c>
      <c r="AK34" s="52"/>
      <c r="AL34" s="397">
        <f>IFERROR(VLOOKUP($C34,'Proposed Rates'!$B:$J,AL$11,FALSE),0)</f>
        <v>0</v>
      </c>
      <c r="AM34" s="415">
        <f t="shared" si="34"/>
        <v>470</v>
      </c>
      <c r="AN34" s="400">
        <f t="shared" si="35"/>
        <v>0</v>
      </c>
      <c r="AO34" s="417"/>
      <c r="AP34" s="401">
        <f t="shared" si="40"/>
        <v>0</v>
      </c>
      <c r="AQ34" s="402" t="str">
        <f t="shared" si="41"/>
        <v/>
      </c>
      <c r="AR34" s="403"/>
    </row>
    <row r="35" spans="1:44" ht="12" customHeight="1">
      <c r="A35" s="551"/>
      <c r="B35" s="404" t="s">
        <v>254</v>
      </c>
      <c r="C35" s="395" t="str">
        <f t="shared" si="23"/>
        <v>Unmetered Scattered Load.Total Deferral/Variance Account Rate Riders</v>
      </c>
      <c r="D35" s="396" t="s">
        <v>308</v>
      </c>
      <c r="E35" s="320"/>
      <c r="F35" s="397">
        <f>IFERROR(VLOOKUP($C35,'Proposed Rates'!$B:$J,F$11,FALSE),0)</f>
        <v>0</v>
      </c>
      <c r="G35" s="415">
        <f t="shared" si="24"/>
        <v>470</v>
      </c>
      <c r="H35" s="400">
        <f t="shared" si="25"/>
        <v>0</v>
      </c>
      <c r="I35" s="128"/>
      <c r="J35" s="397">
        <f>IFERROR(VLOOKUP($C35,'Proposed Rates'!$B:$J,J$11,FALSE),0)</f>
        <v>0</v>
      </c>
      <c r="K35" s="415">
        <f t="shared" si="26"/>
        <v>470</v>
      </c>
      <c r="L35" s="400">
        <f t="shared" si="27"/>
        <v>0</v>
      </c>
      <c r="M35" s="128"/>
      <c r="N35" s="401"/>
      <c r="O35" s="402"/>
      <c r="P35" s="52"/>
      <c r="Q35" s="397">
        <f>IFERROR(VLOOKUP($C35,'Proposed Rates'!$B:$J,Q$11,FALSE),0)</f>
        <v>0</v>
      </c>
      <c r="R35" s="415">
        <f t="shared" si="28"/>
        <v>470</v>
      </c>
      <c r="S35" s="400">
        <f t="shared" si="29"/>
        <v>0</v>
      </c>
      <c r="T35" s="128"/>
      <c r="U35" s="401"/>
      <c r="V35" s="402"/>
      <c r="W35" s="52"/>
      <c r="X35" s="397">
        <f>IFERROR(VLOOKUP($C35,'Proposed Rates'!$B:$J,X$11,FALSE),0)</f>
        <v>0</v>
      </c>
      <c r="Y35" s="415">
        <f t="shared" si="30"/>
        <v>470</v>
      </c>
      <c r="Z35" s="400">
        <f t="shared" si="31"/>
        <v>0</v>
      </c>
      <c r="AA35" s="128"/>
      <c r="AB35" s="401"/>
      <c r="AC35" s="402"/>
      <c r="AD35" s="52"/>
      <c r="AE35" s="397">
        <f>IFERROR(VLOOKUP($C35,'Proposed Rates'!$B:$J,AE$11,FALSE),0)</f>
        <v>0</v>
      </c>
      <c r="AF35" s="415">
        <f t="shared" si="32"/>
        <v>470</v>
      </c>
      <c r="AG35" s="400">
        <f t="shared" si="33"/>
        <v>0</v>
      </c>
      <c r="AH35" s="128"/>
      <c r="AI35" s="401">
        <f t="shared" si="17"/>
        <v>0</v>
      </c>
      <c r="AJ35" s="402" t="str">
        <f t="shared" si="18"/>
        <v/>
      </c>
      <c r="AK35" s="52"/>
      <c r="AL35" s="397">
        <f>IFERROR(VLOOKUP($C35,'Proposed Rates'!$B:$J,AL$11,FALSE),0)</f>
        <v>0</v>
      </c>
      <c r="AM35" s="415">
        <f t="shared" si="34"/>
        <v>470</v>
      </c>
      <c r="AN35" s="400">
        <f t="shared" si="35"/>
        <v>0</v>
      </c>
      <c r="AO35" s="128"/>
      <c r="AP35" s="401"/>
      <c r="AQ35" s="402"/>
      <c r="AR35" s="403"/>
    </row>
    <row r="36" spans="1:44" ht="12" customHeight="1">
      <c r="A36" s="551"/>
      <c r="B36" s="320" t="s">
        <v>269</v>
      </c>
      <c r="C36" s="395" t="str">
        <f t="shared" si="23"/>
        <v>Unmetered Scattered Load.Low Voltage Service Charge</v>
      </c>
      <c r="D36" s="396" t="s">
        <v>308</v>
      </c>
      <c r="E36" s="320"/>
      <c r="F36" s="418">
        <f>IFERROR(VLOOKUP($C36,'Proposed Rates'!$B:$J,F$11,FALSE),0)</f>
        <v>5.0000000000000002E-5</v>
      </c>
      <c r="G36" s="508">
        <f>$F$9+G$37</f>
        <v>485.88600000000002</v>
      </c>
      <c r="H36" s="400">
        <f t="shared" si="25"/>
        <v>2.4294300000000001E-2</v>
      </c>
      <c r="I36" s="128"/>
      <c r="J36" s="418">
        <f>IFERROR(VLOOKUP($C36,'Proposed Rates'!$B:$J,J$11,FALSE),0)</f>
        <v>4.0000000000000003E-5</v>
      </c>
      <c r="K36" s="508">
        <f>$F$9+K$37</f>
        <v>485.60399999999993</v>
      </c>
      <c r="L36" s="400">
        <f t="shared" si="27"/>
        <v>1.9424159999999999E-2</v>
      </c>
      <c r="M36" s="128"/>
      <c r="N36" s="401">
        <f t="shared" ref="N36:N50" si="42">L36-H36</f>
        <v>-4.870140000000002E-3</v>
      </c>
      <c r="O36" s="402">
        <f t="shared" ref="O36:O50" si="43">IF((H36)=0,"",(N36/H36))</f>
        <v>-0.20046430644225197</v>
      </c>
      <c r="P36" s="52"/>
      <c r="Q36" s="418">
        <f>IFERROR(VLOOKUP($C36,'Proposed Rates'!$B:$J,Q$11,FALSE),0)</f>
        <v>4.0000000000000003E-5</v>
      </c>
      <c r="R36" s="508">
        <f>$F$9+R$37</f>
        <v>485.60399999999993</v>
      </c>
      <c r="S36" s="400">
        <f t="shared" si="29"/>
        <v>1.9424159999999999E-2</v>
      </c>
      <c r="T36" s="128"/>
      <c r="U36" s="401">
        <f t="shared" ref="U36:U50" si="44">S36-L36</f>
        <v>0</v>
      </c>
      <c r="V36" s="402">
        <f t="shared" ref="V36:V50" si="45">IF((L36)=0,"",(U36/L36))</f>
        <v>0</v>
      </c>
      <c r="W36" s="52"/>
      <c r="X36" s="418">
        <f>IFERROR(VLOOKUP($C36,'Proposed Rates'!$B:$J,X$11,FALSE),0)</f>
        <v>4.0000000000000003E-5</v>
      </c>
      <c r="Y36" s="508">
        <f>$F$9+Y$37</f>
        <v>485.60399999999993</v>
      </c>
      <c r="Z36" s="400">
        <f t="shared" si="31"/>
        <v>1.9424159999999999E-2</v>
      </c>
      <c r="AA36" s="128"/>
      <c r="AB36" s="401">
        <f t="shared" ref="AB36:AB50" si="46">Z36-S36</f>
        <v>0</v>
      </c>
      <c r="AC36" s="402">
        <f t="shared" ref="AC36:AC50" si="47">IF((S36)=0,"",(AB36/S36))</f>
        <v>0</v>
      </c>
      <c r="AD36" s="52"/>
      <c r="AE36" s="418">
        <f>IFERROR(VLOOKUP($C36,'Proposed Rates'!$B:$J,AE$11,FALSE),0)</f>
        <v>4.0000000000000003E-5</v>
      </c>
      <c r="AF36" s="508">
        <f>$F$9+AF$37</f>
        <v>485.60399999999993</v>
      </c>
      <c r="AG36" s="400">
        <f t="shared" si="33"/>
        <v>1.9424159999999999E-2</v>
      </c>
      <c r="AH36" s="128"/>
      <c r="AI36" s="401">
        <f t="shared" si="17"/>
        <v>0</v>
      </c>
      <c r="AJ36" s="402">
        <f t="shared" si="18"/>
        <v>0</v>
      </c>
      <c r="AK36" s="52"/>
      <c r="AL36" s="418">
        <f>IFERROR(VLOOKUP($C36,'Proposed Rates'!$B:$J,AL$11,FALSE),0)</f>
        <v>4.0000000000000003E-5</v>
      </c>
      <c r="AM36" s="508">
        <f>$F$9+AM$37</f>
        <v>485.60399999999993</v>
      </c>
      <c r="AN36" s="400">
        <f t="shared" si="35"/>
        <v>1.9424159999999999E-2</v>
      </c>
      <c r="AO36" s="128"/>
      <c r="AP36" s="401">
        <f t="shared" ref="AP36:AP50" si="48">AN36-AG36</f>
        <v>0</v>
      </c>
      <c r="AQ36" s="402">
        <f t="shared" ref="AQ36:AQ50" si="49">IF((AG36)=0,"",(AP36/AG36))</f>
        <v>0</v>
      </c>
      <c r="AR36" s="403"/>
    </row>
    <row r="37" spans="1:44" ht="12" customHeight="1">
      <c r="A37" s="551"/>
      <c r="B37" s="320" t="s">
        <v>312</v>
      </c>
      <c r="C37" s="395" t="str">
        <f t="shared" si="23"/>
        <v>Unmetered Scattered Load.Line Losses on Cost of Power</v>
      </c>
      <c r="D37" s="396" t="s">
        <v>308</v>
      </c>
      <c r="E37" s="320"/>
      <c r="F37" s="420">
        <f>'Proposed Rates'!$K$249*F$46+'Proposed Rates'!$K$250*F$47+'Proposed Rates'!$K$251*F$48</f>
        <v>0.12752000000000002</v>
      </c>
      <c r="G37" s="507">
        <f>$F$9*(1+F$65)-$F$9</f>
        <v>15.886000000000024</v>
      </c>
      <c r="H37" s="400">
        <f t="shared" si="25"/>
        <v>2.0257827200000036</v>
      </c>
      <c r="I37" s="128"/>
      <c r="J37" s="420">
        <f>'Proposed Rates'!$K$249*J$46+'Proposed Rates'!$K$250*J$47+'Proposed Rates'!$K$251*J$48</f>
        <v>0.12752000000000002</v>
      </c>
      <c r="K37" s="507">
        <f>$F$9*(1+J$65)-$F$9</f>
        <v>15.603999999999928</v>
      </c>
      <c r="L37" s="400">
        <f t="shared" si="27"/>
        <v>1.9898220799999913</v>
      </c>
      <c r="M37" s="128"/>
      <c r="N37" s="401">
        <f t="shared" si="42"/>
        <v>-3.5960640000012312E-2</v>
      </c>
      <c r="O37" s="402">
        <f t="shared" si="43"/>
        <v>-1.7751479289946876E-2</v>
      </c>
      <c r="P37" s="52"/>
      <c r="Q37" s="420">
        <f>'Proposed Rates'!$K$249*Q$46+'Proposed Rates'!$K$250*Q$47+'Proposed Rates'!$K$251*Q$48</f>
        <v>0.12752000000000002</v>
      </c>
      <c r="R37" s="507">
        <f>$F$9*(1+Q$65)-$F$9</f>
        <v>15.603999999999928</v>
      </c>
      <c r="S37" s="400">
        <f t="shared" si="29"/>
        <v>1.9898220799999913</v>
      </c>
      <c r="T37" s="128"/>
      <c r="U37" s="401">
        <f t="shared" si="44"/>
        <v>0</v>
      </c>
      <c r="V37" s="402">
        <f t="shared" si="45"/>
        <v>0</v>
      </c>
      <c r="W37" s="52"/>
      <c r="X37" s="420">
        <f>'Proposed Rates'!$K$249*X$46+'Proposed Rates'!$K$250*X$47+'Proposed Rates'!$K$251*X$48</f>
        <v>0.12752000000000002</v>
      </c>
      <c r="Y37" s="507">
        <f>$F$9*(1+X$65)-$F$9</f>
        <v>15.603999999999928</v>
      </c>
      <c r="Z37" s="400">
        <f t="shared" si="31"/>
        <v>1.9898220799999913</v>
      </c>
      <c r="AA37" s="128"/>
      <c r="AB37" s="401">
        <f t="shared" si="46"/>
        <v>0</v>
      </c>
      <c r="AC37" s="402">
        <f t="shared" si="47"/>
        <v>0</v>
      </c>
      <c r="AD37" s="52"/>
      <c r="AE37" s="420">
        <f>'Proposed Rates'!$K$249*AE$46+'Proposed Rates'!$K$250*AE$47+'Proposed Rates'!$K$251*AE$48</f>
        <v>0.12752000000000002</v>
      </c>
      <c r="AF37" s="507">
        <f>$F$9*(1+AE$65)-$F$9</f>
        <v>15.603999999999928</v>
      </c>
      <c r="AG37" s="400">
        <f t="shared" si="33"/>
        <v>1.9898220799999913</v>
      </c>
      <c r="AH37" s="128"/>
      <c r="AI37" s="401">
        <f t="shared" si="17"/>
        <v>0</v>
      </c>
      <c r="AJ37" s="402">
        <f t="shared" si="18"/>
        <v>0</v>
      </c>
      <c r="AK37" s="52"/>
      <c r="AL37" s="420">
        <f>'Proposed Rates'!$K$249*AL$46+'Proposed Rates'!$K$250*AL$47+'Proposed Rates'!$K$251*AL$48</f>
        <v>0.12752000000000002</v>
      </c>
      <c r="AM37" s="507">
        <f>$F$9*(1+AL$65)-$F$9</f>
        <v>15.603999999999928</v>
      </c>
      <c r="AN37" s="400">
        <f t="shared" si="35"/>
        <v>1.9898220799999913</v>
      </c>
      <c r="AO37" s="128"/>
      <c r="AP37" s="401">
        <f t="shared" si="48"/>
        <v>0</v>
      </c>
      <c r="AQ37" s="402">
        <f t="shared" si="49"/>
        <v>0</v>
      </c>
      <c r="AR37" s="403"/>
    </row>
    <row r="38" spans="1:44" ht="12" customHeight="1">
      <c r="A38" s="551"/>
      <c r="B38" s="320" t="s">
        <v>271</v>
      </c>
      <c r="C38" s="395" t="str">
        <f t="shared" si="23"/>
        <v>Unmetered Scattered Load.Smart Meter Entity Charge</v>
      </c>
      <c r="D38" s="396" t="s">
        <v>306</v>
      </c>
      <c r="E38" s="320"/>
      <c r="F38" s="414">
        <f>IFERROR(VLOOKUP($C38,'Proposed Rates'!$B:$J,F$11,FALSE),0)</f>
        <v>0</v>
      </c>
      <c r="G38" s="415">
        <f>IF($D38="Monthly",1,IF($D38="per KW",$F$10,IF($D38="per kWh",$F$9,0)))</f>
        <v>1</v>
      </c>
      <c r="H38" s="400">
        <f t="shared" si="25"/>
        <v>0</v>
      </c>
      <c r="I38" s="128"/>
      <c r="J38" s="414">
        <f>IFERROR(VLOOKUP($C38,'Proposed Rates'!$B:$J,J$11,FALSE),0)</f>
        <v>0</v>
      </c>
      <c r="K38" s="415">
        <f>IF($D38="Monthly",1,IF($D38="per KW",$F$10,IF($D38="per kWh",$F$9,0)))</f>
        <v>1</v>
      </c>
      <c r="L38" s="400">
        <f t="shared" si="27"/>
        <v>0</v>
      </c>
      <c r="M38" s="128"/>
      <c r="N38" s="401">
        <f t="shared" si="42"/>
        <v>0</v>
      </c>
      <c r="O38" s="402" t="str">
        <f t="shared" si="43"/>
        <v/>
      </c>
      <c r="P38" s="52"/>
      <c r="Q38" s="414">
        <f>IFERROR(VLOOKUP($C38,'Proposed Rates'!$B:$J,Q$11,FALSE),0)</f>
        <v>0</v>
      </c>
      <c r="R38" s="415">
        <f>IF($D38="Monthly",1,IF($D38="per KW",$F$10,IF($D38="per kWh",$F$9,0)))</f>
        <v>1</v>
      </c>
      <c r="S38" s="400">
        <f t="shared" si="29"/>
        <v>0</v>
      </c>
      <c r="T38" s="128"/>
      <c r="U38" s="401">
        <f t="shared" si="44"/>
        <v>0</v>
      </c>
      <c r="V38" s="402" t="str">
        <f t="shared" si="45"/>
        <v/>
      </c>
      <c r="W38" s="52"/>
      <c r="X38" s="414">
        <f>IFERROR(VLOOKUP($C38,'Proposed Rates'!$B:$J,X$11,FALSE),0)</f>
        <v>0</v>
      </c>
      <c r="Y38" s="415">
        <f>IF($D38="Monthly",1,IF($D38="per KW",$F$10,IF($D38="per kWh",$F$9,0)))</f>
        <v>1</v>
      </c>
      <c r="Z38" s="400">
        <f t="shared" si="31"/>
        <v>0</v>
      </c>
      <c r="AA38" s="128"/>
      <c r="AB38" s="401">
        <f t="shared" si="46"/>
        <v>0</v>
      </c>
      <c r="AC38" s="402" t="str">
        <f t="shared" si="47"/>
        <v/>
      </c>
      <c r="AD38" s="52"/>
      <c r="AE38" s="414">
        <f>IFERROR(VLOOKUP($C38,'Proposed Rates'!$B:$J,AE$11,FALSE),0)</f>
        <v>0</v>
      </c>
      <c r="AF38" s="415">
        <f>IF($D38="Monthly",1,IF($D38="per KW",$F$10,IF($D38="per kWh",$F$9,0)))</f>
        <v>1</v>
      </c>
      <c r="AG38" s="400">
        <f t="shared" si="33"/>
        <v>0</v>
      </c>
      <c r="AH38" s="128"/>
      <c r="AI38" s="401">
        <f t="shared" si="17"/>
        <v>0</v>
      </c>
      <c r="AJ38" s="402" t="str">
        <f t="shared" si="18"/>
        <v/>
      </c>
      <c r="AK38" s="52"/>
      <c r="AL38" s="414">
        <f>IFERROR(VLOOKUP($C38,'Proposed Rates'!$B:$J,AL$11,FALSE),0)</f>
        <v>0</v>
      </c>
      <c r="AM38" s="415">
        <f>IF($D38="Monthly",1,IF($D38="per KW",$F$10,IF($D38="per kWh",$F$9,0)))</f>
        <v>1</v>
      </c>
      <c r="AN38" s="400">
        <f t="shared" si="35"/>
        <v>0</v>
      </c>
      <c r="AO38" s="128"/>
      <c r="AP38" s="401">
        <f t="shared" si="48"/>
        <v>0</v>
      </c>
      <c r="AQ38" s="402" t="str">
        <f t="shared" si="49"/>
        <v/>
      </c>
      <c r="AR38" s="403"/>
    </row>
    <row r="39" spans="1:44" ht="12" customHeight="1">
      <c r="A39" s="551"/>
      <c r="B39" s="405" t="s">
        <v>313</v>
      </c>
      <c r="C39" s="422"/>
      <c r="D39" s="422"/>
      <c r="E39" s="422"/>
      <c r="F39" s="423"/>
      <c r="G39" s="501"/>
      <c r="H39" s="409">
        <f>SUM(H30:H38)+H29</f>
        <v>25.167077020000001</v>
      </c>
      <c r="I39" s="425"/>
      <c r="J39" s="423"/>
      <c r="K39" s="501"/>
      <c r="L39" s="409">
        <f>SUM(L30:L38)+L29</f>
        <v>27.670246239999994</v>
      </c>
      <c r="M39" s="425"/>
      <c r="N39" s="411">
        <f t="shared" si="42"/>
        <v>2.5031692199999931</v>
      </c>
      <c r="O39" s="412">
        <f t="shared" si="43"/>
        <v>9.9462055844258435E-2</v>
      </c>
      <c r="P39" s="52"/>
      <c r="Q39" s="423"/>
      <c r="R39" s="501"/>
      <c r="S39" s="409">
        <f>SUM(S30:S38)+S29</f>
        <v>30.204246239999993</v>
      </c>
      <c r="T39" s="425"/>
      <c r="U39" s="411">
        <f t="shared" si="44"/>
        <v>2.5339999999999989</v>
      </c>
      <c r="V39" s="412">
        <f t="shared" si="45"/>
        <v>9.1578512819190563E-2</v>
      </c>
      <c r="W39" s="52"/>
      <c r="X39" s="423"/>
      <c r="Y39" s="501"/>
      <c r="Z39" s="409">
        <f>SUM(Z30:Z38)+Z29</f>
        <v>32.502246239999991</v>
      </c>
      <c r="AA39" s="425"/>
      <c r="AB39" s="411">
        <f t="shared" si="46"/>
        <v>2.2979999999999983</v>
      </c>
      <c r="AC39" s="412">
        <f t="shared" si="47"/>
        <v>7.6082017797773016E-2</v>
      </c>
      <c r="AD39" s="52"/>
      <c r="AE39" s="423"/>
      <c r="AF39" s="501"/>
      <c r="AG39" s="409">
        <f>SUM(AG30:AG38)+AG29</f>
        <v>34.40824623999999</v>
      </c>
      <c r="AH39" s="425"/>
      <c r="AI39" s="411">
        <f t="shared" si="17"/>
        <v>1.9059999999999988</v>
      </c>
      <c r="AJ39" s="412">
        <f t="shared" si="18"/>
        <v>5.8642100792846596E-2</v>
      </c>
      <c r="AK39" s="52"/>
      <c r="AL39" s="423"/>
      <c r="AM39" s="501"/>
      <c r="AN39" s="409">
        <f>SUM(AN30:AN38)+AN29</f>
        <v>36.294246239999993</v>
      </c>
      <c r="AO39" s="425"/>
      <c r="AP39" s="411">
        <f t="shared" si="48"/>
        <v>1.8860000000000028</v>
      </c>
      <c r="AQ39" s="412">
        <f t="shared" si="49"/>
        <v>5.4812441960715386E-2</v>
      </c>
      <c r="AR39" s="413"/>
    </row>
    <row r="40" spans="1:44" ht="12" customHeight="1">
      <c r="A40" s="551"/>
      <c r="B40" s="128" t="s">
        <v>255</v>
      </c>
      <c r="C40" s="395" t="str">
        <f t="shared" ref="C40:C41" si="50">D$6&amp;"."&amp;B40</f>
        <v>Unmetered Scattered Load.RTSR - Network</v>
      </c>
      <c r="D40" s="426" t="s">
        <v>308</v>
      </c>
      <c r="E40" s="128"/>
      <c r="F40" s="414">
        <f>IFERROR(VLOOKUP($C40,'Proposed Rates'!$B:$J,F$11,FALSE),0)</f>
        <v>1.18E-2</v>
      </c>
      <c r="G40" s="508">
        <f t="shared" ref="G40:G41" si="51">$F$9+G$37</f>
        <v>485.88600000000002</v>
      </c>
      <c r="H40" s="400">
        <f t="shared" ref="H40:H41" si="52">G40*F40</f>
        <v>5.7334548000000005</v>
      </c>
      <c r="I40" s="128"/>
      <c r="J40" s="414">
        <f>IFERROR(VLOOKUP($C40,'Proposed Rates'!$B:$J,J$11,FALSE),0)</f>
        <v>7.4999999999999997E-3</v>
      </c>
      <c r="K40" s="508">
        <f t="shared" ref="K40:K41" si="53">$F$9+K$37</f>
        <v>485.60399999999993</v>
      </c>
      <c r="L40" s="400">
        <f t="shared" ref="L40:L41" si="54">K40*J40</f>
        <v>3.6420299999999992</v>
      </c>
      <c r="M40" s="128"/>
      <c r="N40" s="401">
        <f t="shared" si="42"/>
        <v>-2.0914248000000013</v>
      </c>
      <c r="O40" s="402">
        <f t="shared" si="43"/>
        <v>-0.36477566719458593</v>
      </c>
      <c r="P40" s="52"/>
      <c r="Q40" s="414">
        <f>IFERROR(VLOOKUP($C40,'Proposed Rates'!$B:$J,Q$11,FALSE),0)</f>
        <v>7.4999999999999997E-3</v>
      </c>
      <c r="R40" s="508">
        <f t="shared" ref="R40:R41" si="55">$F$9+R$37</f>
        <v>485.60399999999993</v>
      </c>
      <c r="S40" s="400">
        <f t="shared" ref="S40:S41" si="56">R40*Q40</f>
        <v>3.6420299999999992</v>
      </c>
      <c r="T40" s="128"/>
      <c r="U40" s="401">
        <f t="shared" si="44"/>
        <v>0</v>
      </c>
      <c r="V40" s="402">
        <f t="shared" si="45"/>
        <v>0</v>
      </c>
      <c r="W40" s="52"/>
      <c r="X40" s="414">
        <f>IFERROR(VLOOKUP($C40,'Proposed Rates'!$B:$J,X$11,FALSE),0)</f>
        <v>7.4999999999999997E-3</v>
      </c>
      <c r="Y40" s="508">
        <f t="shared" ref="Y40:Y41" si="57">$F$9+Y$37</f>
        <v>485.60399999999993</v>
      </c>
      <c r="Z40" s="400">
        <f t="shared" ref="Z40:Z41" si="58">Y40*X40</f>
        <v>3.6420299999999992</v>
      </c>
      <c r="AA40" s="128"/>
      <c r="AB40" s="401">
        <f t="shared" si="46"/>
        <v>0</v>
      </c>
      <c r="AC40" s="402">
        <f t="shared" si="47"/>
        <v>0</v>
      </c>
      <c r="AD40" s="52"/>
      <c r="AE40" s="414">
        <f>IFERROR(VLOOKUP($C40,'Proposed Rates'!$B:$J,AE$11,FALSE),0)</f>
        <v>7.4999999999999997E-3</v>
      </c>
      <c r="AF40" s="508">
        <f t="shared" ref="AF40:AF41" si="59">$F$9+AF$37</f>
        <v>485.60399999999993</v>
      </c>
      <c r="AG40" s="400">
        <f t="shared" ref="AG40:AG41" si="60">AF40*AE40</f>
        <v>3.6420299999999992</v>
      </c>
      <c r="AH40" s="128"/>
      <c r="AI40" s="401">
        <f t="shared" si="17"/>
        <v>0</v>
      </c>
      <c r="AJ40" s="402">
        <f t="shared" si="18"/>
        <v>0</v>
      </c>
      <c r="AK40" s="52"/>
      <c r="AL40" s="414">
        <f>IFERROR(VLOOKUP($C40,'Proposed Rates'!$B:$J,AL$11,FALSE),0)</f>
        <v>7.4999999999999997E-3</v>
      </c>
      <c r="AM40" s="508">
        <f t="shared" ref="AM40:AM41" si="61">$F$9+AM$37</f>
        <v>485.60399999999993</v>
      </c>
      <c r="AN40" s="400">
        <f t="shared" ref="AN40:AN41" si="62">AM40*AL40</f>
        <v>3.6420299999999992</v>
      </c>
      <c r="AO40" s="128"/>
      <c r="AP40" s="401">
        <f t="shared" si="48"/>
        <v>0</v>
      </c>
      <c r="AQ40" s="402">
        <f t="shared" si="49"/>
        <v>0</v>
      </c>
      <c r="AR40" s="403"/>
    </row>
    <row r="41" spans="1:44" ht="12" customHeight="1">
      <c r="A41" s="551"/>
      <c r="B41" s="128" t="s">
        <v>256</v>
      </c>
      <c r="C41" s="395" t="str">
        <f t="shared" si="50"/>
        <v>Unmetered Scattered Load.RTSR - Line and Transformation Connection</v>
      </c>
      <c r="D41" s="426" t="s">
        <v>308</v>
      </c>
      <c r="E41" s="128"/>
      <c r="F41" s="414">
        <f>IFERROR(VLOOKUP($C41,'Proposed Rates'!$B:$J,F$11,FALSE),0)</f>
        <v>7.0000000000000001E-3</v>
      </c>
      <c r="G41" s="508">
        <f t="shared" si="51"/>
        <v>485.88600000000002</v>
      </c>
      <c r="H41" s="400">
        <f t="shared" si="52"/>
        <v>3.4012020000000001</v>
      </c>
      <c r="I41" s="128"/>
      <c r="J41" s="414">
        <f>IFERROR(VLOOKUP($C41,'Proposed Rates'!$B:$J,J$11,FALSE),0)</f>
        <v>4.3E-3</v>
      </c>
      <c r="K41" s="508">
        <f t="shared" si="53"/>
        <v>485.60399999999993</v>
      </c>
      <c r="L41" s="400">
        <f t="shared" si="54"/>
        <v>2.0880971999999995</v>
      </c>
      <c r="M41" s="128"/>
      <c r="N41" s="401">
        <f t="shared" si="42"/>
        <v>-1.3131048000000005</v>
      </c>
      <c r="O41" s="402">
        <f t="shared" si="43"/>
        <v>-0.38607080673244354</v>
      </c>
      <c r="P41" s="52"/>
      <c r="Q41" s="414">
        <f>IFERROR(VLOOKUP($C41,'Proposed Rates'!$B:$J,Q$11,FALSE),0)</f>
        <v>4.3E-3</v>
      </c>
      <c r="R41" s="508">
        <f t="shared" si="55"/>
        <v>485.60399999999993</v>
      </c>
      <c r="S41" s="400">
        <f t="shared" si="56"/>
        <v>2.0880971999999995</v>
      </c>
      <c r="T41" s="128"/>
      <c r="U41" s="401">
        <f t="shared" si="44"/>
        <v>0</v>
      </c>
      <c r="V41" s="402">
        <f t="shared" si="45"/>
        <v>0</v>
      </c>
      <c r="W41" s="52"/>
      <c r="X41" s="414">
        <f>IFERROR(VLOOKUP($C41,'Proposed Rates'!$B:$J,X$11,FALSE),0)</f>
        <v>4.3E-3</v>
      </c>
      <c r="Y41" s="508">
        <f t="shared" si="57"/>
        <v>485.60399999999993</v>
      </c>
      <c r="Z41" s="400">
        <f t="shared" si="58"/>
        <v>2.0880971999999995</v>
      </c>
      <c r="AA41" s="128"/>
      <c r="AB41" s="401">
        <f t="shared" si="46"/>
        <v>0</v>
      </c>
      <c r="AC41" s="402">
        <f t="shared" si="47"/>
        <v>0</v>
      </c>
      <c r="AD41" s="52"/>
      <c r="AE41" s="414">
        <f>IFERROR(VLOOKUP($C41,'Proposed Rates'!$B:$J,AE$11,FALSE),0)</f>
        <v>4.3E-3</v>
      </c>
      <c r="AF41" s="508">
        <f t="shared" si="59"/>
        <v>485.60399999999993</v>
      </c>
      <c r="AG41" s="400">
        <f t="shared" si="60"/>
        <v>2.0880971999999995</v>
      </c>
      <c r="AH41" s="128"/>
      <c r="AI41" s="401">
        <f t="shared" si="17"/>
        <v>0</v>
      </c>
      <c r="AJ41" s="402">
        <f t="shared" si="18"/>
        <v>0</v>
      </c>
      <c r="AK41" s="52"/>
      <c r="AL41" s="414">
        <f>IFERROR(VLOOKUP($C41,'Proposed Rates'!$B:$J,AL$11,FALSE),0)</f>
        <v>4.3E-3</v>
      </c>
      <c r="AM41" s="508">
        <f t="shared" si="61"/>
        <v>485.60399999999993</v>
      </c>
      <c r="AN41" s="400">
        <f t="shared" si="62"/>
        <v>2.0880971999999995</v>
      </c>
      <c r="AO41" s="128"/>
      <c r="AP41" s="401">
        <f t="shared" si="48"/>
        <v>0</v>
      </c>
      <c r="AQ41" s="402">
        <f t="shared" si="49"/>
        <v>0</v>
      </c>
      <c r="AR41" s="403"/>
    </row>
    <row r="42" spans="1:44" ht="12" customHeight="1">
      <c r="A42" s="551"/>
      <c r="B42" s="405" t="s">
        <v>314</v>
      </c>
      <c r="C42" s="427"/>
      <c r="D42" s="427"/>
      <c r="E42" s="427"/>
      <c r="F42" s="428"/>
      <c r="G42" s="501"/>
      <c r="H42" s="409">
        <f>SUM(H39:H41)</f>
        <v>34.301733820000003</v>
      </c>
      <c r="I42" s="410"/>
      <c r="J42" s="428"/>
      <c r="K42" s="501"/>
      <c r="L42" s="409">
        <f>SUM(L39:L41)</f>
        <v>33.400373439999989</v>
      </c>
      <c r="M42" s="410"/>
      <c r="N42" s="411">
        <f t="shared" si="42"/>
        <v>-0.90136038000001406</v>
      </c>
      <c r="O42" s="412">
        <f t="shared" si="43"/>
        <v>-2.6277399991788929E-2</v>
      </c>
      <c r="P42" s="52"/>
      <c r="Q42" s="428"/>
      <c r="R42" s="501"/>
      <c r="S42" s="409">
        <f>SUM(S39:S41)</f>
        <v>35.934373439999995</v>
      </c>
      <c r="T42" s="410"/>
      <c r="U42" s="411">
        <f t="shared" si="44"/>
        <v>2.534000000000006</v>
      </c>
      <c r="V42" s="412">
        <f t="shared" si="45"/>
        <v>7.5867415211750611E-2</v>
      </c>
      <c r="W42" s="52"/>
      <c r="X42" s="428"/>
      <c r="Y42" s="501"/>
      <c r="Z42" s="409">
        <f>SUM(Z39:Z41)</f>
        <v>38.232373439999989</v>
      </c>
      <c r="AA42" s="410"/>
      <c r="AB42" s="411">
        <f t="shared" si="46"/>
        <v>2.2979999999999947</v>
      </c>
      <c r="AC42" s="412">
        <f t="shared" si="47"/>
        <v>6.3949911463935485E-2</v>
      </c>
      <c r="AD42" s="52"/>
      <c r="AE42" s="428"/>
      <c r="AF42" s="501"/>
      <c r="AG42" s="409">
        <f>SUM(AG39:AG41)</f>
        <v>40.138373439999988</v>
      </c>
      <c r="AH42" s="410"/>
      <c r="AI42" s="411">
        <f t="shared" si="17"/>
        <v>1.9059999999999988</v>
      </c>
      <c r="AJ42" s="412">
        <f t="shared" si="18"/>
        <v>4.9853038891011607E-2</v>
      </c>
      <c r="AK42" s="52"/>
      <c r="AL42" s="428"/>
      <c r="AM42" s="501"/>
      <c r="AN42" s="409">
        <f>SUM(AN39:AN41)</f>
        <v>42.024373439999991</v>
      </c>
      <c r="AO42" s="410"/>
      <c r="AP42" s="411">
        <f t="shared" si="48"/>
        <v>1.8860000000000028</v>
      </c>
      <c r="AQ42" s="412">
        <f t="shared" si="49"/>
        <v>4.6987454606730657E-2</v>
      </c>
      <c r="AR42" s="413"/>
    </row>
    <row r="43" spans="1:44" ht="12" customHeight="1">
      <c r="A43" s="551"/>
      <c r="B43" s="320" t="s">
        <v>257</v>
      </c>
      <c r="C43" s="395" t="str">
        <f t="shared" ref="C43:C45" si="63">D$6&amp;"."&amp;B43</f>
        <v>Unmetered Scattered Load.Wholesale Market Service Charge (WMSC)</v>
      </c>
      <c r="D43" s="396" t="s">
        <v>308</v>
      </c>
      <c r="E43" s="320"/>
      <c r="F43" s="414">
        <f>IFERROR(VLOOKUP($C43,'Proposed Rates'!$B:$J,F$11,FALSE),0)</f>
        <v>4.4999999999999997E-3</v>
      </c>
      <c r="G43" s="508">
        <f t="shared" ref="G43:G44" si="64">$F$9+G$37</f>
        <v>485.88600000000002</v>
      </c>
      <c r="H43" s="400">
        <f t="shared" ref="H43:H50" si="65">G43*F43</f>
        <v>2.1864870000000001</v>
      </c>
      <c r="I43" s="128"/>
      <c r="J43" s="414">
        <f>IFERROR(VLOOKUP($C43,'Proposed Rates'!$B:$J,J$11,FALSE),0)</f>
        <v>4.4999999999999997E-3</v>
      </c>
      <c r="K43" s="508">
        <f t="shared" ref="K43:K44" si="66">$F$9+K$37</f>
        <v>485.60399999999993</v>
      </c>
      <c r="L43" s="400">
        <f t="shared" ref="L43:L50" si="67">K43*J43</f>
        <v>2.1852179999999994</v>
      </c>
      <c r="M43" s="128"/>
      <c r="N43" s="401">
        <f t="shared" si="42"/>
        <v>-1.2690000000006307E-3</v>
      </c>
      <c r="O43" s="402">
        <f t="shared" si="43"/>
        <v>-5.8038305281514621E-4</v>
      </c>
      <c r="P43" s="52"/>
      <c r="Q43" s="414">
        <f>IFERROR(VLOOKUP($C43,'Proposed Rates'!$B:$J,Q$11,FALSE),0)</f>
        <v>4.4999999999999997E-3</v>
      </c>
      <c r="R43" s="508">
        <f t="shared" ref="R43:R44" si="68">$F$9+R$37</f>
        <v>485.60399999999993</v>
      </c>
      <c r="S43" s="400">
        <f t="shared" ref="S43:S50" si="69">R43*Q43</f>
        <v>2.1852179999999994</v>
      </c>
      <c r="T43" s="128"/>
      <c r="U43" s="401">
        <f t="shared" si="44"/>
        <v>0</v>
      </c>
      <c r="V43" s="402">
        <f t="shared" si="45"/>
        <v>0</v>
      </c>
      <c r="W43" s="52"/>
      <c r="X43" s="414">
        <f>IFERROR(VLOOKUP($C43,'Proposed Rates'!$B:$J,X$11,FALSE),0)</f>
        <v>4.4999999999999997E-3</v>
      </c>
      <c r="Y43" s="508">
        <f t="shared" ref="Y43:Y44" si="70">$F$9+Y$37</f>
        <v>485.60399999999993</v>
      </c>
      <c r="Z43" s="400">
        <f t="shared" ref="Z43:Z50" si="71">Y43*X43</f>
        <v>2.1852179999999994</v>
      </c>
      <c r="AA43" s="128"/>
      <c r="AB43" s="401">
        <f t="shared" si="46"/>
        <v>0</v>
      </c>
      <c r="AC43" s="402">
        <f t="shared" si="47"/>
        <v>0</v>
      </c>
      <c r="AD43" s="52"/>
      <c r="AE43" s="414">
        <f>IFERROR(VLOOKUP($C43,'Proposed Rates'!$B:$J,AE$11,FALSE),0)</f>
        <v>4.4999999999999997E-3</v>
      </c>
      <c r="AF43" s="508">
        <f t="shared" ref="AF43:AF44" si="72">$F$9+AF$37</f>
        <v>485.60399999999993</v>
      </c>
      <c r="AG43" s="400">
        <f t="shared" ref="AG43:AG50" si="73">AF43*AE43</f>
        <v>2.1852179999999994</v>
      </c>
      <c r="AH43" s="128"/>
      <c r="AI43" s="401">
        <f t="shared" si="17"/>
        <v>0</v>
      </c>
      <c r="AJ43" s="402">
        <f t="shared" si="18"/>
        <v>0</v>
      </c>
      <c r="AK43" s="52"/>
      <c r="AL43" s="414">
        <f>IFERROR(VLOOKUP($C43,'Proposed Rates'!$B:$J,AL$11,FALSE),0)</f>
        <v>4.4999999999999997E-3</v>
      </c>
      <c r="AM43" s="508">
        <f t="shared" ref="AM43:AM44" si="74">$F$9+AM$37</f>
        <v>485.60399999999993</v>
      </c>
      <c r="AN43" s="400">
        <f t="shared" ref="AN43:AN50" si="75">AM43*AL43</f>
        <v>2.1852179999999994</v>
      </c>
      <c r="AO43" s="128"/>
      <c r="AP43" s="401">
        <f t="shared" si="48"/>
        <v>0</v>
      </c>
      <c r="AQ43" s="402">
        <f t="shared" si="49"/>
        <v>0</v>
      </c>
      <c r="AR43" s="403"/>
    </row>
    <row r="44" spans="1:44" ht="12" customHeight="1">
      <c r="A44" s="551"/>
      <c r="B44" s="320" t="s">
        <v>258</v>
      </c>
      <c r="C44" s="395" t="str">
        <f t="shared" si="63"/>
        <v>Unmetered Scattered Load.Rural and Remote Rate Protection (RRRP)</v>
      </c>
      <c r="D44" s="396" t="s">
        <v>308</v>
      </c>
      <c r="E44" s="320"/>
      <c r="F44" s="414">
        <f>IFERROR(VLOOKUP($C44,'Proposed Rates'!$B:$J,F$11,FALSE),0)</f>
        <v>1.5E-3</v>
      </c>
      <c r="G44" s="508">
        <f t="shared" si="64"/>
        <v>485.88600000000002</v>
      </c>
      <c r="H44" s="400">
        <f t="shared" si="65"/>
        <v>0.72882900000000006</v>
      </c>
      <c r="I44" s="128"/>
      <c r="J44" s="414">
        <f>IFERROR(VLOOKUP($C44,'Proposed Rates'!$B:$J,J$11,FALSE),0)</f>
        <v>1.5E-3</v>
      </c>
      <c r="K44" s="508">
        <f t="shared" si="66"/>
        <v>485.60399999999993</v>
      </c>
      <c r="L44" s="400">
        <f t="shared" si="67"/>
        <v>0.72840599999999989</v>
      </c>
      <c r="M44" s="128"/>
      <c r="N44" s="401">
        <f t="shared" si="42"/>
        <v>-4.2300000000017324E-4</v>
      </c>
      <c r="O44" s="402">
        <f t="shared" si="43"/>
        <v>-5.8038305281509547E-4</v>
      </c>
      <c r="P44" s="52"/>
      <c r="Q44" s="414">
        <f>IFERROR(VLOOKUP($C44,'Proposed Rates'!$B:$J,Q$11,FALSE),0)</f>
        <v>1.5E-3</v>
      </c>
      <c r="R44" s="508">
        <f t="shared" si="68"/>
        <v>485.60399999999993</v>
      </c>
      <c r="S44" s="400">
        <f t="shared" si="69"/>
        <v>0.72840599999999989</v>
      </c>
      <c r="T44" s="128"/>
      <c r="U44" s="401">
        <f t="shared" si="44"/>
        <v>0</v>
      </c>
      <c r="V44" s="402">
        <f t="shared" si="45"/>
        <v>0</v>
      </c>
      <c r="W44" s="52"/>
      <c r="X44" s="414">
        <f>IFERROR(VLOOKUP($C44,'Proposed Rates'!$B:$J,X$11,FALSE),0)</f>
        <v>1.5E-3</v>
      </c>
      <c r="Y44" s="508">
        <f t="shared" si="70"/>
        <v>485.60399999999993</v>
      </c>
      <c r="Z44" s="400">
        <f t="shared" si="71"/>
        <v>0.72840599999999989</v>
      </c>
      <c r="AA44" s="128"/>
      <c r="AB44" s="401">
        <f t="shared" si="46"/>
        <v>0</v>
      </c>
      <c r="AC44" s="402">
        <f t="shared" si="47"/>
        <v>0</v>
      </c>
      <c r="AD44" s="52"/>
      <c r="AE44" s="414">
        <f>IFERROR(VLOOKUP($C44,'Proposed Rates'!$B:$J,AE$11,FALSE),0)</f>
        <v>1.5E-3</v>
      </c>
      <c r="AF44" s="508">
        <f t="shared" si="72"/>
        <v>485.60399999999993</v>
      </c>
      <c r="AG44" s="400">
        <f t="shared" si="73"/>
        <v>0.72840599999999989</v>
      </c>
      <c r="AH44" s="128"/>
      <c r="AI44" s="401">
        <f t="shared" si="17"/>
        <v>0</v>
      </c>
      <c r="AJ44" s="402">
        <f t="shared" si="18"/>
        <v>0</v>
      </c>
      <c r="AK44" s="52"/>
      <c r="AL44" s="414">
        <f>IFERROR(VLOOKUP($C44,'Proposed Rates'!$B:$J,AL$11,FALSE),0)</f>
        <v>1.5E-3</v>
      </c>
      <c r="AM44" s="508">
        <f t="shared" si="74"/>
        <v>485.60399999999993</v>
      </c>
      <c r="AN44" s="400">
        <f t="shared" si="75"/>
        <v>0.72840599999999989</v>
      </c>
      <c r="AO44" s="128"/>
      <c r="AP44" s="401">
        <f t="shared" si="48"/>
        <v>0</v>
      </c>
      <c r="AQ44" s="402">
        <f t="shared" si="49"/>
        <v>0</v>
      </c>
      <c r="AR44" s="403"/>
    </row>
    <row r="45" spans="1:44" ht="12" customHeight="1">
      <c r="A45" s="551"/>
      <c r="B45" s="320" t="s">
        <v>260</v>
      </c>
      <c r="C45" s="395" t="str">
        <f t="shared" si="63"/>
        <v>Unmetered Scattered Load.Standard Supply Service Charge</v>
      </c>
      <c r="D45" s="396" t="s">
        <v>306</v>
      </c>
      <c r="E45" s="320"/>
      <c r="F45" s="397">
        <f>IFERROR(VLOOKUP($C45,'Proposed Rates'!$B:$J,F$11,FALSE),0)</f>
        <v>0.25</v>
      </c>
      <c r="G45" s="417">
        <v>1</v>
      </c>
      <c r="H45" s="400">
        <f t="shared" si="65"/>
        <v>0.25</v>
      </c>
      <c r="I45" s="128"/>
      <c r="J45" s="397">
        <f>IFERROR(VLOOKUP($C45,'Proposed Rates'!$B:$J,J$11,FALSE),0)</f>
        <v>1.51</v>
      </c>
      <c r="K45" s="417">
        <v>1</v>
      </c>
      <c r="L45" s="400">
        <f t="shared" si="67"/>
        <v>1.51</v>
      </c>
      <c r="M45" s="128"/>
      <c r="N45" s="401">
        <f t="shared" si="42"/>
        <v>1.26</v>
      </c>
      <c r="O45" s="402">
        <f t="shared" si="43"/>
        <v>5.04</v>
      </c>
      <c r="P45" s="52"/>
      <c r="Q45" s="397">
        <f>IFERROR(VLOOKUP($C45,'Proposed Rates'!$B:$J,Q$11,FALSE),0)</f>
        <v>1.54</v>
      </c>
      <c r="R45" s="417">
        <v>1</v>
      </c>
      <c r="S45" s="400">
        <f t="shared" si="69"/>
        <v>1.54</v>
      </c>
      <c r="T45" s="128"/>
      <c r="U45" s="401">
        <f t="shared" si="44"/>
        <v>3.0000000000000027E-2</v>
      </c>
      <c r="V45" s="402">
        <f t="shared" si="45"/>
        <v>1.986754966887419E-2</v>
      </c>
      <c r="W45" s="52"/>
      <c r="X45" s="397">
        <f>IFERROR(VLOOKUP($C45,'Proposed Rates'!$B:$J,X$11,FALSE),0)</f>
        <v>1.57</v>
      </c>
      <c r="Y45" s="417">
        <v>1</v>
      </c>
      <c r="Z45" s="400">
        <f t="shared" si="71"/>
        <v>1.57</v>
      </c>
      <c r="AA45" s="128"/>
      <c r="AB45" s="401">
        <f t="shared" si="46"/>
        <v>3.0000000000000027E-2</v>
      </c>
      <c r="AC45" s="402">
        <f t="shared" si="47"/>
        <v>1.9480519480519497E-2</v>
      </c>
      <c r="AD45" s="52"/>
      <c r="AE45" s="397">
        <f>IFERROR(VLOOKUP($C45,'Proposed Rates'!$B:$J,AE$11,FALSE),0)</f>
        <v>1.6</v>
      </c>
      <c r="AF45" s="417">
        <v>1</v>
      </c>
      <c r="AG45" s="400">
        <f t="shared" si="73"/>
        <v>1.6</v>
      </c>
      <c r="AH45" s="128"/>
      <c r="AI45" s="401">
        <f t="shared" si="17"/>
        <v>3.0000000000000027E-2</v>
      </c>
      <c r="AJ45" s="402">
        <f t="shared" si="18"/>
        <v>1.9108280254777087E-2</v>
      </c>
      <c r="AK45" s="52"/>
      <c r="AL45" s="397">
        <f>IFERROR(VLOOKUP($C45,'Proposed Rates'!$B:$J,AL$11,FALSE),0)</f>
        <v>1.63</v>
      </c>
      <c r="AM45" s="417">
        <v>1</v>
      </c>
      <c r="AN45" s="400">
        <f t="shared" si="75"/>
        <v>1.63</v>
      </c>
      <c r="AO45" s="128"/>
      <c r="AP45" s="401">
        <f t="shared" si="48"/>
        <v>2.9999999999999805E-2</v>
      </c>
      <c r="AQ45" s="402">
        <f t="shared" si="49"/>
        <v>1.8749999999999878E-2</v>
      </c>
      <c r="AR45" s="403"/>
    </row>
    <row r="46" spans="1:44" ht="12" customHeight="1">
      <c r="A46" s="551"/>
      <c r="B46" s="320" t="s">
        <v>262</v>
      </c>
      <c r="C46" s="395" t="str">
        <f t="shared" ref="C46:C50" si="76">B46</f>
        <v>TOU - Off Peak</v>
      </c>
      <c r="D46" s="396" t="s">
        <v>308</v>
      </c>
      <c r="E46" s="320"/>
      <c r="F46" s="585">
        <f>VLOOKUP($B46,'Proposed Rates'!$D$248:$J$254,+F$11-2,FALSE)</f>
        <v>9.8000000000000004E-2</v>
      </c>
      <c r="G46" s="508">
        <f>'Proposed Rates'!$K249*$F$9</f>
        <v>300.8</v>
      </c>
      <c r="H46" s="400">
        <f t="shared" si="65"/>
        <v>29.478400000000001</v>
      </c>
      <c r="I46" s="128"/>
      <c r="J46" s="585">
        <f>VLOOKUP($B46,'Proposed Rates'!$D$248:$J$254,+J$11-2,FALSE)</f>
        <v>9.8000000000000004E-2</v>
      </c>
      <c r="K46" s="508">
        <f>'Proposed Rates'!$K249*$F$9</f>
        <v>300.8</v>
      </c>
      <c r="L46" s="400">
        <f t="shared" si="67"/>
        <v>29.478400000000001</v>
      </c>
      <c r="M46" s="128"/>
      <c r="N46" s="401">
        <f t="shared" si="42"/>
        <v>0</v>
      </c>
      <c r="O46" s="402">
        <f t="shared" si="43"/>
        <v>0</v>
      </c>
      <c r="P46" s="52"/>
      <c r="Q46" s="585">
        <f>VLOOKUP($B46,'Proposed Rates'!$D$248:$J$254,+Q$11-2,FALSE)</f>
        <v>9.8000000000000004E-2</v>
      </c>
      <c r="R46" s="508">
        <f>'Proposed Rates'!$K249*$F$9</f>
        <v>300.8</v>
      </c>
      <c r="S46" s="400">
        <f t="shared" si="69"/>
        <v>29.478400000000001</v>
      </c>
      <c r="T46" s="128"/>
      <c r="U46" s="401">
        <f t="shared" si="44"/>
        <v>0</v>
      </c>
      <c r="V46" s="402">
        <f t="shared" si="45"/>
        <v>0</v>
      </c>
      <c r="W46" s="52"/>
      <c r="X46" s="585">
        <f>VLOOKUP($B46,'Proposed Rates'!$D$248:$J$254,+X$11-2,FALSE)</f>
        <v>9.8000000000000004E-2</v>
      </c>
      <c r="Y46" s="508">
        <f>'Proposed Rates'!$K249*$F$9</f>
        <v>300.8</v>
      </c>
      <c r="Z46" s="400">
        <f t="shared" si="71"/>
        <v>29.478400000000001</v>
      </c>
      <c r="AA46" s="128"/>
      <c r="AB46" s="401">
        <f t="shared" si="46"/>
        <v>0</v>
      </c>
      <c r="AC46" s="402">
        <f t="shared" si="47"/>
        <v>0</v>
      </c>
      <c r="AD46" s="52"/>
      <c r="AE46" s="585">
        <f>VLOOKUP($B46,'Proposed Rates'!$D$248:$J$254,+AE$11-2,FALSE)</f>
        <v>9.8000000000000004E-2</v>
      </c>
      <c r="AF46" s="508">
        <f>'Proposed Rates'!$K249*$F$9</f>
        <v>300.8</v>
      </c>
      <c r="AG46" s="400">
        <f t="shared" si="73"/>
        <v>29.478400000000001</v>
      </c>
      <c r="AH46" s="128"/>
      <c r="AI46" s="401">
        <f t="shared" si="17"/>
        <v>0</v>
      </c>
      <c r="AJ46" s="402">
        <f t="shared" si="18"/>
        <v>0</v>
      </c>
      <c r="AK46" s="52"/>
      <c r="AL46" s="585">
        <f>VLOOKUP($B46,'Proposed Rates'!$D$248:$J$254,+AL$11-2,FALSE)</f>
        <v>9.8000000000000004E-2</v>
      </c>
      <c r="AM46" s="508">
        <f>'Proposed Rates'!$K249*$F$9</f>
        <v>300.8</v>
      </c>
      <c r="AN46" s="400">
        <f t="shared" si="75"/>
        <v>29.478400000000001</v>
      </c>
      <c r="AO46" s="128"/>
      <c r="AP46" s="401">
        <f t="shared" si="48"/>
        <v>0</v>
      </c>
      <c r="AQ46" s="402">
        <f t="shared" si="49"/>
        <v>0</v>
      </c>
      <c r="AR46" s="403"/>
    </row>
    <row r="47" spans="1:44" ht="12" customHeight="1">
      <c r="A47" s="551"/>
      <c r="B47" s="320" t="s">
        <v>263</v>
      </c>
      <c r="C47" s="395" t="str">
        <f t="shared" si="76"/>
        <v>TOU - Mid Peak</v>
      </c>
      <c r="D47" s="396" t="s">
        <v>308</v>
      </c>
      <c r="E47" s="320"/>
      <c r="F47" s="585">
        <f>VLOOKUP($B47,'Proposed Rates'!$D$248:$J$254,+F$11-2,FALSE)</f>
        <v>0.157</v>
      </c>
      <c r="G47" s="508">
        <f>'Proposed Rates'!$K250*$F$9</f>
        <v>84.6</v>
      </c>
      <c r="H47" s="400">
        <f t="shared" si="65"/>
        <v>13.2822</v>
      </c>
      <c r="I47" s="128"/>
      <c r="J47" s="585">
        <f>VLOOKUP($B47,'Proposed Rates'!$D$248:$J$254,+J$11-2,FALSE)</f>
        <v>0.157</v>
      </c>
      <c r="K47" s="508">
        <f>'Proposed Rates'!$K250*$F$9</f>
        <v>84.6</v>
      </c>
      <c r="L47" s="400">
        <f t="shared" si="67"/>
        <v>13.2822</v>
      </c>
      <c r="M47" s="128"/>
      <c r="N47" s="401">
        <f t="shared" si="42"/>
        <v>0</v>
      </c>
      <c r="O47" s="402">
        <f t="shared" si="43"/>
        <v>0</v>
      </c>
      <c r="P47" s="52"/>
      <c r="Q47" s="585">
        <f>VLOOKUP($B47,'Proposed Rates'!$D$248:$J$254,+Q$11-2,FALSE)</f>
        <v>0.157</v>
      </c>
      <c r="R47" s="508">
        <f>'Proposed Rates'!$K250*$F$9</f>
        <v>84.6</v>
      </c>
      <c r="S47" s="400">
        <f t="shared" si="69"/>
        <v>13.2822</v>
      </c>
      <c r="T47" s="128"/>
      <c r="U47" s="401">
        <f t="shared" si="44"/>
        <v>0</v>
      </c>
      <c r="V47" s="402">
        <f t="shared" si="45"/>
        <v>0</v>
      </c>
      <c r="W47" s="52"/>
      <c r="X47" s="585">
        <f>VLOOKUP($B47,'Proposed Rates'!$D$248:$J$254,+X$11-2,FALSE)</f>
        <v>0.157</v>
      </c>
      <c r="Y47" s="508">
        <f>'Proposed Rates'!$K250*$F$9</f>
        <v>84.6</v>
      </c>
      <c r="Z47" s="400">
        <f t="shared" si="71"/>
        <v>13.2822</v>
      </c>
      <c r="AA47" s="128"/>
      <c r="AB47" s="401">
        <f t="shared" si="46"/>
        <v>0</v>
      </c>
      <c r="AC47" s="402">
        <f t="shared" si="47"/>
        <v>0</v>
      </c>
      <c r="AD47" s="52"/>
      <c r="AE47" s="585">
        <f>VLOOKUP($B47,'Proposed Rates'!$D$248:$J$254,+AE$11-2,FALSE)</f>
        <v>0.157</v>
      </c>
      <c r="AF47" s="508">
        <f>'Proposed Rates'!$K250*$F$9</f>
        <v>84.6</v>
      </c>
      <c r="AG47" s="400">
        <f t="shared" si="73"/>
        <v>13.2822</v>
      </c>
      <c r="AH47" s="128"/>
      <c r="AI47" s="401">
        <f t="shared" si="17"/>
        <v>0</v>
      </c>
      <c r="AJ47" s="402">
        <f t="shared" si="18"/>
        <v>0</v>
      </c>
      <c r="AK47" s="52"/>
      <c r="AL47" s="585">
        <f>VLOOKUP($B47,'Proposed Rates'!$D$248:$J$254,+AL$11-2,FALSE)</f>
        <v>0.157</v>
      </c>
      <c r="AM47" s="508">
        <f>'Proposed Rates'!$K250*$F$9</f>
        <v>84.6</v>
      </c>
      <c r="AN47" s="400">
        <f t="shared" si="75"/>
        <v>13.2822</v>
      </c>
      <c r="AO47" s="128"/>
      <c r="AP47" s="401">
        <f t="shared" si="48"/>
        <v>0</v>
      </c>
      <c r="AQ47" s="402">
        <f t="shared" si="49"/>
        <v>0</v>
      </c>
      <c r="AR47" s="403"/>
    </row>
    <row r="48" spans="1:44" ht="12" customHeight="1">
      <c r="A48" s="551"/>
      <c r="B48" s="52" t="s">
        <v>264</v>
      </c>
      <c r="C48" s="395" t="str">
        <f t="shared" si="76"/>
        <v>TOU - On Peak</v>
      </c>
      <c r="D48" s="396" t="s">
        <v>308</v>
      </c>
      <c r="E48" s="320"/>
      <c r="F48" s="585">
        <f>VLOOKUP($B48,'Proposed Rates'!$D$248:$J$254,+F$11-2,FALSE)</f>
        <v>0.20300000000000001</v>
      </c>
      <c r="G48" s="508">
        <f>'Proposed Rates'!$K251*$F$9</f>
        <v>84.6</v>
      </c>
      <c r="H48" s="400">
        <f t="shared" si="65"/>
        <v>17.1738</v>
      </c>
      <c r="I48" s="128"/>
      <c r="J48" s="585">
        <f>VLOOKUP($B48,'Proposed Rates'!$D$248:$J$254,+J$11-2,FALSE)</f>
        <v>0.20300000000000001</v>
      </c>
      <c r="K48" s="508">
        <f>'Proposed Rates'!$K251*$F$9</f>
        <v>84.6</v>
      </c>
      <c r="L48" s="400">
        <f t="shared" si="67"/>
        <v>17.1738</v>
      </c>
      <c r="M48" s="128"/>
      <c r="N48" s="401">
        <f t="shared" si="42"/>
        <v>0</v>
      </c>
      <c r="O48" s="402">
        <f t="shared" si="43"/>
        <v>0</v>
      </c>
      <c r="P48" s="52"/>
      <c r="Q48" s="585">
        <f>VLOOKUP($B48,'Proposed Rates'!$D$248:$J$254,+Q$11-2,FALSE)</f>
        <v>0.20300000000000001</v>
      </c>
      <c r="R48" s="508">
        <f>'Proposed Rates'!$K251*$F$9</f>
        <v>84.6</v>
      </c>
      <c r="S48" s="400">
        <f t="shared" si="69"/>
        <v>17.1738</v>
      </c>
      <c r="T48" s="128"/>
      <c r="U48" s="401">
        <f t="shared" si="44"/>
        <v>0</v>
      </c>
      <c r="V48" s="402">
        <f t="shared" si="45"/>
        <v>0</v>
      </c>
      <c r="W48" s="52"/>
      <c r="X48" s="585">
        <f>VLOOKUP($B48,'Proposed Rates'!$D$248:$J$254,+X$11-2,FALSE)</f>
        <v>0.20300000000000001</v>
      </c>
      <c r="Y48" s="508">
        <f>'Proposed Rates'!$K251*$F$9</f>
        <v>84.6</v>
      </c>
      <c r="Z48" s="400">
        <f t="shared" si="71"/>
        <v>17.1738</v>
      </c>
      <c r="AA48" s="128"/>
      <c r="AB48" s="401">
        <f t="shared" si="46"/>
        <v>0</v>
      </c>
      <c r="AC48" s="402">
        <f t="shared" si="47"/>
        <v>0</v>
      </c>
      <c r="AD48" s="52"/>
      <c r="AE48" s="585">
        <f>VLOOKUP($B48,'Proposed Rates'!$D$248:$J$254,+AE$11-2,FALSE)</f>
        <v>0.20300000000000001</v>
      </c>
      <c r="AF48" s="508">
        <f>'Proposed Rates'!$K251*$F$9</f>
        <v>84.6</v>
      </c>
      <c r="AG48" s="400">
        <f t="shared" si="73"/>
        <v>17.1738</v>
      </c>
      <c r="AH48" s="128"/>
      <c r="AI48" s="401">
        <f t="shared" si="17"/>
        <v>0</v>
      </c>
      <c r="AJ48" s="402">
        <f t="shared" si="18"/>
        <v>0</v>
      </c>
      <c r="AK48" s="52"/>
      <c r="AL48" s="585">
        <f>VLOOKUP($B48,'Proposed Rates'!$D$248:$J$254,+AL$11-2,FALSE)</f>
        <v>0.20300000000000001</v>
      </c>
      <c r="AM48" s="508">
        <f>'Proposed Rates'!$K251*$F$9</f>
        <v>84.6</v>
      </c>
      <c r="AN48" s="400">
        <f t="shared" si="75"/>
        <v>17.1738</v>
      </c>
      <c r="AO48" s="128"/>
      <c r="AP48" s="401">
        <f t="shared" si="48"/>
        <v>0</v>
      </c>
      <c r="AQ48" s="402">
        <f t="shared" si="49"/>
        <v>0</v>
      </c>
      <c r="AR48" s="403"/>
    </row>
    <row r="49" spans="1:44" ht="12" customHeight="1">
      <c r="A49" s="551"/>
      <c r="B49" s="320" t="s">
        <v>265</v>
      </c>
      <c r="C49" s="395" t="str">
        <f t="shared" si="76"/>
        <v>Energy - RPP - Tier 1</v>
      </c>
      <c r="D49" s="396" t="s">
        <v>308</v>
      </c>
      <c r="E49" s="320"/>
      <c r="F49" s="430">
        <f>VLOOKUP($B49,'Proposed Rates'!$D$248:$J$254,+F$11-2,FALSE)</f>
        <v>0.12</v>
      </c>
      <c r="G49" s="574">
        <f>IF(AND($S$2=1, $F$9&gt;=600), 600, IF(AND($S$2=1, AND($F$9&lt;600, $F$9&gt;=0)), $F$9, IF(AND($S$2=2, $F$9&gt;=1000), 1000, IF(AND($S$2=2, AND($F$9&lt;1000, $F$9&gt;=0)), $F$9))))</f>
        <v>470</v>
      </c>
      <c r="H49" s="400">
        <f t="shared" si="65"/>
        <v>56.4</v>
      </c>
      <c r="I49" s="128"/>
      <c r="J49" s="430">
        <f>VLOOKUP($B49,'Proposed Rates'!$D$248:$J$254,+J$11-2,FALSE)</f>
        <v>0.12</v>
      </c>
      <c r="K49" s="574">
        <f>IF(AND($S$2=1, $F$9&gt;=600), 600, IF(AND($S$2=1, AND($F$9&lt;600, $F$9&gt;=0)), $F$9, IF(AND($S$2=2, $F$9&gt;=1000), 1000, IF(AND($S$2=2, AND($F$9&lt;1000, $F$9&gt;=0)), $F$9))))</f>
        <v>470</v>
      </c>
      <c r="L49" s="400">
        <f t="shared" si="67"/>
        <v>56.4</v>
      </c>
      <c r="M49" s="128"/>
      <c r="N49" s="401">
        <f t="shared" si="42"/>
        <v>0</v>
      </c>
      <c r="O49" s="402">
        <f t="shared" si="43"/>
        <v>0</v>
      </c>
      <c r="P49" s="52"/>
      <c r="Q49" s="430">
        <f>VLOOKUP($B49,'Proposed Rates'!$D$248:$J$254,+Q$11-2,FALSE)</f>
        <v>0.12</v>
      </c>
      <c r="R49" s="574">
        <f>IF(AND($S$2=1, $F$9&gt;=600), 600, IF(AND($S$2=1, AND($F$9&lt;600, $F$9&gt;=0)), $F$9, IF(AND($S$2=2, $F$9&gt;=1000), 1000, IF(AND($S$2=2, AND($F$9&lt;1000, $F$9&gt;=0)), $F$9))))</f>
        <v>470</v>
      </c>
      <c r="S49" s="400">
        <f t="shared" si="69"/>
        <v>56.4</v>
      </c>
      <c r="T49" s="128"/>
      <c r="U49" s="401">
        <f t="shared" si="44"/>
        <v>0</v>
      </c>
      <c r="V49" s="402">
        <f t="shared" si="45"/>
        <v>0</v>
      </c>
      <c r="W49" s="52"/>
      <c r="X49" s="430">
        <f>VLOOKUP($B49,'Proposed Rates'!$D$248:$J$254,+X$11-2,FALSE)</f>
        <v>0.12</v>
      </c>
      <c r="Y49" s="574">
        <f>IF(AND($S$2=1, $F$9&gt;=600), 600, IF(AND($S$2=1, AND($F$9&lt;600, $F$9&gt;=0)), $F$9, IF(AND($S$2=2, $F$9&gt;=1000), 1000, IF(AND($S$2=2, AND($F$9&lt;1000, $F$9&gt;=0)), $F$9))))</f>
        <v>470</v>
      </c>
      <c r="Z49" s="400">
        <f t="shared" si="71"/>
        <v>56.4</v>
      </c>
      <c r="AA49" s="128"/>
      <c r="AB49" s="401">
        <f t="shared" si="46"/>
        <v>0</v>
      </c>
      <c r="AC49" s="402">
        <f t="shared" si="47"/>
        <v>0</v>
      </c>
      <c r="AD49" s="52"/>
      <c r="AE49" s="430">
        <f>VLOOKUP($B49,'Proposed Rates'!$D$248:$J$254,+AE$11-2,FALSE)</f>
        <v>0.12</v>
      </c>
      <c r="AF49" s="574">
        <f>IF(AND($S$2=1, $F$9&gt;=600), 600, IF(AND($S$2=1, AND($F$9&lt;600, $F$9&gt;=0)), $F$9, IF(AND($S$2=2, $F$9&gt;=1000), 1000, IF(AND($S$2=2, AND($F$9&lt;1000, $F$9&gt;=0)), $F$9))))</f>
        <v>470</v>
      </c>
      <c r="AG49" s="400">
        <f t="shared" si="73"/>
        <v>56.4</v>
      </c>
      <c r="AH49" s="128"/>
      <c r="AI49" s="401">
        <f t="shared" si="17"/>
        <v>0</v>
      </c>
      <c r="AJ49" s="402">
        <f t="shared" si="18"/>
        <v>0</v>
      </c>
      <c r="AK49" s="52"/>
      <c r="AL49" s="430">
        <f>VLOOKUP($B49,'Proposed Rates'!$D$248:$J$254,+AL$11-2,FALSE)</f>
        <v>0.12</v>
      </c>
      <c r="AM49" s="574">
        <f>IF(AND($S$2=1, $F$9&gt;=600), 600, IF(AND($S$2=1, AND($F$9&lt;600, $F$9&gt;=0)), $F$9, IF(AND($S$2=2, $F$9&gt;=1000), 1000, IF(AND($S$2=2, AND($F$9&lt;1000, $F$9&gt;=0)), $F$9))))</f>
        <v>470</v>
      </c>
      <c r="AN49" s="400">
        <f t="shared" si="75"/>
        <v>56.4</v>
      </c>
      <c r="AO49" s="128"/>
      <c r="AP49" s="401">
        <f t="shared" si="48"/>
        <v>0</v>
      </c>
      <c r="AQ49" s="402">
        <f t="shared" si="49"/>
        <v>0</v>
      </c>
      <c r="AR49" s="403"/>
    </row>
    <row r="50" spans="1:44" ht="12" customHeight="1">
      <c r="A50" s="551"/>
      <c r="B50" s="320" t="s">
        <v>266</v>
      </c>
      <c r="C50" s="395" t="str">
        <f t="shared" si="76"/>
        <v>Energy - RPP - Tier 2</v>
      </c>
      <c r="D50" s="396" t="s">
        <v>308</v>
      </c>
      <c r="E50" s="320"/>
      <c r="F50" s="430">
        <f>VLOOKUP($B50,'Proposed Rates'!$D$248:$J$254,+F$11-2,FALSE)</f>
        <v>0.14199999999999999</v>
      </c>
      <c r="G50" s="574">
        <f>IF(AND($S$2=1, F9&gt;=600), F9-600, IF(AND($S$2=1, AND(F9&lt;600, F9&gt;=0)), 0, IF(AND($S$2=2, F9&gt;=1000), F9-1000, IF(AND($S$2=2, AND(F9&lt;1000, F9&gt;=0)), 0))))</f>
        <v>0</v>
      </c>
      <c r="H50" s="400">
        <f t="shared" si="65"/>
        <v>0</v>
      </c>
      <c r="I50" s="128"/>
      <c r="J50" s="430">
        <f>VLOOKUP($B50,'Proposed Rates'!$D$248:$J$254,+J$11-2,FALSE)</f>
        <v>0.14199999999999999</v>
      </c>
      <c r="K50" s="574">
        <f>IF(AND($S$2=1, J9&gt;=600), J9-600, IF(AND($S$2=1, AND(J9&lt;600, J9&gt;=0)), 0, IF(AND($S$2=2, J9&gt;=1000), J9-1000, IF(AND($S$2=2, AND(J9&lt;1000, J9&gt;=0)), 0))))</f>
        <v>0</v>
      </c>
      <c r="L50" s="400">
        <f t="shared" si="67"/>
        <v>0</v>
      </c>
      <c r="M50" s="128"/>
      <c r="N50" s="401">
        <f t="shared" si="42"/>
        <v>0</v>
      </c>
      <c r="O50" s="402" t="str">
        <f t="shared" si="43"/>
        <v/>
      </c>
      <c r="P50" s="52"/>
      <c r="Q50" s="430">
        <f>VLOOKUP($B50,'Proposed Rates'!$D$248:$J$254,+Q$11-2,FALSE)</f>
        <v>0.14199999999999999</v>
      </c>
      <c r="R50" s="574">
        <f>IF(AND($S$2=1, Q9&gt;=600), Q9-600, IF(AND($S$2=1, AND(Q9&lt;600, Q9&gt;=0)), 0, IF(AND($S$2=2, Q9&gt;=1000), Q9-1000, IF(AND($S$2=2, AND(Q9&lt;1000, Q9&gt;=0)), 0))))</f>
        <v>0</v>
      </c>
      <c r="S50" s="400">
        <f t="shared" si="69"/>
        <v>0</v>
      </c>
      <c r="T50" s="128"/>
      <c r="U50" s="401">
        <f t="shared" si="44"/>
        <v>0</v>
      </c>
      <c r="V50" s="402" t="str">
        <f t="shared" si="45"/>
        <v/>
      </c>
      <c r="W50" s="52"/>
      <c r="X50" s="430">
        <f>VLOOKUP($B50,'Proposed Rates'!$D$248:$J$254,+X$11-2,FALSE)</f>
        <v>0.14199999999999999</v>
      </c>
      <c r="Y50" s="574">
        <f>IF(AND($S$2=1, X9&gt;=600), X9-600, IF(AND($S$2=1, AND(X9&lt;600, X9&gt;=0)), 0, IF(AND($S$2=2, X9&gt;=1000), X9-1000, IF(AND($S$2=2, AND(X9&lt;1000, X9&gt;=0)), 0))))</f>
        <v>0</v>
      </c>
      <c r="Z50" s="400">
        <f t="shared" si="71"/>
        <v>0</v>
      </c>
      <c r="AA50" s="128"/>
      <c r="AB50" s="401">
        <f t="shared" si="46"/>
        <v>0</v>
      </c>
      <c r="AC50" s="402" t="str">
        <f t="shared" si="47"/>
        <v/>
      </c>
      <c r="AD50" s="52"/>
      <c r="AE50" s="430">
        <f>VLOOKUP($B50,'Proposed Rates'!$D$248:$J$254,+AE$11-2,FALSE)</f>
        <v>0.14199999999999999</v>
      </c>
      <c r="AF50" s="574">
        <f>IF(AND($S$2=1, AE9&gt;=600), AE9-600, IF(AND($S$2=1, AND(AE9&lt;600, AE9&gt;=0)), 0, IF(AND($S$2=2, AE9&gt;=1000), AE9-1000, IF(AND($S$2=2, AND(AE9&lt;1000, AE9&gt;=0)), 0))))</f>
        <v>0</v>
      </c>
      <c r="AG50" s="400">
        <f t="shared" si="73"/>
        <v>0</v>
      </c>
      <c r="AH50" s="128"/>
      <c r="AI50" s="401">
        <f t="shared" si="17"/>
        <v>0</v>
      </c>
      <c r="AJ50" s="402" t="str">
        <f t="shared" si="18"/>
        <v/>
      </c>
      <c r="AK50" s="52"/>
      <c r="AL50" s="430">
        <f>VLOOKUP($B50,'Proposed Rates'!$D$248:$J$254,+AL$11-2,FALSE)</f>
        <v>0.14199999999999999</v>
      </c>
      <c r="AM50" s="574">
        <f>IF(AND($S$2=1, AL9&gt;=600), AL9-600, IF(AND($S$2=1, AND(AL9&lt;600, AL9&gt;=0)), 0, IF(AND($S$2=2, AL9&gt;=1000), AL9-1000, IF(AND($S$2=2, AND(AL9&lt;1000, AL9&gt;=0)), 0))))</f>
        <v>0</v>
      </c>
      <c r="AN50" s="400">
        <f t="shared" si="75"/>
        <v>0</v>
      </c>
      <c r="AO50" s="128"/>
      <c r="AP50" s="401">
        <f t="shared" si="48"/>
        <v>0</v>
      </c>
      <c r="AQ50" s="402" t="str">
        <f t="shared" si="49"/>
        <v/>
      </c>
      <c r="AR50" s="403"/>
    </row>
    <row r="51" spans="1:44" ht="12" customHeight="1">
      <c r="A51" s="551"/>
      <c r="B51" s="434"/>
      <c r="C51" s="435"/>
      <c r="D51" s="435"/>
      <c r="E51" s="435"/>
      <c r="F51" s="436"/>
      <c r="G51" s="476"/>
      <c r="H51" s="438"/>
      <c r="I51" s="440"/>
      <c r="J51" s="436"/>
      <c r="K51" s="437"/>
      <c r="L51" s="438"/>
      <c r="M51" s="440"/>
      <c r="N51" s="441"/>
      <c r="O51" s="442"/>
      <c r="P51" s="52"/>
      <c r="Q51" s="436"/>
      <c r="R51" s="437"/>
      <c r="S51" s="438"/>
      <c r="T51" s="440"/>
      <c r="U51" s="441"/>
      <c r="V51" s="442"/>
      <c r="W51" s="52"/>
      <c r="X51" s="436"/>
      <c r="Y51" s="437"/>
      <c r="Z51" s="438"/>
      <c r="AA51" s="440"/>
      <c r="AB51" s="441"/>
      <c r="AC51" s="442"/>
      <c r="AD51" s="52"/>
      <c r="AE51" s="436"/>
      <c r="AF51" s="437"/>
      <c r="AG51" s="438"/>
      <c r="AH51" s="440"/>
      <c r="AI51" s="441"/>
      <c r="AJ51" s="442"/>
      <c r="AK51" s="52"/>
      <c r="AL51" s="436"/>
      <c r="AM51" s="437"/>
      <c r="AN51" s="438"/>
      <c r="AO51" s="440"/>
      <c r="AP51" s="441"/>
      <c r="AQ51" s="442"/>
      <c r="AR51" s="443"/>
    </row>
    <row r="52" spans="1:44" ht="12" customHeight="1">
      <c r="A52" s="551"/>
      <c r="B52" s="444" t="s">
        <v>315</v>
      </c>
      <c r="C52" s="320"/>
      <c r="D52" s="320"/>
      <c r="E52" s="320"/>
      <c r="F52" s="445"/>
      <c r="G52" s="489"/>
      <c r="H52" s="447">
        <f>SUM(H43:H48,H42)</f>
        <v>97.401449820000011</v>
      </c>
      <c r="I52" s="482"/>
      <c r="J52" s="446"/>
      <c r="K52" s="446"/>
      <c r="L52" s="447">
        <f>SUM(L43:L48,L42)</f>
        <v>97.758397439999982</v>
      </c>
      <c r="M52" s="449"/>
      <c r="N52" s="448">
        <f t="shared" ref="N52:N56" si="77">L52-H52</f>
        <v>0.35694761999997127</v>
      </c>
      <c r="O52" s="450">
        <f t="shared" ref="O52:O56" si="78">IF((H52)=0,"",(N52/H52))</f>
        <v>3.6647054090017984E-3</v>
      </c>
      <c r="P52" s="52"/>
      <c r="Q52" s="446"/>
      <c r="R52" s="446"/>
      <c r="S52" s="447">
        <f>SUM(S43:S48,S42)</f>
        <v>100.32239744</v>
      </c>
      <c r="T52" s="449"/>
      <c r="U52" s="448">
        <f t="shared" ref="U52:U56" si="79">S52-L52</f>
        <v>2.5640000000000214</v>
      </c>
      <c r="V52" s="450">
        <f t="shared" ref="V52:V56" si="80">IF((L52)=0,"",(U52/L52))</f>
        <v>2.6227925857455852E-2</v>
      </c>
      <c r="W52" s="52"/>
      <c r="X52" s="446"/>
      <c r="Y52" s="446"/>
      <c r="Z52" s="447">
        <f>SUM(Z43:Z48,Z42)</f>
        <v>102.65039743999999</v>
      </c>
      <c r="AA52" s="449"/>
      <c r="AB52" s="448">
        <f t="shared" ref="AB52:AB56" si="81">Z52-S52</f>
        <v>2.3279999999999887</v>
      </c>
      <c r="AC52" s="450">
        <f t="shared" ref="AC52:AC56" si="82">IF((S52)=0,"",(AB52/S52))</f>
        <v>2.3205187070935978E-2</v>
      </c>
      <c r="AD52" s="52"/>
      <c r="AE52" s="446"/>
      <c r="AF52" s="446"/>
      <c r="AG52" s="447">
        <f>SUM(AG43:AG48,AG42)</f>
        <v>104.58639743999998</v>
      </c>
      <c r="AH52" s="449"/>
      <c r="AI52" s="448">
        <f t="shared" ref="AI52:AI56" si="83">AG52-Z52</f>
        <v>1.9359999999999928</v>
      </c>
      <c r="AJ52" s="450">
        <f t="shared" ref="AJ52:AJ56" si="84">IF((Z52)=0,"",(AI52/Z52))</f>
        <v>1.8860131556057549E-2</v>
      </c>
      <c r="AK52" s="52"/>
      <c r="AL52" s="446"/>
      <c r="AM52" s="446"/>
      <c r="AN52" s="447">
        <f>SUM(AN43:AN48,AN42)</f>
        <v>106.50239744</v>
      </c>
      <c r="AO52" s="449"/>
      <c r="AP52" s="448">
        <f t="shared" ref="AP52:AP56" si="85">AN52-AG52</f>
        <v>1.916000000000011</v>
      </c>
      <c r="AQ52" s="450">
        <f t="shared" ref="AQ52:AQ56" si="86">IF((AG52)=0,"",(AP52/AG52))</f>
        <v>1.8319781987893771E-2</v>
      </c>
      <c r="AR52" s="451"/>
    </row>
    <row r="53" spans="1:44" ht="12" customHeight="1">
      <c r="A53" s="551"/>
      <c r="B53" s="452" t="s">
        <v>316</v>
      </c>
      <c r="C53" s="320"/>
      <c r="D53" s="320"/>
      <c r="E53" s="320"/>
      <c r="F53" s="445">
        <v>0.13</v>
      </c>
      <c r="G53" s="128"/>
      <c r="H53" s="490">
        <f>H52*F53</f>
        <v>12.662188476600003</v>
      </c>
      <c r="I53" s="417"/>
      <c r="J53" s="453">
        <v>0.13</v>
      </c>
      <c r="K53" s="417"/>
      <c r="L53" s="400">
        <f>L52*J53</f>
        <v>12.708591667199999</v>
      </c>
      <c r="M53" s="128"/>
      <c r="N53" s="401">
        <f t="shared" si="77"/>
        <v>4.640319059999598E-2</v>
      </c>
      <c r="O53" s="402">
        <f t="shared" si="78"/>
        <v>3.6647054090017755E-3</v>
      </c>
      <c r="P53" s="52"/>
      <c r="Q53" s="453">
        <v>0.13</v>
      </c>
      <c r="R53" s="417"/>
      <c r="S53" s="400">
        <f>S52*Q53</f>
        <v>13.041911667200001</v>
      </c>
      <c r="T53" s="128"/>
      <c r="U53" s="401">
        <f t="shared" si="79"/>
        <v>0.33332000000000228</v>
      </c>
      <c r="V53" s="402">
        <f t="shared" si="80"/>
        <v>2.622792585745581E-2</v>
      </c>
      <c r="W53" s="52"/>
      <c r="X53" s="453">
        <v>0.13</v>
      </c>
      <c r="Y53" s="417"/>
      <c r="Z53" s="400">
        <f>Z52*X53</f>
        <v>13.344551667199999</v>
      </c>
      <c r="AA53" s="128"/>
      <c r="AB53" s="401">
        <f t="shared" si="81"/>
        <v>0.30263999999999847</v>
      </c>
      <c r="AC53" s="402">
        <f t="shared" si="82"/>
        <v>2.3205187070935971E-2</v>
      </c>
      <c r="AD53" s="52"/>
      <c r="AE53" s="453">
        <v>0.13</v>
      </c>
      <c r="AF53" s="417"/>
      <c r="AG53" s="400">
        <f>AG52*AE53</f>
        <v>13.596231667199998</v>
      </c>
      <c r="AH53" s="128"/>
      <c r="AI53" s="401">
        <f t="shared" si="83"/>
        <v>0.25167999999999857</v>
      </c>
      <c r="AJ53" s="402">
        <f t="shared" si="84"/>
        <v>1.8860131556057511E-2</v>
      </c>
      <c r="AK53" s="52"/>
      <c r="AL53" s="453">
        <v>0.13</v>
      </c>
      <c r="AM53" s="417"/>
      <c r="AN53" s="400">
        <f>AN52*AL53</f>
        <v>13.845311667200001</v>
      </c>
      <c r="AO53" s="128"/>
      <c r="AP53" s="401">
        <f t="shared" si="85"/>
        <v>0.24908000000000285</v>
      </c>
      <c r="AQ53" s="402">
        <f t="shared" si="86"/>
        <v>1.8319781987893878E-2</v>
      </c>
      <c r="AR53" s="403"/>
    </row>
    <row r="54" spans="1:44" ht="12" customHeight="1">
      <c r="A54" s="551"/>
      <c r="B54" s="454" t="s">
        <v>427</v>
      </c>
      <c r="C54" s="320"/>
      <c r="D54" s="320"/>
      <c r="E54" s="320"/>
      <c r="F54" s="455"/>
      <c r="G54" s="128"/>
      <c r="H54" s="490">
        <f>H52+H53</f>
        <v>110.06363829660002</v>
      </c>
      <c r="I54" s="417"/>
      <c r="J54" s="417"/>
      <c r="K54" s="417"/>
      <c r="L54" s="400">
        <f>L52+L53</f>
        <v>110.46698910719998</v>
      </c>
      <c r="M54" s="128"/>
      <c r="N54" s="401">
        <f t="shared" si="77"/>
        <v>0.40335081059996014</v>
      </c>
      <c r="O54" s="402">
        <f t="shared" si="78"/>
        <v>3.6647054090017308E-3</v>
      </c>
      <c r="P54" s="52"/>
      <c r="Q54" s="417"/>
      <c r="R54" s="417"/>
      <c r="S54" s="400">
        <f>S52+S53</f>
        <v>113.3643091072</v>
      </c>
      <c r="T54" s="128"/>
      <c r="U54" s="401">
        <f t="shared" si="79"/>
        <v>2.8973200000000219</v>
      </c>
      <c r="V54" s="402">
        <f t="shared" si="80"/>
        <v>2.6227925857455831E-2</v>
      </c>
      <c r="W54" s="52"/>
      <c r="X54" s="417"/>
      <c r="Y54" s="417"/>
      <c r="Z54" s="400">
        <f>Z52+Z53</f>
        <v>115.99494910719999</v>
      </c>
      <c r="AA54" s="128"/>
      <c r="AB54" s="401">
        <f t="shared" si="81"/>
        <v>2.6306399999999854</v>
      </c>
      <c r="AC54" s="402">
        <f t="shared" si="82"/>
        <v>2.3205187070935964E-2</v>
      </c>
      <c r="AD54" s="52"/>
      <c r="AE54" s="417"/>
      <c r="AF54" s="417"/>
      <c r="AG54" s="400">
        <f>AG52+AG53</f>
        <v>118.18262910719999</v>
      </c>
      <c r="AH54" s="128"/>
      <c r="AI54" s="401">
        <f t="shared" si="83"/>
        <v>2.1876800000000003</v>
      </c>
      <c r="AJ54" s="402">
        <f t="shared" si="84"/>
        <v>1.8860131556057622E-2</v>
      </c>
      <c r="AK54" s="52"/>
      <c r="AL54" s="417"/>
      <c r="AM54" s="417"/>
      <c r="AN54" s="400">
        <f>AN52+AN53</f>
        <v>120.34770910719999</v>
      </c>
      <c r="AO54" s="128"/>
      <c r="AP54" s="401">
        <f t="shared" si="85"/>
        <v>2.1650800000000032</v>
      </c>
      <c r="AQ54" s="402">
        <f t="shared" si="86"/>
        <v>1.8319781987893694E-2</v>
      </c>
      <c r="AR54" s="403"/>
    </row>
    <row r="55" spans="1:44" ht="12" customHeight="1">
      <c r="A55" s="551"/>
      <c r="B55" s="628" t="s">
        <v>273</v>
      </c>
      <c r="C55" s="615"/>
      <c r="D55" s="615"/>
      <c r="E55" s="320"/>
      <c r="F55" s="456">
        <f>'SN (.4)'!F55</f>
        <v>0.23499999999999999</v>
      </c>
      <c r="G55" s="128"/>
      <c r="H55" s="512">
        <f>F55*H52</f>
        <v>22.889340707700001</v>
      </c>
      <c r="I55" s="417"/>
      <c r="J55" s="458">
        <f>F55</f>
        <v>0.23499999999999999</v>
      </c>
      <c r="K55" s="417"/>
      <c r="L55" s="512">
        <f>J55*L52</f>
        <v>22.973223398399995</v>
      </c>
      <c r="M55" s="128"/>
      <c r="N55" s="457">
        <f t="shared" si="77"/>
        <v>8.38826906999941E-2</v>
      </c>
      <c r="O55" s="459">
        <f t="shared" si="78"/>
        <v>3.6647054090018357E-3</v>
      </c>
      <c r="P55" s="52"/>
      <c r="Q55" s="458">
        <f>J55</f>
        <v>0.23499999999999999</v>
      </c>
      <c r="R55" s="417"/>
      <c r="S55" s="512">
        <f>Q55*S52</f>
        <v>23.575763398399999</v>
      </c>
      <c r="T55" s="128"/>
      <c r="U55" s="457">
        <f t="shared" si="79"/>
        <v>0.60254000000000474</v>
      </c>
      <c r="V55" s="459">
        <f t="shared" si="80"/>
        <v>2.6227925857455838E-2</v>
      </c>
      <c r="W55" s="52"/>
      <c r="X55" s="458">
        <f>Q55</f>
        <v>0.23499999999999999</v>
      </c>
      <c r="Y55" s="417"/>
      <c r="Z55" s="512">
        <f>X55*Z52</f>
        <v>24.122843398399997</v>
      </c>
      <c r="AA55" s="128"/>
      <c r="AB55" s="457">
        <f t="shared" si="81"/>
        <v>0.54707999999999757</v>
      </c>
      <c r="AC55" s="459">
        <f t="shared" si="82"/>
        <v>2.3205187070935988E-2</v>
      </c>
      <c r="AD55" s="52"/>
      <c r="AE55" s="458">
        <f>X55</f>
        <v>0.23499999999999999</v>
      </c>
      <c r="AF55" s="417"/>
      <c r="AG55" s="512">
        <f>AE55*AG52</f>
        <v>24.577803398399993</v>
      </c>
      <c r="AH55" s="128"/>
      <c r="AI55" s="457">
        <f t="shared" si="83"/>
        <v>0.45495999999999626</v>
      </c>
      <c r="AJ55" s="459">
        <f t="shared" si="84"/>
        <v>1.8860131556057463E-2</v>
      </c>
      <c r="AK55" s="52"/>
      <c r="AL55" s="458">
        <f>AE55</f>
        <v>0.23499999999999999</v>
      </c>
      <c r="AM55" s="417"/>
      <c r="AN55" s="512">
        <f>AL55*AN52</f>
        <v>25.028063398399997</v>
      </c>
      <c r="AO55" s="128"/>
      <c r="AP55" s="457">
        <f t="shared" si="85"/>
        <v>0.45026000000000366</v>
      </c>
      <c r="AQ55" s="459">
        <f t="shared" si="86"/>
        <v>1.8319781987893819E-2</v>
      </c>
      <c r="AR55" s="460"/>
    </row>
    <row r="56" spans="1:44" ht="12" customHeight="1">
      <c r="A56" s="551"/>
      <c r="B56" s="627" t="s">
        <v>318</v>
      </c>
      <c r="C56" s="613"/>
      <c r="D56" s="613"/>
      <c r="E56" s="461"/>
      <c r="F56" s="462"/>
      <c r="G56" s="493"/>
      <c r="H56" s="494">
        <f>H54-H55</f>
        <v>87.174297588900018</v>
      </c>
      <c r="I56" s="463"/>
      <c r="J56" s="463"/>
      <c r="K56" s="463"/>
      <c r="L56" s="464">
        <f>L54-L55</f>
        <v>87.493765708799984</v>
      </c>
      <c r="M56" s="465"/>
      <c r="N56" s="466">
        <f t="shared" si="77"/>
        <v>0.31946811989996604</v>
      </c>
      <c r="O56" s="467">
        <f t="shared" si="78"/>
        <v>3.6647054090017035E-3</v>
      </c>
      <c r="P56" s="52"/>
      <c r="Q56" s="463"/>
      <c r="R56" s="463"/>
      <c r="S56" s="464">
        <f>S54-S55</f>
        <v>89.788545708800001</v>
      </c>
      <c r="T56" s="465"/>
      <c r="U56" s="466">
        <f t="shared" si="79"/>
        <v>2.2947800000000171</v>
      </c>
      <c r="V56" s="467">
        <f t="shared" si="80"/>
        <v>2.6227925857455828E-2</v>
      </c>
      <c r="W56" s="52"/>
      <c r="X56" s="463"/>
      <c r="Y56" s="463"/>
      <c r="Z56" s="464">
        <f>Z54-Z55</f>
        <v>91.872105708799992</v>
      </c>
      <c r="AA56" s="465"/>
      <c r="AB56" s="466">
        <f t="shared" si="81"/>
        <v>2.0835599999999914</v>
      </c>
      <c r="AC56" s="467">
        <f t="shared" si="82"/>
        <v>2.3205187070935995E-2</v>
      </c>
      <c r="AD56" s="52"/>
      <c r="AE56" s="463"/>
      <c r="AF56" s="463"/>
      <c r="AG56" s="464">
        <f>AG54-AG55</f>
        <v>93.604825708799993</v>
      </c>
      <c r="AH56" s="465"/>
      <c r="AI56" s="466">
        <f t="shared" si="83"/>
        <v>1.7327200000000005</v>
      </c>
      <c r="AJ56" s="467">
        <f t="shared" si="84"/>
        <v>1.8860131556057622E-2</v>
      </c>
      <c r="AK56" s="52"/>
      <c r="AL56" s="463"/>
      <c r="AM56" s="463"/>
      <c r="AN56" s="464">
        <f>AN54-AN55</f>
        <v>95.319645708799996</v>
      </c>
      <c r="AO56" s="465"/>
      <c r="AP56" s="466">
        <f t="shared" si="85"/>
        <v>1.7148200000000031</v>
      </c>
      <c r="AQ56" s="467">
        <f t="shared" si="86"/>
        <v>1.8319781987893698E-2</v>
      </c>
      <c r="AR56" s="468"/>
    </row>
    <row r="57" spans="1:44" ht="12" customHeight="1">
      <c r="A57" s="52"/>
      <c r="B57" s="434"/>
      <c r="C57" s="435"/>
      <c r="D57" s="435"/>
      <c r="E57" s="435"/>
      <c r="F57" s="436"/>
      <c r="G57" s="476"/>
      <c r="H57" s="438"/>
      <c r="I57" s="440"/>
      <c r="J57" s="436"/>
      <c r="K57" s="437"/>
      <c r="L57" s="438"/>
      <c r="M57" s="440"/>
      <c r="N57" s="441"/>
      <c r="O57" s="442"/>
      <c r="P57" s="52"/>
      <c r="Q57" s="436"/>
      <c r="R57" s="437"/>
      <c r="S57" s="438"/>
      <c r="T57" s="440"/>
      <c r="U57" s="441"/>
      <c r="V57" s="442"/>
      <c r="W57" s="52"/>
      <c r="X57" s="436"/>
      <c r="Y57" s="437"/>
      <c r="Z57" s="438"/>
      <c r="AA57" s="440"/>
      <c r="AB57" s="441"/>
      <c r="AC57" s="442"/>
      <c r="AD57" s="52"/>
      <c r="AE57" s="436"/>
      <c r="AF57" s="437"/>
      <c r="AG57" s="438"/>
      <c r="AH57" s="440"/>
      <c r="AI57" s="441"/>
      <c r="AJ57" s="442"/>
      <c r="AK57" s="52"/>
      <c r="AL57" s="436"/>
      <c r="AM57" s="437"/>
      <c r="AN57" s="438"/>
      <c r="AO57" s="440"/>
      <c r="AP57" s="441"/>
      <c r="AQ57" s="442"/>
      <c r="AR57" s="443"/>
    </row>
    <row r="58" spans="1:44" ht="12" customHeight="1">
      <c r="A58" s="52"/>
      <c r="B58" s="444" t="s">
        <v>319</v>
      </c>
      <c r="C58" s="320"/>
      <c r="D58" s="320"/>
      <c r="E58" s="320"/>
      <c r="F58" s="445"/>
      <c r="G58" s="489"/>
      <c r="H58" s="447">
        <f>SUM(H49:H50,H42,H43:H45)</f>
        <v>93.867049820000005</v>
      </c>
      <c r="I58" s="482"/>
      <c r="J58" s="446"/>
      <c r="K58" s="446"/>
      <c r="L58" s="447">
        <f>SUM(L49:L50,L42,L43:L45)</f>
        <v>94.223997440000005</v>
      </c>
      <c r="M58" s="449"/>
      <c r="N58" s="448">
        <f t="shared" ref="N58:N62" si="87">L58-H58</f>
        <v>0.35694761999999969</v>
      </c>
      <c r="O58" s="450">
        <f t="shared" ref="O58:O62" si="88">IF((H58)=0,"",(N58/H58))</f>
        <v>3.8026934977128234E-3</v>
      </c>
      <c r="P58" s="52"/>
      <c r="Q58" s="446"/>
      <c r="R58" s="446"/>
      <c r="S58" s="447">
        <f>SUM(S49:S50,S42,S43:S45)</f>
        <v>96.787997440000012</v>
      </c>
      <c r="T58" s="449"/>
      <c r="U58" s="448">
        <f t="shared" ref="U58:U62" si="89">S58-L58</f>
        <v>2.5640000000000072</v>
      </c>
      <c r="V58" s="450">
        <f t="shared" ref="V58:V62" si="90">IF((L58)=0,"",(U58/L58))</f>
        <v>2.7211751461008776E-2</v>
      </c>
      <c r="W58" s="52"/>
      <c r="X58" s="446"/>
      <c r="Y58" s="446"/>
      <c r="Z58" s="447">
        <f>SUM(Z49:Z50,Z42,Z43:Z45)</f>
        <v>99.115997439999987</v>
      </c>
      <c r="AA58" s="449"/>
      <c r="AB58" s="448">
        <f t="shared" ref="AB58:AB62" si="91">Z58-S58</f>
        <v>2.3279999999999745</v>
      </c>
      <c r="AC58" s="450">
        <f t="shared" ref="AC58:AC62" si="92">IF((S58)=0,"",(AB58/S58))</f>
        <v>2.4052569136406902E-2</v>
      </c>
      <c r="AD58" s="52"/>
      <c r="AE58" s="446"/>
      <c r="AF58" s="446"/>
      <c r="AG58" s="447">
        <f>SUM(AG49:AG50,AG42,AG43:AG45)</f>
        <v>101.05199743999999</v>
      </c>
      <c r="AH58" s="449"/>
      <c r="AI58" s="448">
        <f t="shared" ref="AI58:AI62" si="93">AG58-Z58</f>
        <v>1.936000000000007</v>
      </c>
      <c r="AJ58" s="450">
        <f t="shared" ref="AJ58:AJ62" si="94">IF((Z58)=0,"",(AI58/Z58))</f>
        <v>1.9532669296618514E-2</v>
      </c>
      <c r="AK58" s="52"/>
      <c r="AL58" s="446"/>
      <c r="AM58" s="446"/>
      <c r="AN58" s="447">
        <f>SUM(AN49:AN50,AN42,AN43:AN45)</f>
        <v>102.96799743999999</v>
      </c>
      <c r="AO58" s="449"/>
      <c r="AP58" s="448">
        <f t="shared" ref="AP58:AP62" si="95">AN58-AG58</f>
        <v>1.9159999999999968</v>
      </c>
      <c r="AQ58" s="450">
        <f t="shared" ref="AQ58:AQ62" si="96">IF((AG58)=0,"",(AP58/AG58))</f>
        <v>1.8960535650348019E-2</v>
      </c>
      <c r="AR58" s="451"/>
    </row>
    <row r="59" spans="1:44" ht="12" customHeight="1">
      <c r="A59" s="52"/>
      <c r="B59" s="452" t="s">
        <v>316</v>
      </c>
      <c r="C59" s="320"/>
      <c r="D59" s="320"/>
      <c r="E59" s="320"/>
      <c r="F59" s="445">
        <v>0.13</v>
      </c>
      <c r="G59" s="489"/>
      <c r="H59" s="490">
        <f>H58*F59</f>
        <v>12.202716476600001</v>
      </c>
      <c r="I59" s="417"/>
      <c r="J59" s="445">
        <v>0.13</v>
      </c>
      <c r="K59" s="453"/>
      <c r="L59" s="400">
        <f>L58*J59</f>
        <v>12.2491196672</v>
      </c>
      <c r="M59" s="128"/>
      <c r="N59" s="401">
        <f t="shared" si="87"/>
        <v>4.6403190599999533E-2</v>
      </c>
      <c r="O59" s="402">
        <f t="shared" si="88"/>
        <v>3.8026934977127887E-3</v>
      </c>
      <c r="P59" s="52"/>
      <c r="Q59" s="445">
        <v>0.13</v>
      </c>
      <c r="R59" s="453"/>
      <c r="S59" s="400">
        <f>S58*Q59</f>
        <v>12.582439667200003</v>
      </c>
      <c r="T59" s="128"/>
      <c r="U59" s="401">
        <f t="shared" si="89"/>
        <v>0.33332000000000228</v>
      </c>
      <c r="V59" s="402">
        <f t="shared" si="90"/>
        <v>2.7211751461008887E-2</v>
      </c>
      <c r="W59" s="52"/>
      <c r="X59" s="445">
        <v>0.13</v>
      </c>
      <c r="Y59" s="453"/>
      <c r="Z59" s="400">
        <f>Z58*X59</f>
        <v>12.885079667199999</v>
      </c>
      <c r="AA59" s="128"/>
      <c r="AB59" s="401">
        <f t="shared" si="91"/>
        <v>0.30263999999999669</v>
      </c>
      <c r="AC59" s="402">
        <f t="shared" si="92"/>
        <v>2.4052569136406899E-2</v>
      </c>
      <c r="AD59" s="52"/>
      <c r="AE59" s="445">
        <v>0.13</v>
      </c>
      <c r="AF59" s="453"/>
      <c r="AG59" s="400">
        <f>AG58*AE59</f>
        <v>13.1367596672</v>
      </c>
      <c r="AH59" s="128"/>
      <c r="AI59" s="401">
        <f t="shared" si="93"/>
        <v>0.25168000000000035</v>
      </c>
      <c r="AJ59" s="402">
        <f t="shared" si="94"/>
        <v>1.9532669296618468E-2</v>
      </c>
      <c r="AK59" s="52"/>
      <c r="AL59" s="445">
        <v>0.13</v>
      </c>
      <c r="AM59" s="453"/>
      <c r="AN59" s="400">
        <f>AN58*AL59</f>
        <v>13.385839667199999</v>
      </c>
      <c r="AO59" s="128"/>
      <c r="AP59" s="401">
        <f t="shared" si="95"/>
        <v>0.2490799999999993</v>
      </c>
      <c r="AQ59" s="402">
        <f t="shared" si="96"/>
        <v>1.8960535650347998E-2</v>
      </c>
      <c r="AR59" s="403"/>
    </row>
    <row r="60" spans="1:44" ht="12" customHeight="1">
      <c r="A60" s="52"/>
      <c r="B60" s="454" t="s">
        <v>428</v>
      </c>
      <c r="C60" s="320"/>
      <c r="D60" s="320"/>
      <c r="E60" s="320"/>
      <c r="F60" s="455"/>
      <c r="G60" s="128"/>
      <c r="H60" s="490">
        <f>H58+H59</f>
        <v>106.06976629660001</v>
      </c>
      <c r="I60" s="417"/>
      <c r="J60" s="417"/>
      <c r="K60" s="417"/>
      <c r="L60" s="400">
        <f>L58+L59</f>
        <v>106.47311710720001</v>
      </c>
      <c r="M60" s="128"/>
      <c r="N60" s="401">
        <f t="shared" si="87"/>
        <v>0.40335081060000277</v>
      </c>
      <c r="O60" s="402">
        <f t="shared" si="88"/>
        <v>3.8026934977128529E-3</v>
      </c>
      <c r="P60" s="52"/>
      <c r="Q60" s="417"/>
      <c r="R60" s="417"/>
      <c r="S60" s="400">
        <f>S58+S59</f>
        <v>109.37043710720002</v>
      </c>
      <c r="T60" s="128"/>
      <c r="U60" s="401">
        <f t="shared" si="89"/>
        <v>2.8973200000000077</v>
      </c>
      <c r="V60" s="402">
        <f t="shared" si="90"/>
        <v>2.7211751461008769E-2</v>
      </c>
      <c r="W60" s="52"/>
      <c r="X60" s="417"/>
      <c r="Y60" s="417"/>
      <c r="Z60" s="400">
        <f>Z58+Z59</f>
        <v>112.00107710719999</v>
      </c>
      <c r="AA60" s="128"/>
      <c r="AB60" s="401">
        <f t="shared" si="91"/>
        <v>2.6306399999999712</v>
      </c>
      <c r="AC60" s="402">
        <f t="shared" si="92"/>
        <v>2.4052569136406902E-2</v>
      </c>
      <c r="AD60" s="52"/>
      <c r="AE60" s="417"/>
      <c r="AF60" s="417"/>
      <c r="AG60" s="400">
        <f>AG58+AG59</f>
        <v>114.18875710719999</v>
      </c>
      <c r="AH60" s="128"/>
      <c r="AI60" s="401">
        <f t="shared" si="93"/>
        <v>2.1876800000000003</v>
      </c>
      <c r="AJ60" s="402">
        <f t="shared" si="94"/>
        <v>1.9532669296618444E-2</v>
      </c>
      <c r="AK60" s="52"/>
      <c r="AL60" s="417"/>
      <c r="AM60" s="417"/>
      <c r="AN60" s="400">
        <f>AN58+AN59</f>
        <v>116.35383710719999</v>
      </c>
      <c r="AO60" s="128"/>
      <c r="AP60" s="401">
        <f t="shared" si="95"/>
        <v>2.1650800000000032</v>
      </c>
      <c r="AQ60" s="402">
        <f t="shared" si="96"/>
        <v>1.8960535650348082E-2</v>
      </c>
      <c r="AR60" s="403"/>
    </row>
    <row r="61" spans="1:44" ht="12" customHeight="1">
      <c r="A61" s="52"/>
      <c r="B61" s="628" t="s">
        <v>273</v>
      </c>
      <c r="C61" s="615"/>
      <c r="D61" s="615"/>
      <c r="E61" s="320"/>
      <c r="F61" s="456">
        <f>F55</f>
        <v>0.23499999999999999</v>
      </c>
      <c r="G61" s="128"/>
      <c r="H61" s="492">
        <f>F61*H58</f>
        <v>22.058756707699999</v>
      </c>
      <c r="I61" s="417"/>
      <c r="J61" s="458">
        <f>F61</f>
        <v>0.23499999999999999</v>
      </c>
      <c r="K61" s="417"/>
      <c r="L61" s="512">
        <f>J61*L58</f>
        <v>22.1426393984</v>
      </c>
      <c r="M61" s="128"/>
      <c r="N61" s="457">
        <f t="shared" si="87"/>
        <v>8.3882690700001206E-2</v>
      </c>
      <c r="O61" s="459">
        <f t="shared" si="88"/>
        <v>3.802693497712882E-3</v>
      </c>
      <c r="P61" s="52"/>
      <c r="Q61" s="458">
        <f>J61</f>
        <v>0.23499999999999999</v>
      </c>
      <c r="R61" s="417"/>
      <c r="S61" s="512">
        <f>Q61*S58</f>
        <v>22.745179398400001</v>
      </c>
      <c r="T61" s="128"/>
      <c r="U61" s="457">
        <f t="shared" si="89"/>
        <v>0.60254000000000119</v>
      </c>
      <c r="V61" s="459">
        <f t="shared" si="90"/>
        <v>2.7211751461008755E-2</v>
      </c>
      <c r="W61" s="52"/>
      <c r="X61" s="458">
        <f>Q61</f>
        <v>0.23499999999999999</v>
      </c>
      <c r="Y61" s="417"/>
      <c r="Z61" s="512">
        <f>X61*Z58</f>
        <v>23.292259398399995</v>
      </c>
      <c r="AA61" s="128"/>
      <c r="AB61" s="457">
        <f t="shared" si="91"/>
        <v>0.54707999999999402</v>
      </c>
      <c r="AC61" s="459">
        <f t="shared" si="92"/>
        <v>2.4052569136406902E-2</v>
      </c>
      <c r="AD61" s="52"/>
      <c r="AE61" s="458">
        <f>X61</f>
        <v>0.23499999999999999</v>
      </c>
      <c r="AF61" s="417"/>
      <c r="AG61" s="512">
        <f>AE61*AG58</f>
        <v>23.747219398399999</v>
      </c>
      <c r="AH61" s="128"/>
      <c r="AI61" s="457">
        <f t="shared" si="93"/>
        <v>0.45496000000000336</v>
      </c>
      <c r="AJ61" s="459">
        <f t="shared" si="94"/>
        <v>1.953266929661859E-2</v>
      </c>
      <c r="AK61" s="52"/>
      <c r="AL61" s="458">
        <f>AE61</f>
        <v>0.23499999999999999</v>
      </c>
      <c r="AM61" s="417"/>
      <c r="AN61" s="512">
        <f>AL61*AN58</f>
        <v>24.197479398399995</v>
      </c>
      <c r="AO61" s="128"/>
      <c r="AP61" s="457">
        <f t="shared" si="95"/>
        <v>0.45025999999999655</v>
      </c>
      <c r="AQ61" s="459">
        <f t="shared" si="96"/>
        <v>1.8960535650347908E-2</v>
      </c>
      <c r="AR61" s="460"/>
    </row>
    <row r="62" spans="1:44" ht="12" customHeight="1">
      <c r="A62" s="52"/>
      <c r="B62" s="627" t="s">
        <v>321</v>
      </c>
      <c r="C62" s="613"/>
      <c r="D62" s="613"/>
      <c r="E62" s="461"/>
      <c r="F62" s="469"/>
      <c r="G62" s="495"/>
      <c r="H62" s="496">
        <f>H60-H61</f>
        <v>84.011009588900009</v>
      </c>
      <c r="I62" s="470"/>
      <c r="J62" s="470"/>
      <c r="K62" s="470"/>
      <c r="L62" s="471">
        <f>L60-L61</f>
        <v>84.330477708800004</v>
      </c>
      <c r="M62" s="472"/>
      <c r="N62" s="473">
        <f t="shared" si="87"/>
        <v>0.31946811989999446</v>
      </c>
      <c r="O62" s="474">
        <f t="shared" si="88"/>
        <v>3.802693497712761E-3</v>
      </c>
      <c r="P62" s="52"/>
      <c r="Q62" s="470"/>
      <c r="R62" s="470"/>
      <c r="S62" s="471">
        <f>S60-S61</f>
        <v>86.625257708800021</v>
      </c>
      <c r="T62" s="472"/>
      <c r="U62" s="473">
        <f t="shared" si="89"/>
        <v>2.2947800000000171</v>
      </c>
      <c r="V62" s="474">
        <f t="shared" si="90"/>
        <v>2.72117514610089E-2</v>
      </c>
      <c r="W62" s="52"/>
      <c r="X62" s="470"/>
      <c r="Y62" s="470"/>
      <c r="Z62" s="471">
        <f>Z60-Z61</f>
        <v>88.708817708799998</v>
      </c>
      <c r="AA62" s="472"/>
      <c r="AB62" s="473">
        <f t="shared" si="91"/>
        <v>2.0835599999999772</v>
      </c>
      <c r="AC62" s="474">
        <f t="shared" si="92"/>
        <v>2.4052569136406899E-2</v>
      </c>
      <c r="AD62" s="52"/>
      <c r="AE62" s="470"/>
      <c r="AF62" s="470"/>
      <c r="AG62" s="471">
        <f>AG60-AG61</f>
        <v>90.441537708799984</v>
      </c>
      <c r="AH62" s="472"/>
      <c r="AI62" s="473">
        <f t="shared" si="93"/>
        <v>1.7327199999999863</v>
      </c>
      <c r="AJ62" s="474">
        <f t="shared" si="94"/>
        <v>1.9532669296618288E-2</v>
      </c>
      <c r="AK62" s="52"/>
      <c r="AL62" s="470"/>
      <c r="AM62" s="470"/>
      <c r="AN62" s="471">
        <f>AN60-AN61</f>
        <v>92.156357708800002</v>
      </c>
      <c r="AO62" s="472"/>
      <c r="AP62" s="473">
        <f t="shared" si="95"/>
        <v>1.7148200000000173</v>
      </c>
      <c r="AQ62" s="474">
        <f t="shared" si="96"/>
        <v>1.8960535650348245E-2</v>
      </c>
      <c r="AR62" s="468"/>
    </row>
    <row r="63" spans="1:44" ht="12" customHeight="1">
      <c r="A63" s="52"/>
      <c r="B63" s="434"/>
      <c r="C63" s="435"/>
      <c r="D63" s="435"/>
      <c r="E63" s="435"/>
      <c r="F63" s="475"/>
      <c r="G63" s="440"/>
      <c r="H63" s="497"/>
      <c r="I63" s="476"/>
      <c r="J63" s="475"/>
      <c r="K63" s="476"/>
      <c r="L63" s="441"/>
      <c r="M63" s="440"/>
      <c r="N63" s="477"/>
      <c r="O63" s="442"/>
      <c r="P63" s="52"/>
      <c r="Q63" s="475"/>
      <c r="R63" s="476"/>
      <c r="S63" s="441"/>
      <c r="T63" s="440"/>
      <c r="U63" s="477"/>
      <c r="V63" s="442"/>
      <c r="W63" s="52"/>
      <c r="X63" s="475"/>
      <c r="Y63" s="476"/>
      <c r="Z63" s="441"/>
      <c r="AA63" s="440"/>
      <c r="AB63" s="477"/>
      <c r="AC63" s="442"/>
      <c r="AD63" s="52"/>
      <c r="AE63" s="475"/>
      <c r="AF63" s="476"/>
      <c r="AG63" s="441"/>
      <c r="AH63" s="440"/>
      <c r="AI63" s="477"/>
      <c r="AJ63" s="442"/>
      <c r="AK63" s="52"/>
      <c r="AL63" s="475"/>
      <c r="AM63" s="476"/>
      <c r="AN63" s="441"/>
      <c r="AO63" s="440"/>
      <c r="AP63" s="477"/>
      <c r="AQ63" s="442"/>
      <c r="AR63" s="443"/>
    </row>
    <row r="64" spans="1:44" ht="12" customHeight="1">
      <c r="A64" s="52"/>
      <c r="B64" s="52"/>
      <c r="C64" s="52"/>
      <c r="D64" s="52"/>
      <c r="E64" s="52"/>
      <c r="F64" s="52"/>
      <c r="G64" s="52"/>
      <c r="H64" s="52"/>
      <c r="I64" s="52"/>
      <c r="J64" s="52"/>
      <c r="K64" s="52"/>
      <c r="L64" s="186"/>
      <c r="M64" s="52"/>
      <c r="N64" s="52"/>
      <c r="O64" s="52"/>
      <c r="P64" s="52"/>
      <c r="Q64" s="52"/>
      <c r="R64" s="52"/>
      <c r="S64" s="186"/>
      <c r="T64" s="52"/>
      <c r="U64" s="52"/>
      <c r="V64" s="52"/>
      <c r="W64" s="52"/>
      <c r="X64" s="52"/>
      <c r="Y64" s="52"/>
      <c r="Z64" s="186"/>
      <c r="AA64" s="52"/>
      <c r="AB64" s="52"/>
      <c r="AC64" s="52"/>
      <c r="AD64" s="52"/>
      <c r="AE64" s="52"/>
      <c r="AF64" s="52"/>
      <c r="AG64" s="186"/>
      <c r="AH64" s="52"/>
      <c r="AI64" s="52"/>
      <c r="AJ64" s="52"/>
      <c r="AK64" s="52"/>
      <c r="AL64" s="52"/>
      <c r="AM64" s="52"/>
      <c r="AN64" s="186"/>
      <c r="AO64" s="52"/>
      <c r="AP64" s="52"/>
      <c r="AQ64" s="52"/>
      <c r="AR64" s="52"/>
    </row>
    <row r="65" spans="1:44" ht="12" customHeight="1">
      <c r="A65" s="52"/>
      <c r="B65" s="306" t="s">
        <v>322</v>
      </c>
      <c r="C65" s="52"/>
      <c r="D65" s="52"/>
      <c r="E65" s="52"/>
      <c r="F65" s="478">
        <f>'Proposed Rates'!$E$299</f>
        <v>3.3799999999999997E-2</v>
      </c>
      <c r="G65" s="52"/>
      <c r="H65" s="52"/>
      <c r="I65" s="52"/>
      <c r="J65" s="478">
        <f>'Proposed Rates'!$F$299</f>
        <v>3.32E-2</v>
      </c>
      <c r="K65" s="52"/>
      <c r="L65" s="52"/>
      <c r="M65" s="52"/>
      <c r="N65" s="52"/>
      <c r="O65" s="52"/>
      <c r="P65" s="52"/>
      <c r="Q65" s="478">
        <f>'Proposed Rates'!$G$299</f>
        <v>3.32E-2</v>
      </c>
      <c r="R65" s="52"/>
      <c r="S65" s="52"/>
      <c r="T65" s="52"/>
      <c r="U65" s="52"/>
      <c r="V65" s="52"/>
      <c r="W65" s="52"/>
      <c r="X65" s="478">
        <f>'Proposed Rates'!$H$299</f>
        <v>3.32E-2</v>
      </c>
      <c r="Y65" s="52"/>
      <c r="Z65" s="52"/>
      <c r="AA65" s="52"/>
      <c r="AB65" s="52"/>
      <c r="AC65" s="52"/>
      <c r="AD65" s="52"/>
      <c r="AE65" s="478">
        <f>'Proposed Rates'!$I$299</f>
        <v>3.32E-2</v>
      </c>
      <c r="AF65" s="52"/>
      <c r="AG65" s="52"/>
      <c r="AH65" s="52"/>
      <c r="AI65" s="52"/>
      <c r="AJ65" s="52"/>
      <c r="AK65" s="52"/>
      <c r="AL65" s="478">
        <f>'Proposed Rates'!$J$299</f>
        <v>3.32E-2</v>
      </c>
      <c r="AM65" s="52"/>
      <c r="AN65" s="52"/>
      <c r="AO65" s="52"/>
      <c r="AP65" s="52"/>
      <c r="AQ65" s="52"/>
      <c r="AR65" s="52"/>
    </row>
    <row r="66" spans="1:44"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12" customHeight="1">
      <c r="A67" s="479"/>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12"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ht="12"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1:44"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1:44" ht="12"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1:44" ht="12"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1:44" ht="12"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12"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12"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12"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12" customHeight="1">
      <c r="A81" s="480"/>
      <c r="B81" s="52" t="s">
        <v>333</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12" customHeight="1">
      <c r="A83" s="52"/>
      <c r="B83" s="52" t="s">
        <v>334</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1:44"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1:44"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1:44"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2"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row>
    <row r="283" spans="1:43" ht="12"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800-000000000000}">
      <formula1>"TOU,non-TOU"</formula1>
    </dataValidation>
    <dataValidation type="list" allowBlank="1" showErrorMessage="1" sqref="E15:E28 E30:E38 E40:E41 E43:E51 E57 E63" xr:uid="{00000000-0002-0000-2800-000001000000}">
      <formula1>#REF!</formula1>
    </dataValidation>
    <dataValidation type="list" allowBlank="1" showInputMessage="1" showErrorMessage="1" prompt="Select Charge Unit - monthly, per kWh, per kW" sqref="D15:D28 D30:D38 D40:D41 D43:D51 D57 D63" xr:uid="{00000000-0002-0000-2800-000002000000}">
      <formula1>"Monthly,per kWh,per kW"</formula1>
    </dataValidation>
  </dataValidations>
  <pageMargins left="0.74803149606299213" right="0.74803149606299213" top="0.98425196850393704" bottom="0.98425196850393704"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election sqref="A1:D1"/>
    </sheetView>
  </sheetViews>
  <sheetFormatPr defaultColWidth="12.5703125" defaultRowHeight="15" customHeight="1"/>
  <cols>
    <col min="1" max="1" width="54" customWidth="1"/>
    <col min="2" max="2" width="16.42578125" customWidth="1"/>
    <col min="3" max="3" width="10.42578125" customWidth="1"/>
    <col min="4" max="4" width="9.42578125" customWidth="1"/>
    <col min="5" max="24" width="9.140625" customWidth="1"/>
  </cols>
  <sheetData>
    <row r="1" spans="1:26" ht="23.25" customHeight="1">
      <c r="A1" s="597" t="s">
        <v>26</v>
      </c>
      <c r="B1" s="595"/>
      <c r="C1" s="595"/>
      <c r="D1" s="596"/>
      <c r="E1" s="53"/>
      <c r="F1" s="53"/>
      <c r="G1" s="53"/>
      <c r="H1" s="53"/>
      <c r="I1" s="53"/>
      <c r="J1" s="53"/>
      <c r="K1" s="53"/>
      <c r="L1" s="53"/>
      <c r="M1" s="53"/>
      <c r="N1" s="53"/>
      <c r="O1" s="53"/>
      <c r="P1" s="53"/>
      <c r="Q1" s="53"/>
      <c r="R1" s="53"/>
      <c r="S1" s="53"/>
      <c r="T1" s="53"/>
      <c r="U1" s="53"/>
      <c r="V1" s="53"/>
      <c r="W1" s="53"/>
      <c r="X1" s="53"/>
      <c r="Y1" s="53"/>
      <c r="Z1" s="53"/>
    </row>
    <row r="2" spans="1:26" ht="18" customHeight="1">
      <c r="A2" s="598" t="s">
        <v>27</v>
      </c>
      <c r="B2" s="595"/>
      <c r="C2" s="595"/>
      <c r="D2" s="596"/>
      <c r="E2" s="53"/>
      <c r="F2" s="53"/>
      <c r="G2" s="53"/>
      <c r="H2" s="53"/>
      <c r="I2" s="53"/>
      <c r="J2" s="53"/>
      <c r="K2" s="53"/>
      <c r="L2" s="53"/>
      <c r="M2" s="53"/>
      <c r="N2" s="53"/>
      <c r="O2" s="53"/>
      <c r="P2" s="53"/>
      <c r="Q2" s="53"/>
      <c r="R2" s="53"/>
      <c r="S2" s="53"/>
      <c r="T2" s="53"/>
      <c r="U2" s="53"/>
      <c r="V2" s="53"/>
      <c r="W2" s="53"/>
      <c r="X2" s="53"/>
      <c r="Y2" s="53"/>
      <c r="Z2" s="53"/>
    </row>
    <row r="3" spans="1:26" ht="15.75" customHeight="1">
      <c r="A3" s="599" t="s">
        <v>211</v>
      </c>
      <c r="B3" s="595"/>
      <c r="C3" s="595"/>
      <c r="D3" s="596"/>
      <c r="E3" s="53"/>
      <c r="F3" s="53"/>
      <c r="G3" s="53"/>
      <c r="H3" s="53"/>
      <c r="I3" s="53"/>
      <c r="J3" s="53"/>
      <c r="K3" s="53"/>
      <c r="L3" s="53"/>
      <c r="M3" s="53"/>
      <c r="N3" s="53"/>
      <c r="O3" s="53"/>
      <c r="P3" s="53"/>
      <c r="Q3" s="53"/>
      <c r="R3" s="53"/>
      <c r="S3" s="53"/>
      <c r="T3" s="53"/>
      <c r="U3" s="53"/>
      <c r="V3" s="53"/>
      <c r="W3" s="53"/>
      <c r="X3" s="53"/>
      <c r="Y3" s="53"/>
      <c r="Z3" s="53"/>
    </row>
    <row r="4" spans="1:26" ht="11.25" customHeight="1">
      <c r="A4" s="600" t="s">
        <v>29</v>
      </c>
      <c r="B4" s="595"/>
      <c r="C4" s="595"/>
      <c r="D4" s="596"/>
      <c r="E4" s="53"/>
      <c r="F4" s="53"/>
      <c r="G4" s="53"/>
      <c r="H4" s="53"/>
      <c r="I4" s="53"/>
      <c r="J4" s="53"/>
      <c r="K4" s="53"/>
      <c r="L4" s="53"/>
      <c r="M4" s="53"/>
      <c r="N4" s="53"/>
      <c r="O4" s="53"/>
      <c r="P4" s="53"/>
      <c r="Q4" s="53"/>
      <c r="R4" s="53"/>
      <c r="S4" s="53"/>
      <c r="T4" s="53"/>
      <c r="U4" s="53"/>
      <c r="V4" s="53"/>
      <c r="W4" s="53"/>
      <c r="X4" s="53"/>
      <c r="Y4" s="53"/>
      <c r="Z4" s="53"/>
    </row>
    <row r="5" spans="1:26" ht="11.25" customHeight="1">
      <c r="A5" s="600" t="s">
        <v>30</v>
      </c>
      <c r="B5" s="595"/>
      <c r="C5" s="595"/>
      <c r="D5" s="596"/>
      <c r="E5" s="53"/>
      <c r="F5" s="53"/>
      <c r="G5" s="53"/>
      <c r="H5" s="53"/>
      <c r="I5" s="53"/>
      <c r="J5" s="53"/>
      <c r="K5" s="53"/>
      <c r="L5" s="53"/>
      <c r="M5" s="53"/>
      <c r="N5" s="53"/>
      <c r="O5" s="53"/>
      <c r="P5" s="53"/>
      <c r="Q5" s="53"/>
      <c r="R5" s="53"/>
      <c r="S5" s="53"/>
      <c r="T5" s="53"/>
      <c r="U5" s="53"/>
      <c r="V5" s="53"/>
      <c r="W5" s="53"/>
      <c r="X5" s="53"/>
      <c r="Y5" s="53"/>
      <c r="Z5" s="53"/>
    </row>
    <row r="6" spans="1:26" ht="11.25" customHeight="1">
      <c r="A6" s="601" t="s">
        <v>31</v>
      </c>
      <c r="B6" s="595"/>
      <c r="C6" s="595"/>
      <c r="D6" s="596"/>
      <c r="E6" s="53"/>
      <c r="F6" s="53"/>
      <c r="G6" s="53"/>
      <c r="H6" s="53"/>
      <c r="I6" s="53"/>
      <c r="J6" s="53"/>
      <c r="K6" s="53"/>
      <c r="L6" s="53"/>
      <c r="M6" s="53"/>
      <c r="N6" s="53"/>
      <c r="O6" s="53"/>
      <c r="P6" s="53"/>
      <c r="Q6" s="53"/>
      <c r="R6" s="53"/>
      <c r="S6" s="53"/>
      <c r="T6" s="53"/>
      <c r="U6" s="53"/>
      <c r="V6" s="53"/>
      <c r="W6" s="53"/>
      <c r="X6" s="53"/>
      <c r="Y6" s="53"/>
      <c r="Z6" s="53"/>
    </row>
    <row r="7" spans="1:26" ht="18.75" customHeight="1">
      <c r="A7" s="602" t="s">
        <v>32</v>
      </c>
      <c r="B7" s="595"/>
      <c r="C7" s="595"/>
      <c r="D7" s="596"/>
      <c r="E7" s="53"/>
      <c r="F7" s="53"/>
      <c r="G7" s="53"/>
      <c r="H7" s="53"/>
      <c r="I7" s="53"/>
      <c r="J7" s="53"/>
      <c r="K7" s="53"/>
      <c r="L7" s="53"/>
      <c r="M7" s="53"/>
      <c r="N7" s="53"/>
      <c r="O7" s="53"/>
      <c r="P7" s="53"/>
      <c r="Q7" s="53"/>
      <c r="R7" s="53"/>
      <c r="S7" s="53"/>
      <c r="T7" s="53"/>
      <c r="U7" s="53"/>
      <c r="V7" s="53"/>
      <c r="W7" s="53"/>
      <c r="X7" s="53"/>
      <c r="Y7" s="53"/>
      <c r="Z7" s="53"/>
    </row>
    <row r="8" spans="1:26" ht="72" customHeight="1">
      <c r="A8" s="603" t="s">
        <v>33</v>
      </c>
      <c r="B8" s="595"/>
      <c r="C8" s="595"/>
      <c r="D8" s="596"/>
      <c r="E8" s="53"/>
      <c r="F8" s="53"/>
      <c r="G8" s="53"/>
      <c r="H8" s="53"/>
      <c r="I8" s="53"/>
      <c r="J8" s="53"/>
      <c r="K8" s="53"/>
      <c r="L8" s="53"/>
      <c r="M8" s="53"/>
      <c r="N8" s="53"/>
      <c r="O8" s="53"/>
      <c r="P8" s="53"/>
      <c r="Q8" s="53"/>
      <c r="R8" s="53"/>
      <c r="S8" s="53"/>
      <c r="T8" s="53"/>
      <c r="U8" s="53"/>
      <c r="V8" s="53"/>
      <c r="W8" s="53"/>
      <c r="X8" s="53"/>
      <c r="Y8" s="53"/>
      <c r="Z8" s="53"/>
    </row>
    <row r="9" spans="1:26" ht="6.75" customHeight="1">
      <c r="A9" s="54"/>
      <c r="B9" s="54"/>
      <c r="C9" s="54"/>
      <c r="D9" s="55"/>
      <c r="E9" s="53"/>
      <c r="F9" s="53"/>
      <c r="G9" s="53"/>
      <c r="H9" s="53"/>
      <c r="I9" s="53"/>
      <c r="J9" s="53"/>
      <c r="K9" s="53"/>
      <c r="L9" s="53"/>
      <c r="M9" s="53"/>
      <c r="N9" s="53"/>
      <c r="O9" s="53"/>
      <c r="P9" s="53"/>
      <c r="Q9" s="53"/>
      <c r="R9" s="53"/>
      <c r="S9" s="53"/>
      <c r="T9" s="53"/>
      <c r="U9" s="53"/>
      <c r="V9" s="53"/>
      <c r="W9" s="53"/>
      <c r="X9" s="53"/>
      <c r="Y9" s="53"/>
      <c r="Z9" s="53"/>
    </row>
    <row r="10" spans="1:26" ht="11.25" customHeight="1">
      <c r="A10" s="604" t="s">
        <v>34</v>
      </c>
      <c r="B10" s="595"/>
      <c r="C10" s="595"/>
      <c r="D10" s="596"/>
      <c r="E10" s="53"/>
      <c r="F10" s="53"/>
      <c r="G10" s="53"/>
      <c r="H10" s="53"/>
      <c r="I10" s="53"/>
      <c r="J10" s="53"/>
      <c r="K10" s="53"/>
      <c r="L10" s="53"/>
      <c r="M10" s="53"/>
      <c r="N10" s="53"/>
      <c r="O10" s="53"/>
      <c r="P10" s="53"/>
      <c r="Q10" s="53"/>
      <c r="R10" s="53"/>
      <c r="S10" s="53"/>
      <c r="T10" s="53"/>
      <c r="U10" s="53"/>
      <c r="V10" s="53"/>
      <c r="W10" s="53"/>
      <c r="X10" s="53"/>
      <c r="Y10" s="53"/>
      <c r="Z10" s="53"/>
    </row>
    <row r="11" spans="1:26" ht="6.75" customHeight="1">
      <c r="A11" s="56"/>
      <c r="B11" s="57"/>
      <c r="C11" s="57"/>
      <c r="D11" s="58"/>
      <c r="E11" s="53"/>
      <c r="F11" s="53"/>
      <c r="G11" s="53"/>
      <c r="H11" s="53"/>
      <c r="I11" s="53"/>
      <c r="J11" s="53"/>
      <c r="K11" s="53"/>
      <c r="L11" s="53"/>
      <c r="M11" s="53"/>
      <c r="N11" s="53"/>
      <c r="O11" s="53"/>
      <c r="P11" s="53"/>
      <c r="Q11" s="53"/>
      <c r="R11" s="53"/>
      <c r="S11" s="53"/>
      <c r="T11" s="53"/>
      <c r="U11" s="53"/>
      <c r="V11" s="53"/>
      <c r="W11" s="53"/>
      <c r="X11" s="53"/>
      <c r="Y11" s="53"/>
      <c r="Z11" s="53"/>
    </row>
    <row r="12" spans="1:26" ht="36" customHeight="1">
      <c r="A12" s="603" t="s">
        <v>35</v>
      </c>
      <c r="B12" s="595"/>
      <c r="C12" s="595"/>
      <c r="D12" s="596"/>
      <c r="E12" s="53"/>
      <c r="F12" s="53"/>
      <c r="G12" s="53"/>
      <c r="H12" s="53"/>
      <c r="I12" s="53"/>
      <c r="J12" s="53"/>
      <c r="K12" s="53"/>
      <c r="L12" s="53"/>
      <c r="M12" s="53"/>
      <c r="N12" s="53"/>
      <c r="O12" s="53"/>
      <c r="P12" s="53"/>
      <c r="Q12" s="53"/>
      <c r="R12" s="53"/>
      <c r="S12" s="53"/>
      <c r="T12" s="53"/>
      <c r="U12" s="53"/>
      <c r="V12" s="53"/>
      <c r="W12" s="53"/>
      <c r="X12" s="53"/>
      <c r="Y12" s="53"/>
      <c r="Z12" s="53"/>
    </row>
    <row r="13" spans="1:26" ht="6.75" customHeight="1">
      <c r="A13" s="54"/>
      <c r="B13" s="54"/>
      <c r="C13" s="54"/>
      <c r="D13" s="55"/>
      <c r="E13" s="53"/>
      <c r="F13" s="53"/>
      <c r="G13" s="53"/>
      <c r="H13" s="53"/>
      <c r="I13" s="53"/>
      <c r="J13" s="53"/>
      <c r="K13" s="53"/>
      <c r="L13" s="53"/>
      <c r="M13" s="53"/>
      <c r="N13" s="53"/>
      <c r="O13" s="53"/>
      <c r="P13" s="53"/>
      <c r="Q13" s="53"/>
      <c r="R13" s="53"/>
      <c r="S13" s="53"/>
      <c r="T13" s="53"/>
      <c r="U13" s="53"/>
      <c r="V13" s="53"/>
      <c r="W13" s="53"/>
      <c r="X13" s="53"/>
      <c r="Y13" s="53"/>
      <c r="Z13" s="53"/>
    </row>
    <row r="14" spans="1:26" ht="48" customHeight="1">
      <c r="A14" s="603" t="s">
        <v>36</v>
      </c>
      <c r="B14" s="595"/>
      <c r="C14" s="595"/>
      <c r="D14" s="596"/>
      <c r="E14" s="53"/>
      <c r="F14" s="53"/>
      <c r="G14" s="53"/>
      <c r="H14" s="53"/>
      <c r="I14" s="53"/>
      <c r="J14" s="53"/>
      <c r="K14" s="53"/>
      <c r="L14" s="53"/>
      <c r="M14" s="53"/>
      <c r="N14" s="53"/>
      <c r="O14" s="53"/>
      <c r="P14" s="53"/>
      <c r="Q14" s="53"/>
      <c r="R14" s="53"/>
      <c r="S14" s="53"/>
      <c r="T14" s="53"/>
      <c r="U14" s="53"/>
      <c r="V14" s="53"/>
      <c r="W14" s="53"/>
      <c r="X14" s="53"/>
      <c r="Y14" s="53"/>
      <c r="Z14" s="53"/>
    </row>
    <row r="15" spans="1:26" ht="6.75" customHeight="1">
      <c r="A15" s="54"/>
      <c r="B15" s="54"/>
      <c r="C15" s="54"/>
      <c r="D15" s="55"/>
      <c r="E15" s="53"/>
      <c r="F15" s="53"/>
      <c r="G15" s="53"/>
      <c r="H15" s="53"/>
      <c r="I15" s="53"/>
      <c r="J15" s="53"/>
      <c r="K15" s="53"/>
      <c r="L15" s="53"/>
      <c r="M15" s="53"/>
      <c r="N15" s="53"/>
      <c r="O15" s="53"/>
      <c r="P15" s="53"/>
      <c r="Q15" s="53"/>
      <c r="R15" s="53"/>
      <c r="S15" s="53"/>
      <c r="T15" s="53"/>
      <c r="U15" s="53"/>
      <c r="V15" s="53"/>
      <c r="W15" s="53"/>
      <c r="X15" s="53"/>
      <c r="Y15" s="53"/>
      <c r="Z15" s="53"/>
    </row>
    <row r="16" spans="1:26" ht="48" customHeight="1">
      <c r="A16" s="603" t="s">
        <v>37</v>
      </c>
      <c r="B16" s="595"/>
      <c r="C16" s="595"/>
      <c r="D16" s="596"/>
      <c r="E16" s="53"/>
      <c r="F16" s="53"/>
      <c r="G16" s="53"/>
      <c r="H16" s="53"/>
      <c r="I16" s="53"/>
      <c r="J16" s="53"/>
      <c r="K16" s="53"/>
      <c r="L16" s="53"/>
      <c r="M16" s="53"/>
      <c r="N16" s="53"/>
      <c r="O16" s="53"/>
      <c r="P16" s="53"/>
      <c r="Q16" s="53"/>
      <c r="R16" s="53"/>
      <c r="S16" s="53"/>
      <c r="T16" s="53"/>
      <c r="U16" s="53"/>
      <c r="V16" s="53"/>
      <c r="W16" s="53"/>
      <c r="X16" s="53"/>
      <c r="Y16" s="53"/>
      <c r="Z16" s="53"/>
    </row>
    <row r="17" spans="1:26" ht="6.75" customHeight="1">
      <c r="A17" s="54"/>
      <c r="B17" s="54"/>
      <c r="C17" s="54"/>
      <c r="D17" s="55"/>
      <c r="E17" s="53"/>
      <c r="F17" s="53"/>
      <c r="G17" s="53"/>
      <c r="H17" s="53"/>
      <c r="I17" s="53"/>
      <c r="J17" s="53"/>
      <c r="K17" s="53"/>
      <c r="L17" s="53"/>
      <c r="M17" s="53"/>
      <c r="N17" s="53"/>
      <c r="O17" s="53"/>
      <c r="P17" s="53"/>
      <c r="Q17" s="53"/>
      <c r="R17" s="53"/>
      <c r="S17" s="53"/>
      <c r="T17" s="53"/>
      <c r="U17" s="53"/>
      <c r="V17" s="53"/>
      <c r="W17" s="53"/>
      <c r="X17" s="53"/>
      <c r="Y17" s="53"/>
      <c r="Z17" s="53"/>
    </row>
    <row r="18" spans="1:26" ht="36" customHeight="1">
      <c r="A18" s="603" t="s">
        <v>38</v>
      </c>
      <c r="B18" s="595"/>
      <c r="C18" s="595"/>
      <c r="D18" s="596"/>
      <c r="E18" s="53"/>
      <c r="F18" s="53"/>
      <c r="G18" s="53"/>
      <c r="H18" s="53"/>
      <c r="I18" s="53"/>
      <c r="J18" s="53"/>
      <c r="K18" s="53"/>
      <c r="L18" s="53"/>
      <c r="M18" s="53"/>
      <c r="N18" s="53"/>
      <c r="O18" s="53"/>
      <c r="P18" s="53"/>
      <c r="Q18" s="53"/>
      <c r="R18" s="53"/>
      <c r="S18" s="53"/>
      <c r="T18" s="53"/>
      <c r="U18" s="53"/>
      <c r="V18" s="53"/>
      <c r="W18" s="53"/>
      <c r="X18" s="53"/>
      <c r="Y18" s="53"/>
      <c r="Z18" s="53"/>
    </row>
    <row r="19" spans="1:26" ht="6.75" customHeight="1">
      <c r="A19" s="54"/>
      <c r="B19" s="54"/>
      <c r="C19" s="54"/>
      <c r="D19" s="55"/>
      <c r="E19" s="53"/>
      <c r="F19" s="53"/>
      <c r="G19" s="53"/>
      <c r="H19" s="53"/>
      <c r="I19" s="53"/>
      <c r="J19" s="53"/>
      <c r="K19" s="53"/>
      <c r="L19" s="53"/>
      <c r="M19" s="53"/>
      <c r="N19" s="53"/>
      <c r="O19" s="53"/>
      <c r="P19" s="53"/>
      <c r="Q19" s="53"/>
      <c r="R19" s="53"/>
      <c r="S19" s="53"/>
      <c r="T19" s="53"/>
      <c r="U19" s="53"/>
      <c r="V19" s="53"/>
      <c r="W19" s="53"/>
      <c r="X19" s="53"/>
      <c r="Y19" s="53"/>
      <c r="Z19" s="53"/>
    </row>
    <row r="20" spans="1:26" ht="15" customHeight="1">
      <c r="A20" s="70" t="s">
        <v>39</v>
      </c>
      <c r="B20" s="63"/>
      <c r="C20" s="63"/>
      <c r="D20" s="63"/>
      <c r="E20" s="53"/>
      <c r="F20" s="53"/>
      <c r="G20" s="53"/>
      <c r="H20" s="53"/>
      <c r="I20" s="53"/>
      <c r="J20" s="53"/>
      <c r="K20" s="53"/>
      <c r="L20" s="53"/>
      <c r="M20" s="53"/>
      <c r="N20" s="53"/>
      <c r="O20" s="53"/>
      <c r="P20" s="53"/>
      <c r="Q20" s="53"/>
      <c r="R20" s="53"/>
      <c r="S20" s="53"/>
      <c r="T20" s="53"/>
      <c r="U20" s="53"/>
      <c r="V20" s="53"/>
      <c r="W20" s="53"/>
      <c r="X20" s="53"/>
      <c r="Y20" s="53"/>
      <c r="Z20" s="53"/>
    </row>
    <row r="21" spans="1:26" ht="6.75" customHeight="1">
      <c r="A21" s="59"/>
      <c r="B21" s="60"/>
      <c r="C21" s="60"/>
      <c r="D21" s="61"/>
      <c r="E21" s="53"/>
      <c r="F21" s="53"/>
      <c r="G21" s="53"/>
      <c r="H21" s="53"/>
      <c r="I21" s="53"/>
      <c r="J21" s="53"/>
      <c r="K21" s="53"/>
      <c r="L21" s="53"/>
      <c r="M21" s="53"/>
      <c r="N21" s="53"/>
      <c r="O21" s="53"/>
      <c r="P21" s="53"/>
      <c r="Q21" s="53"/>
      <c r="R21" s="53"/>
      <c r="S21" s="53"/>
      <c r="T21" s="53"/>
      <c r="U21" s="53"/>
      <c r="V21" s="53"/>
      <c r="W21" s="53"/>
      <c r="X21" s="53"/>
      <c r="Y21" s="53"/>
      <c r="Z21" s="53"/>
    </row>
    <row r="22" spans="1:26" ht="10.5" customHeight="1">
      <c r="A22" s="62" t="s">
        <v>40</v>
      </c>
      <c r="B22" s="63"/>
      <c r="C22" s="64" t="s">
        <v>41</v>
      </c>
      <c r="D22" s="280">
        <f>'Proposed Rates'!H8</f>
        <v>48.07</v>
      </c>
      <c r="E22" s="53"/>
      <c r="F22" s="53"/>
      <c r="G22" s="53"/>
      <c r="H22" s="53"/>
      <c r="I22" s="53"/>
      <c r="J22" s="53"/>
      <c r="K22" s="53"/>
      <c r="L22" s="53"/>
      <c r="M22" s="53"/>
      <c r="N22" s="53"/>
      <c r="O22" s="53"/>
      <c r="P22" s="53"/>
      <c r="Q22" s="53"/>
      <c r="R22" s="53"/>
      <c r="S22" s="53"/>
      <c r="T22" s="53"/>
      <c r="U22" s="53"/>
      <c r="V22" s="53"/>
      <c r="W22" s="53"/>
      <c r="X22" s="53"/>
      <c r="Y22" s="53"/>
      <c r="Z22" s="53"/>
    </row>
    <row r="23" spans="1:26" ht="11.25" hidden="1" customHeight="1">
      <c r="A23" s="62" t="s">
        <v>42</v>
      </c>
      <c r="B23" s="63"/>
      <c r="C23" s="64" t="s">
        <v>41</v>
      </c>
      <c r="D23" s="281">
        <f>'Proposed Rates'!H90</f>
        <v>0</v>
      </c>
      <c r="E23" s="53"/>
      <c r="F23" s="53"/>
      <c r="G23" s="53"/>
      <c r="H23" s="53"/>
      <c r="I23" s="53"/>
      <c r="J23" s="53"/>
      <c r="K23" s="53"/>
      <c r="L23" s="53"/>
      <c r="M23" s="53"/>
      <c r="N23" s="53"/>
      <c r="O23" s="53"/>
      <c r="P23" s="53"/>
      <c r="Q23" s="53"/>
      <c r="R23" s="53"/>
      <c r="S23" s="53"/>
      <c r="T23" s="53"/>
      <c r="U23" s="53"/>
      <c r="V23" s="53"/>
      <c r="W23" s="53"/>
      <c r="X23" s="53"/>
      <c r="Y23" s="53"/>
      <c r="Z23" s="53"/>
    </row>
    <row r="24" spans="1:26" ht="11.25" hidden="1" customHeight="1">
      <c r="A24" s="62" t="s">
        <v>43</v>
      </c>
      <c r="B24" s="63"/>
      <c r="C24" s="64" t="s">
        <v>41</v>
      </c>
      <c r="D24" s="281">
        <f>'Proposed Rates'!H64</f>
        <v>0</v>
      </c>
      <c r="E24" s="53"/>
      <c r="F24" s="53"/>
      <c r="G24" s="53"/>
      <c r="H24" s="53"/>
      <c r="I24" s="53"/>
      <c r="J24" s="53"/>
      <c r="K24" s="53"/>
      <c r="L24" s="53"/>
      <c r="M24" s="53"/>
      <c r="N24" s="53"/>
      <c r="O24" s="53"/>
      <c r="P24" s="53"/>
      <c r="Q24" s="53"/>
      <c r="R24" s="53"/>
      <c r="S24" s="53"/>
      <c r="T24" s="53"/>
      <c r="U24" s="53"/>
      <c r="V24" s="53"/>
      <c r="W24" s="53"/>
      <c r="X24" s="53"/>
      <c r="Y24" s="53"/>
      <c r="Z24" s="53"/>
    </row>
    <row r="25" spans="1:26" ht="11.25" customHeight="1">
      <c r="A25" s="62" t="s">
        <v>44</v>
      </c>
      <c r="B25" s="63"/>
      <c r="C25" s="64" t="s">
        <v>41</v>
      </c>
      <c r="D25" s="282">
        <f>'Proposed Rates'!H273</f>
        <v>0.43</v>
      </c>
      <c r="E25" s="53"/>
      <c r="F25" s="53"/>
      <c r="G25" s="53"/>
      <c r="H25" s="53"/>
      <c r="I25" s="53"/>
      <c r="J25" s="53"/>
      <c r="K25" s="53"/>
      <c r="L25" s="53"/>
      <c r="M25" s="53"/>
      <c r="N25" s="53"/>
      <c r="O25" s="53"/>
      <c r="P25" s="53"/>
      <c r="Q25" s="53"/>
      <c r="R25" s="53"/>
      <c r="S25" s="53"/>
      <c r="T25" s="53"/>
      <c r="U25" s="53"/>
      <c r="V25" s="53"/>
      <c r="W25" s="53"/>
      <c r="X25" s="53"/>
      <c r="Y25" s="53"/>
      <c r="Z25" s="53"/>
    </row>
    <row r="26" spans="1:26" ht="11.25" customHeight="1">
      <c r="A26" s="62" t="s">
        <v>45</v>
      </c>
      <c r="B26" s="63"/>
      <c r="C26" s="64" t="s">
        <v>46</v>
      </c>
      <c r="D26" s="283">
        <f>'Proposed Rates'!H260</f>
        <v>8.0000000000000007E-5</v>
      </c>
      <c r="E26" s="53"/>
      <c r="F26" s="53"/>
      <c r="G26" s="53"/>
      <c r="H26" s="53"/>
      <c r="I26" s="53"/>
      <c r="J26" s="53"/>
      <c r="K26" s="53"/>
      <c r="L26" s="53"/>
      <c r="M26" s="53"/>
      <c r="N26" s="53"/>
      <c r="O26" s="53"/>
      <c r="P26" s="53"/>
      <c r="Q26" s="53"/>
      <c r="R26" s="53"/>
      <c r="S26" s="53"/>
      <c r="T26" s="53"/>
      <c r="U26" s="53"/>
      <c r="V26" s="53"/>
      <c r="W26" s="53"/>
      <c r="X26" s="53"/>
      <c r="Y26" s="53"/>
      <c r="Z26" s="53"/>
    </row>
    <row r="27" spans="1:26" ht="11.25" hidden="1" customHeight="1">
      <c r="A27" s="62" t="s">
        <v>47</v>
      </c>
      <c r="B27" s="63"/>
      <c r="C27" s="64" t="s">
        <v>46</v>
      </c>
      <c r="D27" s="281">
        <f>'Proposed Rates'!H37</f>
        <v>0</v>
      </c>
      <c r="E27" s="53"/>
      <c r="F27" s="53"/>
      <c r="G27" s="53"/>
      <c r="H27" s="53"/>
      <c r="I27" s="53"/>
      <c r="J27" s="53"/>
      <c r="K27" s="53"/>
      <c r="L27" s="53"/>
      <c r="M27" s="53"/>
      <c r="N27" s="53"/>
      <c r="O27" s="53"/>
      <c r="P27" s="53"/>
      <c r="Q27" s="53"/>
      <c r="R27" s="53"/>
      <c r="S27" s="53"/>
      <c r="T27" s="53"/>
      <c r="U27" s="53"/>
      <c r="V27" s="53"/>
      <c r="W27" s="53"/>
      <c r="X27" s="53"/>
      <c r="Y27" s="53"/>
      <c r="Z27" s="53"/>
    </row>
    <row r="28" spans="1:26" ht="11.25" hidden="1" customHeight="1">
      <c r="A28" s="62" t="s">
        <v>48</v>
      </c>
      <c r="B28" s="63"/>
      <c r="C28" s="64" t="s">
        <v>46</v>
      </c>
      <c r="D28" s="281">
        <f>'Proposed Rates'!H142</f>
        <v>0</v>
      </c>
      <c r="E28" s="53"/>
      <c r="F28" s="53"/>
      <c r="G28" s="53"/>
      <c r="H28" s="53"/>
      <c r="I28" s="53"/>
      <c r="J28" s="53"/>
      <c r="K28" s="53"/>
      <c r="L28" s="53"/>
      <c r="M28" s="53"/>
      <c r="N28" s="53"/>
      <c r="O28" s="53"/>
      <c r="P28" s="53"/>
      <c r="Q28" s="53"/>
      <c r="R28" s="53"/>
      <c r="S28" s="53"/>
      <c r="T28" s="53"/>
      <c r="U28" s="53"/>
      <c r="V28" s="53"/>
      <c r="W28" s="53"/>
      <c r="X28" s="53"/>
      <c r="Y28" s="53"/>
      <c r="Z28" s="53"/>
    </row>
    <row r="29" spans="1:26" ht="11.25" customHeight="1">
      <c r="A29" s="62" t="s">
        <v>49</v>
      </c>
      <c r="B29" s="63"/>
      <c r="C29" s="64" t="s">
        <v>46</v>
      </c>
      <c r="D29" s="281">
        <f>'Proposed Rates'!H183</f>
        <v>1.38E-2</v>
      </c>
      <c r="E29" s="53"/>
      <c r="F29" s="53"/>
      <c r="G29" s="53"/>
      <c r="H29" s="53"/>
      <c r="I29" s="53"/>
      <c r="J29" s="53"/>
      <c r="K29" s="53"/>
      <c r="L29" s="53"/>
      <c r="M29" s="53"/>
      <c r="N29" s="53"/>
      <c r="O29" s="53"/>
      <c r="P29" s="53"/>
      <c r="Q29" s="53"/>
      <c r="R29" s="53"/>
      <c r="S29" s="53"/>
      <c r="T29" s="53"/>
      <c r="U29" s="53"/>
      <c r="V29" s="53"/>
      <c r="W29" s="53"/>
      <c r="X29" s="53"/>
      <c r="Y29" s="53"/>
      <c r="Z29" s="53"/>
    </row>
    <row r="30" spans="1:26" ht="11.25" customHeight="1">
      <c r="A30" s="62" t="s">
        <v>50</v>
      </c>
      <c r="B30" s="63"/>
      <c r="C30" s="64" t="s">
        <v>46</v>
      </c>
      <c r="D30" s="281">
        <f>'Proposed Rates'!H196</f>
        <v>7.7999999999999996E-3</v>
      </c>
      <c r="E30" s="53"/>
      <c r="F30" s="53"/>
      <c r="G30" s="53"/>
      <c r="H30" s="53"/>
      <c r="I30" s="53"/>
      <c r="J30" s="53"/>
      <c r="K30" s="53"/>
      <c r="L30" s="53"/>
      <c r="M30" s="53"/>
      <c r="N30" s="53"/>
      <c r="O30" s="53"/>
      <c r="P30" s="53"/>
      <c r="Q30" s="53"/>
      <c r="R30" s="53"/>
      <c r="S30" s="53"/>
      <c r="T30" s="53"/>
      <c r="U30" s="53"/>
      <c r="V30" s="53"/>
      <c r="W30" s="53"/>
      <c r="X30" s="53"/>
      <c r="Y30" s="53"/>
      <c r="Z30" s="53"/>
    </row>
    <row r="31" spans="1:26" ht="9.75" customHeight="1">
      <c r="A31" s="64"/>
      <c r="B31" s="64"/>
      <c r="C31" s="64"/>
      <c r="D31" s="69"/>
      <c r="E31" s="53"/>
      <c r="F31" s="53"/>
      <c r="G31" s="53"/>
      <c r="H31" s="53"/>
      <c r="I31" s="53"/>
      <c r="J31" s="53"/>
      <c r="K31" s="53"/>
      <c r="L31" s="53"/>
      <c r="M31" s="53"/>
      <c r="N31" s="53"/>
      <c r="O31" s="53"/>
      <c r="P31" s="53"/>
      <c r="Q31" s="53"/>
      <c r="R31" s="53"/>
      <c r="S31" s="53"/>
      <c r="T31" s="53"/>
      <c r="U31" s="53"/>
      <c r="V31" s="53"/>
      <c r="W31" s="53"/>
      <c r="X31" s="53"/>
      <c r="Y31" s="53"/>
      <c r="Z31" s="53"/>
    </row>
    <row r="32" spans="1:26" ht="15" customHeight="1">
      <c r="A32" s="70" t="s">
        <v>51</v>
      </c>
      <c r="B32" s="63"/>
      <c r="C32" s="64"/>
      <c r="D32" s="69"/>
      <c r="E32" s="53"/>
      <c r="F32" s="53"/>
      <c r="G32" s="53"/>
      <c r="H32" s="53"/>
      <c r="I32" s="53"/>
      <c r="J32" s="53"/>
      <c r="K32" s="53"/>
      <c r="L32" s="53"/>
      <c r="M32" s="53"/>
      <c r="N32" s="53"/>
      <c r="O32" s="53"/>
      <c r="P32" s="53"/>
      <c r="Q32" s="53"/>
      <c r="R32" s="53"/>
      <c r="S32" s="53"/>
      <c r="T32" s="53"/>
      <c r="U32" s="53"/>
      <c r="V32" s="53"/>
      <c r="W32" s="53"/>
      <c r="X32" s="53"/>
      <c r="Y32" s="53"/>
      <c r="Z32" s="53"/>
    </row>
    <row r="33" spans="1:26" ht="6.75" customHeight="1">
      <c r="A33" s="59"/>
      <c r="B33" s="64"/>
      <c r="C33" s="64"/>
      <c r="D33" s="69"/>
      <c r="E33" s="53"/>
      <c r="F33" s="53"/>
      <c r="G33" s="53"/>
      <c r="H33" s="53"/>
      <c r="I33" s="53"/>
      <c r="J33" s="53"/>
      <c r="K33" s="53"/>
      <c r="L33" s="53"/>
      <c r="M33" s="53"/>
      <c r="N33" s="53"/>
      <c r="O33" s="53"/>
      <c r="P33" s="53"/>
      <c r="Q33" s="53"/>
      <c r="R33" s="53"/>
      <c r="S33" s="53"/>
      <c r="T33" s="53"/>
      <c r="U33" s="53"/>
      <c r="V33" s="53"/>
      <c r="W33" s="53"/>
      <c r="X33" s="53"/>
      <c r="Y33" s="53"/>
      <c r="Z33" s="53"/>
    </row>
    <row r="34" spans="1:26" ht="11.25" customHeight="1">
      <c r="A34" s="62" t="s">
        <v>52</v>
      </c>
      <c r="B34" s="63"/>
      <c r="C34" s="64" t="s">
        <v>46</v>
      </c>
      <c r="D34" s="69">
        <v>4.1000000000000003E-3</v>
      </c>
      <c r="E34" s="53"/>
      <c r="F34" s="53"/>
      <c r="G34" s="53"/>
      <c r="H34" s="53"/>
      <c r="I34" s="53"/>
      <c r="J34" s="53"/>
      <c r="K34" s="53"/>
      <c r="L34" s="53"/>
      <c r="M34" s="53"/>
      <c r="N34" s="53"/>
      <c r="O34" s="53"/>
      <c r="P34" s="53"/>
      <c r="Q34" s="53"/>
      <c r="R34" s="53"/>
      <c r="S34" s="53"/>
      <c r="T34" s="53"/>
      <c r="U34" s="53"/>
      <c r="V34" s="53"/>
      <c r="W34" s="53"/>
      <c r="X34" s="53"/>
      <c r="Y34" s="53"/>
      <c r="Z34" s="53"/>
    </row>
    <row r="35" spans="1:26" ht="11.25" customHeight="1">
      <c r="A35" s="62" t="s">
        <v>53</v>
      </c>
      <c r="B35" s="63"/>
      <c r="C35" s="64" t="s">
        <v>46</v>
      </c>
      <c r="D35" s="66">
        <f>'Proposed Rates'!H209-'2026'!D34</f>
        <v>3.9999999999999931E-4</v>
      </c>
      <c r="E35" s="53"/>
      <c r="F35" s="53"/>
      <c r="G35" s="53"/>
      <c r="H35" s="53"/>
      <c r="I35" s="53"/>
      <c r="J35" s="53"/>
      <c r="K35" s="53"/>
      <c r="L35" s="53"/>
      <c r="M35" s="53"/>
      <c r="N35" s="53"/>
      <c r="O35" s="53"/>
      <c r="P35" s="53"/>
      <c r="Q35" s="53"/>
      <c r="R35" s="53"/>
      <c r="S35" s="53"/>
      <c r="T35" s="53"/>
      <c r="U35" s="53"/>
      <c r="V35" s="53"/>
      <c r="W35" s="53"/>
      <c r="X35" s="53"/>
      <c r="Y35" s="53"/>
      <c r="Z35" s="53"/>
    </row>
    <row r="36" spans="1:26" ht="11.25" customHeight="1">
      <c r="A36" s="62" t="s">
        <v>54</v>
      </c>
      <c r="B36" s="63"/>
      <c r="C36" s="64" t="s">
        <v>46</v>
      </c>
      <c r="D36" s="66">
        <f>'Proposed Rates'!H222</f>
        <v>1.5E-3</v>
      </c>
      <c r="E36" s="53"/>
      <c r="F36" s="53"/>
      <c r="G36" s="53"/>
      <c r="H36" s="53"/>
      <c r="I36" s="53"/>
      <c r="J36" s="53"/>
      <c r="K36" s="53"/>
      <c r="L36" s="53"/>
      <c r="M36" s="53"/>
      <c r="N36" s="53"/>
      <c r="O36" s="53"/>
      <c r="P36" s="53"/>
      <c r="Q36" s="53"/>
      <c r="R36" s="53"/>
      <c r="S36" s="53"/>
      <c r="T36" s="53"/>
      <c r="U36" s="53"/>
      <c r="V36" s="53"/>
      <c r="W36" s="53"/>
      <c r="X36" s="53"/>
      <c r="Y36" s="53"/>
      <c r="Z36" s="53"/>
    </row>
    <row r="37" spans="1:26" ht="11.25" customHeight="1">
      <c r="A37" s="62" t="s">
        <v>55</v>
      </c>
      <c r="B37" s="63"/>
      <c r="C37" s="64" t="s">
        <v>41</v>
      </c>
      <c r="D37" s="66">
        <f>'Proposed Rates'!H236</f>
        <v>1.57</v>
      </c>
      <c r="E37" s="53"/>
      <c r="F37" s="53"/>
      <c r="G37" s="53"/>
      <c r="H37" s="53"/>
      <c r="I37" s="53"/>
      <c r="J37" s="53"/>
      <c r="K37" s="53"/>
      <c r="L37" s="53"/>
      <c r="M37" s="53"/>
      <c r="N37" s="53"/>
      <c r="O37" s="53"/>
      <c r="P37" s="53"/>
      <c r="Q37" s="53"/>
      <c r="R37" s="53"/>
      <c r="S37" s="53"/>
      <c r="T37" s="53"/>
      <c r="U37" s="53"/>
      <c r="V37" s="53"/>
      <c r="W37" s="53"/>
      <c r="X37" s="53"/>
      <c r="Y37" s="53"/>
      <c r="Z37" s="53"/>
    </row>
    <row r="38" spans="1:26" ht="11.25" customHeight="1">
      <c r="A38" s="62"/>
      <c r="B38" s="63"/>
      <c r="C38" s="64"/>
      <c r="D38" s="69"/>
      <c r="E38" s="53"/>
      <c r="F38" s="53"/>
      <c r="G38" s="53"/>
      <c r="H38" s="53"/>
      <c r="I38" s="53"/>
      <c r="J38" s="53"/>
      <c r="K38" s="53"/>
      <c r="L38" s="53"/>
      <c r="M38" s="53"/>
      <c r="N38" s="53"/>
      <c r="O38" s="53"/>
      <c r="P38" s="53"/>
      <c r="Q38" s="53"/>
      <c r="R38" s="53"/>
      <c r="S38" s="53"/>
      <c r="T38" s="53"/>
      <c r="U38" s="53"/>
      <c r="V38" s="53"/>
      <c r="W38" s="53"/>
      <c r="X38" s="53"/>
      <c r="Y38" s="53"/>
      <c r="Z38" s="53"/>
    </row>
    <row r="39" spans="1:26" ht="23.25" customHeight="1">
      <c r="A39" s="597" t="str">
        <f>$A$1</f>
        <v>Hydro Ottawa Limited</v>
      </c>
      <c r="B39" s="595"/>
      <c r="C39" s="595"/>
      <c r="D39" s="596"/>
      <c r="E39" s="53"/>
      <c r="F39" s="53"/>
      <c r="G39" s="53"/>
      <c r="H39" s="53"/>
      <c r="I39" s="53"/>
      <c r="J39" s="53"/>
      <c r="K39" s="53"/>
      <c r="L39" s="53"/>
      <c r="M39" s="53"/>
      <c r="N39" s="53"/>
      <c r="O39" s="53"/>
      <c r="P39" s="53"/>
      <c r="Q39" s="53"/>
      <c r="R39" s="53"/>
      <c r="S39" s="53"/>
      <c r="T39" s="53"/>
      <c r="U39" s="53"/>
      <c r="V39" s="53"/>
      <c r="W39" s="53"/>
      <c r="X39" s="53"/>
      <c r="Y39" s="53"/>
      <c r="Z39" s="53"/>
    </row>
    <row r="40" spans="1:26" ht="18" customHeight="1">
      <c r="A40" s="598" t="str">
        <f>$A$2</f>
        <v>PROPOSED - TARIFF OF RATES AND CHARGES</v>
      </c>
      <c r="B40" s="595"/>
      <c r="C40" s="595"/>
      <c r="D40" s="596"/>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99" t="str">
        <f>$A$3</f>
        <v>Effective and Implementation Date January 1, 2028</v>
      </c>
      <c r="B41" s="595"/>
      <c r="C41" s="595"/>
      <c r="D41" s="596"/>
      <c r="E41" s="53"/>
      <c r="F41" s="53"/>
      <c r="G41" s="53"/>
      <c r="H41" s="53"/>
      <c r="I41" s="53"/>
      <c r="J41" s="53"/>
      <c r="K41" s="53"/>
      <c r="L41" s="53"/>
      <c r="M41" s="53"/>
      <c r="N41" s="53"/>
      <c r="O41" s="53"/>
      <c r="P41" s="53"/>
      <c r="Q41" s="53"/>
      <c r="R41" s="53"/>
      <c r="S41" s="53"/>
      <c r="T41" s="53"/>
      <c r="U41" s="53"/>
      <c r="V41" s="53"/>
      <c r="W41" s="53"/>
      <c r="X41" s="53"/>
      <c r="Y41" s="53"/>
      <c r="Z41" s="53"/>
    </row>
    <row r="42" spans="1:26" ht="11.25" customHeight="1">
      <c r="A42" s="600" t="str">
        <f>$A$4</f>
        <v>This schedule supersedes and replaces all previously</v>
      </c>
      <c r="B42" s="595"/>
      <c r="C42" s="595"/>
      <c r="D42" s="596"/>
      <c r="E42" s="53"/>
      <c r="F42" s="53"/>
      <c r="G42" s="53"/>
      <c r="H42" s="53"/>
      <c r="I42" s="53"/>
      <c r="J42" s="53"/>
      <c r="K42" s="53"/>
      <c r="L42" s="53"/>
      <c r="M42" s="53"/>
      <c r="N42" s="53"/>
      <c r="O42" s="53"/>
      <c r="P42" s="53"/>
      <c r="Q42" s="53"/>
      <c r="R42" s="53"/>
      <c r="S42" s="53"/>
      <c r="T42" s="53"/>
      <c r="U42" s="53"/>
      <c r="V42" s="53"/>
      <c r="W42" s="53"/>
      <c r="X42" s="53"/>
      <c r="Y42" s="53"/>
      <c r="Z42" s="53"/>
    </row>
    <row r="43" spans="1:26" ht="11.25" customHeight="1">
      <c r="A43" s="600" t="str">
        <f>$A$5</f>
        <v>approved schedules of Rates, Charges and Loss Factors</v>
      </c>
      <c r="B43" s="595"/>
      <c r="C43" s="595"/>
      <c r="D43" s="596"/>
      <c r="E43" s="53"/>
      <c r="F43" s="53"/>
      <c r="G43" s="53"/>
      <c r="H43" s="53"/>
      <c r="I43" s="53"/>
      <c r="J43" s="53"/>
      <c r="K43" s="53"/>
      <c r="L43" s="53"/>
      <c r="M43" s="53"/>
      <c r="N43" s="53"/>
      <c r="O43" s="53"/>
      <c r="P43" s="53"/>
      <c r="Q43" s="53"/>
      <c r="R43" s="53"/>
      <c r="S43" s="53"/>
      <c r="T43" s="53"/>
      <c r="U43" s="53"/>
      <c r="V43" s="53"/>
      <c r="W43" s="53"/>
      <c r="X43" s="53"/>
      <c r="Y43" s="53"/>
      <c r="Z43" s="71"/>
    </row>
    <row r="44" spans="1:26" ht="11.25" customHeight="1">
      <c r="A44" s="601" t="str">
        <f>$A$6</f>
        <v>EB-2024-0115</v>
      </c>
      <c r="B44" s="595"/>
      <c r="C44" s="595"/>
      <c r="D44" s="596"/>
      <c r="E44" s="53"/>
      <c r="F44" s="53"/>
      <c r="G44" s="53"/>
      <c r="H44" s="53"/>
      <c r="I44" s="53"/>
      <c r="J44" s="53"/>
      <c r="K44" s="53"/>
      <c r="L44" s="53"/>
      <c r="M44" s="53"/>
      <c r="N44" s="53"/>
      <c r="O44" s="53"/>
      <c r="P44" s="53"/>
      <c r="Q44" s="53"/>
      <c r="R44" s="53"/>
      <c r="S44" s="53"/>
      <c r="T44" s="53"/>
      <c r="U44" s="53"/>
      <c r="V44" s="53"/>
      <c r="W44" s="53"/>
      <c r="X44" s="53"/>
      <c r="Y44" s="53"/>
      <c r="Z44" s="53"/>
    </row>
    <row r="45" spans="1:26" ht="18.75" customHeight="1">
      <c r="A45" s="602" t="s">
        <v>56</v>
      </c>
      <c r="B45" s="595"/>
      <c r="C45" s="595"/>
      <c r="D45" s="596"/>
      <c r="E45" s="71"/>
      <c r="F45" s="71"/>
      <c r="G45" s="71"/>
      <c r="H45" s="71"/>
      <c r="I45" s="71"/>
      <c r="J45" s="71"/>
      <c r="K45" s="71"/>
      <c r="L45" s="71"/>
      <c r="M45" s="71"/>
      <c r="N45" s="71"/>
      <c r="O45" s="71"/>
      <c r="P45" s="71"/>
      <c r="Q45" s="71"/>
      <c r="R45" s="71"/>
      <c r="S45" s="71"/>
      <c r="T45" s="71"/>
      <c r="U45" s="71"/>
      <c r="V45" s="71"/>
      <c r="W45" s="71"/>
      <c r="X45" s="71"/>
      <c r="Y45" s="71"/>
    </row>
    <row r="46" spans="1:26" ht="48" customHeight="1">
      <c r="A46" s="603" t="s">
        <v>57</v>
      </c>
      <c r="B46" s="595"/>
      <c r="C46" s="595"/>
      <c r="D46" s="596"/>
      <c r="E46" s="53"/>
      <c r="F46" s="53"/>
      <c r="G46" s="53"/>
      <c r="H46" s="53"/>
      <c r="I46" s="53"/>
      <c r="J46" s="53"/>
      <c r="K46" s="53"/>
      <c r="L46" s="53"/>
      <c r="M46" s="53"/>
      <c r="N46" s="53"/>
      <c r="O46" s="53"/>
      <c r="P46" s="53"/>
      <c r="Q46" s="53"/>
      <c r="R46" s="53"/>
      <c r="S46" s="53"/>
      <c r="T46" s="53"/>
      <c r="U46" s="53"/>
      <c r="V46" s="53"/>
      <c r="W46" s="53"/>
      <c r="X46" s="53"/>
      <c r="Y46" s="53"/>
      <c r="Z46" s="53"/>
    </row>
    <row r="47" spans="1:26" ht="6.75" customHeight="1">
      <c r="A47" s="54"/>
      <c r="B47" s="54"/>
      <c r="C47" s="54"/>
      <c r="D47" s="55"/>
      <c r="E47" s="53"/>
      <c r="F47" s="53"/>
      <c r="G47" s="53"/>
      <c r="H47" s="53"/>
      <c r="I47" s="53"/>
      <c r="J47" s="53"/>
      <c r="K47" s="53"/>
      <c r="L47" s="53"/>
      <c r="M47" s="53"/>
      <c r="N47" s="53"/>
      <c r="O47" s="53"/>
      <c r="P47" s="53"/>
      <c r="Q47" s="53"/>
      <c r="R47" s="53"/>
      <c r="S47" s="53"/>
      <c r="T47" s="53"/>
      <c r="U47" s="53"/>
      <c r="V47" s="53"/>
      <c r="W47" s="53"/>
      <c r="X47" s="53"/>
      <c r="Y47" s="53"/>
      <c r="Z47" s="53"/>
    </row>
    <row r="48" spans="1:26" ht="11.25" customHeight="1">
      <c r="A48" s="604" t="s">
        <v>34</v>
      </c>
      <c r="B48" s="595"/>
      <c r="C48" s="595"/>
      <c r="D48" s="596"/>
      <c r="E48" s="53"/>
      <c r="F48" s="53"/>
      <c r="G48" s="53"/>
      <c r="H48" s="53"/>
      <c r="I48" s="53"/>
      <c r="J48" s="53"/>
      <c r="K48" s="53"/>
      <c r="L48" s="53"/>
      <c r="M48" s="53"/>
      <c r="N48" s="53"/>
      <c r="O48" s="53"/>
      <c r="P48" s="53"/>
      <c r="Q48" s="53"/>
      <c r="R48" s="53"/>
      <c r="S48" s="53"/>
      <c r="T48" s="53"/>
      <c r="U48" s="53"/>
      <c r="V48" s="53"/>
      <c r="W48" s="53"/>
      <c r="X48" s="53"/>
      <c r="Y48" s="53"/>
      <c r="Z48" s="53"/>
    </row>
    <row r="49" spans="1:26" ht="6.75" customHeight="1">
      <c r="A49" s="56"/>
      <c r="B49" s="57"/>
      <c r="C49" s="57"/>
      <c r="D49" s="58"/>
      <c r="E49" s="53"/>
      <c r="F49" s="53"/>
      <c r="G49" s="53"/>
      <c r="H49" s="53"/>
      <c r="I49" s="53"/>
      <c r="J49" s="53"/>
      <c r="K49" s="53"/>
      <c r="L49" s="53"/>
      <c r="M49" s="53"/>
      <c r="N49" s="53"/>
      <c r="O49" s="53"/>
      <c r="P49" s="53"/>
      <c r="Q49" s="53"/>
      <c r="R49" s="53"/>
      <c r="S49" s="53"/>
      <c r="T49" s="53"/>
      <c r="U49" s="53"/>
      <c r="V49" s="53"/>
      <c r="W49" s="53"/>
      <c r="X49" s="53"/>
      <c r="Y49" s="53"/>
      <c r="Z49" s="53"/>
    </row>
    <row r="50" spans="1:26" ht="36" customHeight="1">
      <c r="A50" s="603" t="s">
        <v>35</v>
      </c>
      <c r="B50" s="595"/>
      <c r="C50" s="595"/>
      <c r="D50" s="596"/>
      <c r="E50" s="53"/>
      <c r="F50" s="53"/>
      <c r="G50" s="53"/>
      <c r="H50" s="53"/>
      <c r="I50" s="53"/>
      <c r="J50" s="53"/>
      <c r="K50" s="53"/>
      <c r="L50" s="53"/>
      <c r="M50" s="53"/>
      <c r="N50" s="53"/>
      <c r="O50" s="53"/>
      <c r="P50" s="53"/>
      <c r="Q50" s="53"/>
      <c r="R50" s="53"/>
      <c r="S50" s="53"/>
      <c r="T50" s="53"/>
      <c r="U50" s="53"/>
      <c r="V50" s="53"/>
      <c r="W50" s="53"/>
      <c r="X50" s="53"/>
      <c r="Y50" s="53"/>
      <c r="Z50" s="53"/>
    </row>
    <row r="51" spans="1:26" ht="6.75" customHeight="1">
      <c r="A51" s="54"/>
      <c r="B51" s="54"/>
      <c r="C51" s="54"/>
      <c r="D51" s="55"/>
      <c r="E51" s="53"/>
      <c r="F51" s="53"/>
      <c r="G51" s="53"/>
      <c r="H51" s="53"/>
      <c r="I51" s="53"/>
      <c r="J51" s="53"/>
      <c r="K51" s="53"/>
      <c r="L51" s="53"/>
      <c r="M51" s="53"/>
      <c r="N51" s="53"/>
      <c r="O51" s="53"/>
      <c r="P51" s="53"/>
      <c r="Q51" s="53"/>
      <c r="R51" s="53"/>
      <c r="S51" s="53"/>
      <c r="T51" s="53"/>
      <c r="U51" s="53"/>
      <c r="V51" s="53"/>
      <c r="W51" s="53"/>
      <c r="X51" s="53"/>
      <c r="Y51" s="53"/>
      <c r="Z51" s="53"/>
    </row>
    <row r="52" spans="1:26" ht="48" customHeight="1">
      <c r="A52" s="603" t="s">
        <v>36</v>
      </c>
      <c r="B52" s="595"/>
      <c r="C52" s="595"/>
      <c r="D52" s="596"/>
      <c r="E52" s="53"/>
      <c r="F52" s="53"/>
      <c r="G52" s="53"/>
      <c r="H52" s="53"/>
      <c r="I52" s="53"/>
      <c r="J52" s="53"/>
      <c r="K52" s="53"/>
      <c r="L52" s="53"/>
      <c r="M52" s="53"/>
      <c r="N52" s="53"/>
      <c r="O52" s="53"/>
      <c r="P52" s="53"/>
      <c r="Q52" s="53"/>
      <c r="R52" s="53"/>
      <c r="S52" s="53"/>
      <c r="T52" s="53"/>
      <c r="U52" s="53"/>
      <c r="V52" s="53"/>
      <c r="W52" s="53"/>
      <c r="X52" s="53"/>
      <c r="Y52" s="53"/>
      <c r="Z52" s="53"/>
    </row>
    <row r="53" spans="1:26" ht="6.75" customHeight="1">
      <c r="A53" s="54"/>
      <c r="B53" s="54"/>
      <c r="C53" s="54"/>
      <c r="D53" s="55"/>
      <c r="E53" s="53"/>
      <c r="F53" s="53"/>
      <c r="G53" s="53"/>
      <c r="H53" s="53"/>
      <c r="I53" s="53"/>
      <c r="J53" s="53"/>
      <c r="K53" s="53"/>
      <c r="L53" s="53"/>
      <c r="M53" s="53"/>
      <c r="N53" s="53"/>
      <c r="O53" s="53"/>
      <c r="P53" s="53"/>
      <c r="Q53" s="53"/>
      <c r="R53" s="53"/>
      <c r="S53" s="53"/>
      <c r="T53" s="53"/>
      <c r="U53" s="53"/>
      <c r="V53" s="53"/>
      <c r="W53" s="53"/>
      <c r="X53" s="53"/>
      <c r="Y53" s="53"/>
      <c r="Z53" s="53"/>
    </row>
    <row r="54" spans="1:26" ht="48" customHeight="1">
      <c r="A54" s="603" t="s">
        <v>37</v>
      </c>
      <c r="B54" s="595"/>
      <c r="C54" s="595"/>
      <c r="D54" s="596"/>
      <c r="E54" s="53"/>
      <c r="F54" s="53"/>
      <c r="G54" s="53"/>
      <c r="H54" s="53"/>
      <c r="I54" s="53"/>
      <c r="J54" s="53"/>
      <c r="K54" s="53"/>
      <c r="L54" s="53"/>
      <c r="M54" s="53"/>
      <c r="N54" s="53"/>
      <c r="O54" s="53"/>
      <c r="P54" s="53"/>
      <c r="Q54" s="53"/>
      <c r="R54" s="53"/>
      <c r="S54" s="53"/>
      <c r="T54" s="53"/>
      <c r="U54" s="53"/>
      <c r="V54" s="53"/>
      <c r="W54" s="53"/>
      <c r="X54" s="53"/>
      <c r="Y54" s="53"/>
      <c r="Z54" s="53"/>
    </row>
    <row r="55" spans="1:26" ht="6.75" customHeight="1">
      <c r="A55" s="54"/>
      <c r="B55" s="54"/>
      <c r="C55" s="54"/>
      <c r="D55" s="55"/>
      <c r="E55" s="53"/>
      <c r="F55" s="53"/>
      <c r="G55" s="53"/>
      <c r="H55" s="53"/>
      <c r="I55" s="53"/>
      <c r="J55" s="53"/>
      <c r="K55" s="53"/>
      <c r="L55" s="53"/>
      <c r="M55" s="53"/>
      <c r="N55" s="53"/>
      <c r="O55" s="53"/>
      <c r="P55" s="53"/>
      <c r="Q55" s="53"/>
      <c r="R55" s="53"/>
      <c r="S55" s="53"/>
      <c r="T55" s="53"/>
      <c r="U55" s="53"/>
      <c r="V55" s="53"/>
      <c r="W55" s="53"/>
      <c r="X55" s="53"/>
      <c r="Y55" s="53"/>
      <c r="Z55" s="53"/>
    </row>
    <row r="56" spans="1:26" ht="36" customHeight="1">
      <c r="A56" s="603" t="s">
        <v>58</v>
      </c>
      <c r="B56" s="595"/>
      <c r="C56" s="595"/>
      <c r="D56" s="596"/>
      <c r="E56" s="53"/>
      <c r="F56" s="53"/>
      <c r="G56" s="53"/>
      <c r="H56" s="53"/>
      <c r="I56" s="53"/>
      <c r="J56" s="53"/>
      <c r="K56" s="53"/>
      <c r="L56" s="53"/>
      <c r="M56" s="53"/>
      <c r="N56" s="53"/>
      <c r="O56" s="53"/>
      <c r="P56" s="53"/>
      <c r="Q56" s="53"/>
      <c r="R56" s="53"/>
      <c r="S56" s="53"/>
      <c r="T56" s="53"/>
      <c r="U56" s="53"/>
      <c r="V56" s="53"/>
      <c r="W56" s="53"/>
      <c r="X56" s="53"/>
      <c r="Y56" s="53"/>
      <c r="Z56" s="53"/>
    </row>
    <row r="57" spans="1:26" ht="6.75" customHeight="1">
      <c r="A57" s="54"/>
      <c r="B57" s="54"/>
      <c r="C57" s="54"/>
      <c r="D57" s="55"/>
      <c r="E57" s="53"/>
      <c r="F57" s="53"/>
      <c r="G57" s="53"/>
      <c r="H57" s="53"/>
      <c r="I57" s="53"/>
      <c r="J57" s="53"/>
      <c r="K57" s="53"/>
      <c r="L57" s="53"/>
      <c r="M57" s="53"/>
      <c r="N57" s="53"/>
      <c r="O57" s="53"/>
      <c r="P57" s="53"/>
      <c r="Q57" s="53"/>
      <c r="R57" s="53"/>
      <c r="S57" s="53"/>
      <c r="T57" s="53"/>
      <c r="U57" s="53"/>
      <c r="V57" s="53"/>
      <c r="W57" s="53"/>
      <c r="X57" s="53"/>
      <c r="Y57" s="53"/>
      <c r="Z57" s="53"/>
    </row>
    <row r="58" spans="1:26" ht="15" customHeight="1">
      <c r="A58" s="594" t="s">
        <v>39</v>
      </c>
      <c r="B58" s="595"/>
      <c r="C58" s="595"/>
      <c r="D58" s="596"/>
      <c r="E58" s="53"/>
      <c r="F58" s="53"/>
      <c r="G58" s="53"/>
      <c r="H58" s="53"/>
      <c r="I58" s="53"/>
      <c r="J58" s="53"/>
      <c r="K58" s="53"/>
      <c r="L58" s="53"/>
      <c r="M58" s="53"/>
      <c r="N58" s="53"/>
      <c r="O58" s="53"/>
      <c r="P58" s="53"/>
      <c r="Q58" s="53"/>
      <c r="R58" s="53"/>
      <c r="S58" s="53"/>
      <c r="T58" s="53"/>
      <c r="U58" s="53"/>
      <c r="V58" s="53"/>
      <c r="W58" s="53"/>
      <c r="X58" s="53"/>
      <c r="Y58" s="53"/>
      <c r="Z58" s="53"/>
    </row>
    <row r="59" spans="1:26" ht="6.75" customHeight="1">
      <c r="A59" s="59"/>
      <c r="B59" s="60"/>
      <c r="C59" s="60"/>
      <c r="D59" s="61"/>
      <c r="E59" s="53"/>
      <c r="F59" s="53"/>
      <c r="G59" s="53"/>
      <c r="H59" s="53"/>
      <c r="I59" s="53"/>
      <c r="J59" s="53"/>
      <c r="K59" s="53"/>
      <c r="L59" s="53"/>
      <c r="M59" s="53"/>
      <c r="N59" s="53"/>
      <c r="O59" s="53"/>
      <c r="P59" s="53"/>
      <c r="Q59" s="53"/>
      <c r="R59" s="53"/>
      <c r="S59" s="53"/>
      <c r="T59" s="53"/>
      <c r="U59" s="53"/>
      <c r="V59" s="53"/>
      <c r="W59" s="53"/>
      <c r="X59" s="53"/>
      <c r="Y59" s="53"/>
      <c r="Z59" s="53"/>
    </row>
    <row r="60" spans="1:26" ht="10.5" customHeight="1">
      <c r="A60" s="62" t="s">
        <v>40</v>
      </c>
      <c r="B60" s="63"/>
      <c r="C60" s="64" t="s">
        <v>41</v>
      </c>
      <c r="D60" s="280">
        <f>'Proposed Rates'!H9</f>
        <v>32.9</v>
      </c>
      <c r="E60" s="53"/>
      <c r="F60" s="53"/>
      <c r="G60" s="53"/>
      <c r="H60" s="53"/>
      <c r="I60" s="53"/>
      <c r="J60" s="53"/>
      <c r="K60" s="53"/>
      <c r="L60" s="53"/>
      <c r="M60" s="53"/>
      <c r="N60" s="53"/>
      <c r="O60" s="53"/>
      <c r="P60" s="53"/>
      <c r="Q60" s="53"/>
      <c r="R60" s="53"/>
      <c r="S60" s="53"/>
      <c r="T60" s="53"/>
      <c r="U60" s="53"/>
      <c r="V60" s="53"/>
      <c r="W60" s="53"/>
      <c r="X60" s="53"/>
      <c r="Y60" s="53"/>
      <c r="Z60" s="53"/>
    </row>
    <row r="61" spans="1:26" ht="10.5" customHeight="1">
      <c r="A61" s="62" t="s">
        <v>44</v>
      </c>
      <c r="B61" s="63"/>
      <c r="C61" s="64" t="s">
        <v>41</v>
      </c>
      <c r="D61" s="282">
        <f>'Proposed Rates'!H274</f>
        <v>0.43</v>
      </c>
      <c r="E61" s="53"/>
      <c r="F61" s="53"/>
      <c r="G61" s="53"/>
      <c r="H61" s="53"/>
      <c r="I61" s="53"/>
      <c r="J61" s="53"/>
      <c r="K61" s="53"/>
      <c r="L61" s="53"/>
      <c r="M61" s="53"/>
      <c r="N61" s="53"/>
      <c r="O61" s="53"/>
      <c r="P61" s="53"/>
      <c r="Q61" s="53"/>
      <c r="R61" s="53"/>
      <c r="S61" s="53"/>
      <c r="T61" s="53"/>
      <c r="U61" s="53"/>
      <c r="V61" s="53"/>
      <c r="W61" s="53"/>
      <c r="X61" s="53"/>
      <c r="Y61" s="53"/>
      <c r="Z61" s="53"/>
    </row>
    <row r="62" spans="1:26" ht="10.5" customHeight="1">
      <c r="A62" s="62" t="s">
        <v>59</v>
      </c>
      <c r="B62" s="63"/>
      <c r="C62" s="64" t="s">
        <v>46</v>
      </c>
      <c r="D62" s="281">
        <f>'Proposed Rates'!H22</f>
        <v>4.2599999999999999E-2</v>
      </c>
      <c r="E62" s="53"/>
      <c r="F62" s="53"/>
      <c r="G62" s="53"/>
      <c r="H62" s="53"/>
      <c r="I62" s="53"/>
      <c r="J62" s="53"/>
      <c r="K62" s="53"/>
      <c r="L62" s="53"/>
      <c r="M62" s="53"/>
      <c r="N62" s="53"/>
      <c r="O62" s="53"/>
      <c r="P62" s="53"/>
      <c r="Q62" s="53"/>
      <c r="R62" s="53"/>
      <c r="S62" s="53"/>
      <c r="T62" s="53"/>
      <c r="U62" s="53"/>
      <c r="V62" s="53"/>
      <c r="W62" s="53"/>
      <c r="X62" s="53"/>
      <c r="Y62" s="53"/>
      <c r="Z62" s="53"/>
    </row>
    <row r="63" spans="1:26" ht="10.5" customHeight="1">
      <c r="A63" s="62" t="s">
        <v>45</v>
      </c>
      <c r="B63" s="63"/>
      <c r="C63" s="64" t="s">
        <v>46</v>
      </c>
      <c r="D63" s="283">
        <f>'Proposed Rates'!H261</f>
        <v>6.0000000000000002E-5</v>
      </c>
      <c r="E63" s="53"/>
      <c r="F63" s="53"/>
      <c r="G63" s="53"/>
      <c r="H63" s="53"/>
      <c r="I63" s="53"/>
      <c r="J63" s="53"/>
      <c r="K63" s="53"/>
      <c r="L63" s="53"/>
      <c r="M63" s="53"/>
      <c r="N63" s="53"/>
      <c r="O63" s="53"/>
      <c r="P63" s="53"/>
      <c r="Q63" s="53"/>
      <c r="R63" s="53"/>
      <c r="S63" s="53"/>
      <c r="T63" s="53"/>
      <c r="U63" s="53"/>
      <c r="V63" s="53"/>
      <c r="W63" s="53"/>
      <c r="X63" s="53"/>
      <c r="Y63" s="53"/>
      <c r="Z63" s="53"/>
    </row>
    <row r="64" spans="1:26" ht="10.5" hidden="1" customHeight="1">
      <c r="A64" s="62" t="s">
        <v>47</v>
      </c>
      <c r="B64" s="63"/>
      <c r="C64" s="64" t="s">
        <v>46</v>
      </c>
      <c r="D64" s="281">
        <f>'Proposed Rates'!H38</f>
        <v>0</v>
      </c>
      <c r="E64" s="53"/>
      <c r="F64" s="53"/>
      <c r="G64" s="53"/>
      <c r="H64" s="53"/>
      <c r="I64" s="53"/>
      <c r="J64" s="53"/>
      <c r="K64" s="53"/>
      <c r="L64" s="53"/>
      <c r="M64" s="53"/>
      <c r="N64" s="53"/>
      <c r="O64" s="53"/>
      <c r="P64" s="53"/>
      <c r="Q64" s="53"/>
      <c r="R64" s="53"/>
      <c r="S64" s="53"/>
      <c r="T64" s="53"/>
      <c r="U64" s="53"/>
      <c r="V64" s="53"/>
      <c r="W64" s="53"/>
      <c r="X64" s="53"/>
      <c r="Y64" s="53"/>
      <c r="Z64" s="53"/>
    </row>
    <row r="65" spans="1:26" ht="10.5" hidden="1" customHeight="1">
      <c r="A65" s="62" t="s">
        <v>43</v>
      </c>
      <c r="B65" s="63"/>
      <c r="C65" s="64" t="s">
        <v>46</v>
      </c>
      <c r="D65" s="281">
        <f>'Proposed Rates'!H65</f>
        <v>0</v>
      </c>
      <c r="E65" s="53"/>
      <c r="F65" s="53"/>
      <c r="G65" s="53"/>
      <c r="H65" s="53"/>
      <c r="I65" s="53"/>
      <c r="J65" s="53"/>
      <c r="K65" s="53"/>
      <c r="L65" s="53"/>
      <c r="M65" s="53"/>
      <c r="N65" s="53"/>
      <c r="O65" s="53"/>
      <c r="P65" s="53"/>
      <c r="Q65" s="53"/>
      <c r="R65" s="53"/>
      <c r="S65" s="53"/>
      <c r="T65" s="53"/>
      <c r="U65" s="53"/>
      <c r="V65" s="53"/>
      <c r="W65" s="53"/>
      <c r="X65" s="53"/>
      <c r="Y65" s="53"/>
      <c r="Z65" s="53"/>
    </row>
    <row r="66" spans="1:26" ht="10.5" hidden="1" customHeight="1">
      <c r="A66" s="62" t="s">
        <v>42</v>
      </c>
      <c r="B66" s="63"/>
      <c r="C66" s="64" t="s">
        <v>46</v>
      </c>
      <c r="D66" s="281">
        <f>'Proposed Rates'!H91</f>
        <v>0</v>
      </c>
      <c r="E66" s="53"/>
      <c r="F66" s="53"/>
      <c r="G66" s="53"/>
      <c r="H66" s="53"/>
      <c r="I66" s="53"/>
      <c r="J66" s="53"/>
      <c r="K66" s="53"/>
      <c r="L66" s="53"/>
      <c r="M66" s="53"/>
      <c r="N66" s="53"/>
      <c r="O66" s="53"/>
      <c r="P66" s="53"/>
      <c r="Q66" s="53"/>
      <c r="R66" s="53"/>
      <c r="S66" s="53"/>
      <c r="T66" s="53"/>
      <c r="U66" s="53"/>
      <c r="V66" s="53"/>
      <c r="W66" s="53"/>
      <c r="X66" s="53"/>
      <c r="Y66" s="53"/>
      <c r="Z66" s="53"/>
    </row>
    <row r="67" spans="1:26" ht="10.5" hidden="1" customHeight="1">
      <c r="A67" s="62" t="s">
        <v>48</v>
      </c>
      <c r="B67" s="63"/>
      <c r="C67" s="64" t="s">
        <v>46</v>
      </c>
      <c r="D67" s="281">
        <f>'Proposed Rates'!H143</f>
        <v>0</v>
      </c>
      <c r="E67" s="53"/>
      <c r="F67" s="53"/>
      <c r="G67" s="53"/>
      <c r="H67" s="53"/>
      <c r="I67" s="53"/>
      <c r="J67" s="53"/>
      <c r="K67" s="53"/>
      <c r="L67" s="53"/>
      <c r="M67" s="53"/>
      <c r="N67" s="53"/>
      <c r="O67" s="53"/>
      <c r="P67" s="53"/>
      <c r="Q67" s="53"/>
      <c r="R67" s="53"/>
      <c r="S67" s="53"/>
      <c r="T67" s="53"/>
      <c r="U67" s="53"/>
      <c r="V67" s="53"/>
      <c r="W67" s="53"/>
      <c r="X67" s="53"/>
      <c r="Y67" s="53"/>
      <c r="Z67" s="53"/>
    </row>
    <row r="68" spans="1:26" ht="10.5" customHeight="1">
      <c r="A68" s="62" t="s">
        <v>49</v>
      </c>
      <c r="B68" s="63"/>
      <c r="C68" s="64" t="s">
        <v>46</v>
      </c>
      <c r="D68" s="281">
        <f>'Proposed Rates'!H184</f>
        <v>1.0699999999999999E-2</v>
      </c>
      <c r="E68" s="53"/>
      <c r="F68" s="53"/>
      <c r="G68" s="53"/>
      <c r="H68" s="53"/>
      <c r="I68" s="53"/>
      <c r="J68" s="53"/>
      <c r="K68" s="53"/>
      <c r="L68" s="53"/>
      <c r="M68" s="53"/>
      <c r="N68" s="53"/>
      <c r="O68" s="53"/>
      <c r="P68" s="53"/>
      <c r="Q68" s="53"/>
      <c r="R68" s="53"/>
      <c r="S68" s="53"/>
      <c r="T68" s="53"/>
      <c r="U68" s="53"/>
      <c r="V68" s="53"/>
      <c r="W68" s="53"/>
      <c r="X68" s="53"/>
      <c r="Y68" s="53"/>
      <c r="Z68" s="53"/>
    </row>
    <row r="69" spans="1:26" ht="10.5" customHeight="1">
      <c r="A69" s="62" t="s">
        <v>50</v>
      </c>
      <c r="B69" s="64"/>
      <c r="C69" s="64" t="s">
        <v>46</v>
      </c>
      <c r="D69" s="281">
        <f>'Proposed Rates'!H197</f>
        <v>6.1000000000000004E-3</v>
      </c>
      <c r="E69" s="53"/>
      <c r="F69" s="53"/>
      <c r="G69" s="53"/>
      <c r="H69" s="53"/>
      <c r="I69" s="53"/>
      <c r="J69" s="53"/>
      <c r="K69" s="53"/>
      <c r="L69" s="53"/>
      <c r="M69" s="53"/>
      <c r="N69" s="53"/>
      <c r="O69" s="53"/>
      <c r="P69" s="53"/>
      <c r="Q69" s="53"/>
      <c r="R69" s="53"/>
      <c r="S69" s="53"/>
      <c r="T69" s="53"/>
      <c r="U69" s="53"/>
      <c r="V69" s="53"/>
      <c r="W69" s="53"/>
      <c r="X69" s="53"/>
      <c r="Y69" s="53"/>
      <c r="Z69" s="53"/>
    </row>
    <row r="70" spans="1:26" ht="11.25" customHeight="1">
      <c r="A70" s="64"/>
      <c r="B70" s="63"/>
      <c r="C70" s="64"/>
      <c r="D70" s="284"/>
      <c r="E70" s="53"/>
      <c r="F70" s="53"/>
      <c r="G70" s="53"/>
      <c r="H70" s="53"/>
      <c r="I70" s="53"/>
      <c r="J70" s="53"/>
      <c r="K70" s="53"/>
      <c r="L70" s="53"/>
      <c r="M70" s="53"/>
      <c r="N70" s="53"/>
      <c r="O70" s="53"/>
      <c r="P70" s="53"/>
      <c r="Q70" s="53"/>
      <c r="R70" s="53"/>
      <c r="S70" s="53"/>
      <c r="T70" s="53"/>
      <c r="U70" s="53"/>
      <c r="V70" s="53"/>
      <c r="W70" s="53"/>
      <c r="X70" s="53"/>
      <c r="Y70" s="53"/>
      <c r="Z70" s="53"/>
    </row>
    <row r="71" spans="1:26" ht="11.25" customHeight="1">
      <c r="A71" s="70" t="s">
        <v>51</v>
      </c>
      <c r="B71" s="64"/>
      <c r="C71" s="64"/>
      <c r="D71" s="284"/>
      <c r="E71" s="53"/>
      <c r="F71" s="53"/>
      <c r="G71" s="53"/>
      <c r="H71" s="53"/>
      <c r="I71" s="53"/>
      <c r="J71" s="53"/>
      <c r="K71" s="53"/>
      <c r="L71" s="53"/>
      <c r="M71" s="53"/>
      <c r="N71" s="53"/>
      <c r="O71" s="53"/>
      <c r="P71" s="53"/>
      <c r="Q71" s="53"/>
      <c r="R71" s="53"/>
      <c r="S71" s="53"/>
      <c r="T71" s="53"/>
      <c r="U71" s="53"/>
      <c r="V71" s="53"/>
      <c r="W71" s="53"/>
      <c r="X71" s="53"/>
      <c r="Y71" s="53"/>
      <c r="Z71" s="53"/>
    </row>
    <row r="72" spans="1:26" ht="7.5" customHeight="1">
      <c r="A72" s="59"/>
      <c r="B72" s="63"/>
      <c r="C72" s="64"/>
      <c r="D72" s="284"/>
      <c r="E72" s="53"/>
      <c r="F72" s="53"/>
      <c r="G72" s="53"/>
      <c r="H72" s="53"/>
      <c r="I72" s="53"/>
      <c r="J72" s="53"/>
      <c r="K72" s="53"/>
      <c r="L72" s="53"/>
      <c r="M72" s="53"/>
      <c r="N72" s="53"/>
      <c r="O72" s="53"/>
      <c r="P72" s="53"/>
      <c r="Q72" s="53"/>
      <c r="R72" s="53"/>
      <c r="S72" s="53"/>
      <c r="T72" s="53"/>
      <c r="U72" s="53"/>
      <c r="V72" s="53"/>
      <c r="W72" s="53"/>
      <c r="X72" s="53"/>
      <c r="Y72" s="53"/>
      <c r="Z72" s="53"/>
    </row>
    <row r="73" spans="1:26" ht="10.5" customHeight="1">
      <c r="A73" s="62" t="s">
        <v>52</v>
      </c>
      <c r="B73" s="63"/>
      <c r="C73" s="64" t="s">
        <v>46</v>
      </c>
      <c r="D73" s="284">
        <f>$D$34</f>
        <v>4.1000000000000003E-3</v>
      </c>
      <c r="E73" s="53"/>
      <c r="F73" s="53"/>
      <c r="G73" s="53"/>
      <c r="H73" s="53"/>
      <c r="I73" s="53"/>
      <c r="J73" s="53"/>
      <c r="K73" s="53"/>
      <c r="L73" s="53"/>
      <c r="M73" s="53"/>
      <c r="N73" s="53"/>
      <c r="O73" s="53"/>
      <c r="P73" s="53"/>
      <c r="Q73" s="53"/>
      <c r="R73" s="53"/>
      <c r="S73" s="53"/>
      <c r="T73" s="53"/>
      <c r="U73" s="53"/>
      <c r="V73" s="53"/>
      <c r="W73" s="53"/>
      <c r="X73" s="53"/>
      <c r="Y73" s="53"/>
      <c r="Z73" s="53"/>
    </row>
    <row r="74" spans="1:26" ht="10.5" customHeight="1">
      <c r="A74" s="62" t="s">
        <v>53</v>
      </c>
      <c r="B74" s="63"/>
      <c r="C74" s="64" t="s">
        <v>46</v>
      </c>
      <c r="D74" s="281">
        <f>'Proposed Rates'!H210-'2026'!D73</f>
        <v>3.9999999999999931E-4</v>
      </c>
      <c r="E74" s="53"/>
      <c r="F74" s="53"/>
      <c r="G74" s="53"/>
      <c r="H74" s="53"/>
      <c r="I74" s="53"/>
      <c r="J74" s="53"/>
      <c r="K74" s="53"/>
      <c r="L74" s="53"/>
      <c r="M74" s="53"/>
      <c r="N74" s="53"/>
      <c r="O74" s="53"/>
      <c r="P74" s="53"/>
      <c r="Q74" s="53"/>
      <c r="R74" s="53"/>
      <c r="S74" s="53"/>
      <c r="T74" s="53"/>
      <c r="U74" s="53"/>
      <c r="V74" s="53"/>
      <c r="W74" s="53"/>
      <c r="X74" s="53"/>
      <c r="Y74" s="53"/>
      <c r="Z74" s="53"/>
    </row>
    <row r="75" spans="1:26" ht="10.5" customHeight="1">
      <c r="A75" s="62" t="s">
        <v>54</v>
      </c>
      <c r="B75" s="63"/>
      <c r="C75" s="64" t="s">
        <v>46</v>
      </c>
      <c r="D75" s="281">
        <f>'Proposed Rates'!H223</f>
        <v>1.5E-3</v>
      </c>
      <c r="E75" s="53"/>
      <c r="F75" s="53"/>
      <c r="G75" s="53"/>
      <c r="H75" s="53"/>
      <c r="I75" s="53"/>
      <c r="J75" s="53"/>
      <c r="K75" s="53"/>
      <c r="L75" s="53"/>
      <c r="M75" s="53"/>
      <c r="N75" s="53"/>
      <c r="O75" s="53"/>
      <c r="P75" s="53"/>
      <c r="Q75" s="53"/>
      <c r="R75" s="53"/>
      <c r="S75" s="53"/>
      <c r="T75" s="53"/>
      <c r="U75" s="53"/>
      <c r="V75" s="53"/>
      <c r="W75" s="53"/>
      <c r="X75" s="53"/>
      <c r="Y75" s="53"/>
      <c r="Z75" s="53"/>
    </row>
    <row r="76" spans="1:26" ht="10.5" customHeight="1">
      <c r="A76" s="62" t="s">
        <v>55</v>
      </c>
      <c r="B76" s="63"/>
      <c r="C76" s="64" t="s">
        <v>41</v>
      </c>
      <c r="D76" s="281">
        <f>'Proposed Rates'!H237</f>
        <v>1.57</v>
      </c>
      <c r="E76" s="53"/>
      <c r="F76" s="53"/>
      <c r="G76" s="53"/>
      <c r="H76" s="53"/>
      <c r="I76" s="53"/>
      <c r="J76" s="53"/>
      <c r="K76" s="53"/>
      <c r="L76" s="53"/>
      <c r="M76" s="53"/>
      <c r="N76" s="53"/>
      <c r="O76" s="53"/>
      <c r="P76" s="53"/>
      <c r="Q76" s="53"/>
      <c r="R76" s="53"/>
      <c r="S76" s="53"/>
      <c r="T76" s="53"/>
      <c r="U76" s="53"/>
      <c r="V76" s="53"/>
      <c r="W76" s="53"/>
      <c r="X76" s="53"/>
      <c r="Y76" s="53"/>
      <c r="Z76" s="53"/>
    </row>
    <row r="77" spans="1:26" ht="5.25" customHeight="1">
      <c r="A77" s="64"/>
      <c r="B77" s="63"/>
      <c r="C77" s="64"/>
      <c r="D77" s="69"/>
      <c r="E77" s="53"/>
      <c r="F77" s="53"/>
      <c r="G77" s="53"/>
      <c r="H77" s="53"/>
      <c r="I77" s="53"/>
      <c r="J77" s="53"/>
      <c r="K77" s="53"/>
      <c r="L77" s="53"/>
      <c r="M77" s="53"/>
      <c r="N77" s="53"/>
      <c r="O77" s="53"/>
      <c r="P77" s="53"/>
      <c r="Q77" s="53"/>
      <c r="R77" s="53"/>
      <c r="S77" s="53"/>
      <c r="T77" s="53"/>
      <c r="U77" s="53"/>
      <c r="V77" s="53"/>
      <c r="W77" s="53"/>
      <c r="X77" s="53"/>
      <c r="Y77" s="53"/>
      <c r="Z77" s="53"/>
    </row>
    <row r="78" spans="1:26" ht="23.25" customHeight="1">
      <c r="A78" s="597" t="str">
        <f>$A$1</f>
        <v>Hydro Ottawa Limited</v>
      </c>
      <c r="B78" s="595"/>
      <c r="C78" s="595"/>
      <c r="D78" s="596"/>
      <c r="E78" s="53"/>
      <c r="F78" s="53"/>
      <c r="G78" s="53"/>
      <c r="H78" s="53"/>
      <c r="I78" s="53"/>
      <c r="J78" s="53"/>
      <c r="K78" s="53"/>
      <c r="L78" s="53"/>
      <c r="M78" s="53"/>
      <c r="N78" s="53"/>
      <c r="O78" s="53"/>
      <c r="P78" s="53"/>
      <c r="Q78" s="53"/>
      <c r="R78" s="53"/>
      <c r="S78" s="53"/>
      <c r="T78" s="53"/>
      <c r="U78" s="53"/>
      <c r="V78" s="53"/>
      <c r="W78" s="53"/>
      <c r="X78" s="53"/>
      <c r="Y78" s="53"/>
      <c r="Z78" s="53"/>
    </row>
    <row r="79" spans="1:26" ht="18" customHeight="1">
      <c r="A79" s="598" t="str">
        <f>$A$2</f>
        <v>PROPOSED - TARIFF OF RATES AND CHARGES</v>
      </c>
      <c r="B79" s="595"/>
      <c r="C79" s="595"/>
      <c r="D79" s="596"/>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99" t="str">
        <f>$A$3</f>
        <v>Effective and Implementation Date January 1, 2028</v>
      </c>
      <c r="B80" s="595"/>
      <c r="C80" s="595"/>
      <c r="D80" s="596"/>
      <c r="E80" s="53"/>
      <c r="F80" s="53"/>
      <c r="G80" s="53"/>
      <c r="H80" s="53"/>
      <c r="I80" s="53"/>
      <c r="J80" s="53"/>
      <c r="K80" s="53"/>
      <c r="L80" s="53"/>
      <c r="M80" s="53"/>
      <c r="N80" s="53"/>
      <c r="O80" s="53"/>
      <c r="P80" s="53"/>
      <c r="Q80" s="53"/>
      <c r="R80" s="53"/>
      <c r="S80" s="53"/>
      <c r="T80" s="53"/>
      <c r="U80" s="53"/>
      <c r="V80" s="53"/>
      <c r="W80" s="53"/>
      <c r="X80" s="53"/>
      <c r="Y80" s="53"/>
      <c r="Z80" s="53"/>
    </row>
    <row r="81" spans="1:26" ht="11.25" customHeight="1">
      <c r="A81" s="600" t="str">
        <f>$A$4</f>
        <v>This schedule supersedes and replaces all previously</v>
      </c>
      <c r="B81" s="595"/>
      <c r="C81" s="595"/>
      <c r="D81" s="596"/>
      <c r="E81" s="53"/>
      <c r="F81" s="53"/>
      <c r="G81" s="53"/>
      <c r="H81" s="53"/>
      <c r="I81" s="53"/>
      <c r="J81" s="53"/>
      <c r="K81" s="53"/>
      <c r="L81" s="53"/>
      <c r="M81" s="53"/>
      <c r="N81" s="53"/>
      <c r="O81" s="53"/>
      <c r="P81" s="53"/>
      <c r="Q81" s="53"/>
      <c r="R81" s="53"/>
      <c r="S81" s="53"/>
      <c r="T81" s="53"/>
      <c r="U81" s="53"/>
      <c r="V81" s="53"/>
      <c r="W81" s="53"/>
      <c r="X81" s="53"/>
      <c r="Y81" s="53"/>
      <c r="Z81" s="53"/>
    </row>
    <row r="82" spans="1:26" ht="11.25" customHeight="1">
      <c r="A82" s="600" t="str">
        <f>$A$5</f>
        <v>approved schedules of Rates, Charges and Loss Factors</v>
      </c>
      <c r="B82" s="595"/>
      <c r="C82" s="595"/>
      <c r="D82" s="596"/>
      <c r="E82" s="53"/>
      <c r="F82" s="53"/>
      <c r="G82" s="53"/>
      <c r="H82" s="53"/>
      <c r="I82" s="53"/>
      <c r="J82" s="53"/>
      <c r="K82" s="53"/>
      <c r="L82" s="53"/>
      <c r="M82" s="53"/>
      <c r="N82" s="53"/>
      <c r="O82" s="53"/>
      <c r="P82" s="53"/>
      <c r="Q82" s="53"/>
      <c r="R82" s="53"/>
      <c r="S82" s="53"/>
      <c r="T82" s="53"/>
      <c r="U82" s="53"/>
      <c r="V82" s="53"/>
      <c r="W82" s="53"/>
      <c r="X82" s="53"/>
      <c r="Y82" s="53"/>
      <c r="Z82" s="53"/>
    </row>
    <row r="83" spans="1:26" ht="11.25" customHeight="1">
      <c r="A83" s="601" t="str">
        <f>$A$6</f>
        <v>EB-2024-0115</v>
      </c>
      <c r="B83" s="595"/>
      <c r="C83" s="595"/>
      <c r="D83" s="596"/>
      <c r="E83" s="53"/>
      <c r="F83" s="53"/>
      <c r="G83" s="53"/>
      <c r="H83" s="53"/>
      <c r="I83" s="53"/>
      <c r="J83" s="53"/>
      <c r="K83" s="53"/>
      <c r="L83" s="53"/>
      <c r="M83" s="53"/>
      <c r="N83" s="53"/>
      <c r="O83" s="53"/>
      <c r="P83" s="53"/>
      <c r="Q83" s="53"/>
      <c r="R83" s="53"/>
      <c r="S83" s="53"/>
      <c r="T83" s="53"/>
      <c r="U83" s="53"/>
      <c r="V83" s="53"/>
      <c r="W83" s="53"/>
      <c r="X83" s="53"/>
      <c r="Y83" s="53"/>
      <c r="Z83" s="53"/>
    </row>
    <row r="84" spans="1:26" ht="18.75" customHeight="1">
      <c r="A84" s="602" t="s">
        <v>61</v>
      </c>
      <c r="B84" s="595"/>
      <c r="C84" s="595"/>
      <c r="D84" s="596"/>
      <c r="E84" s="71"/>
      <c r="F84" s="71"/>
      <c r="G84" s="71"/>
      <c r="H84" s="71"/>
      <c r="I84" s="71"/>
      <c r="J84" s="71"/>
      <c r="K84" s="71"/>
      <c r="L84" s="71"/>
      <c r="M84" s="71"/>
      <c r="N84" s="71"/>
      <c r="O84" s="71"/>
      <c r="P84" s="71"/>
      <c r="Q84" s="71"/>
      <c r="R84" s="71"/>
      <c r="S84" s="71"/>
      <c r="T84" s="71"/>
      <c r="U84" s="71"/>
      <c r="V84" s="71"/>
      <c r="W84" s="71"/>
      <c r="X84" s="71"/>
      <c r="Y84" s="71"/>
      <c r="Z84" s="71"/>
    </row>
    <row r="85" spans="1:26" ht="48" customHeight="1">
      <c r="A85" s="603" t="s">
        <v>62</v>
      </c>
      <c r="B85" s="595"/>
      <c r="C85" s="595"/>
      <c r="D85" s="596"/>
      <c r="E85" s="53"/>
      <c r="F85" s="53"/>
      <c r="G85" s="53"/>
      <c r="H85" s="53"/>
      <c r="I85" s="53"/>
      <c r="J85" s="53"/>
      <c r="K85" s="53"/>
      <c r="L85" s="53"/>
      <c r="M85" s="53"/>
      <c r="N85" s="53"/>
      <c r="O85" s="53"/>
      <c r="P85" s="53"/>
      <c r="Q85" s="53"/>
      <c r="R85" s="53"/>
      <c r="S85" s="53"/>
      <c r="T85" s="53"/>
      <c r="U85" s="53"/>
      <c r="V85" s="53"/>
      <c r="W85" s="53"/>
      <c r="X85" s="53"/>
      <c r="Y85" s="53"/>
      <c r="Z85" s="53"/>
    </row>
    <row r="86" spans="1:26" ht="6.75" customHeight="1">
      <c r="A86" s="54"/>
      <c r="B86" s="54"/>
      <c r="C86" s="54"/>
      <c r="D86" s="55"/>
      <c r="E86" s="53"/>
      <c r="F86" s="53"/>
      <c r="G86" s="53"/>
      <c r="H86" s="53"/>
      <c r="I86" s="53"/>
      <c r="J86" s="53"/>
      <c r="K86" s="53"/>
      <c r="L86" s="53"/>
      <c r="M86" s="53"/>
      <c r="N86" s="53"/>
      <c r="O86" s="53"/>
      <c r="P86" s="53"/>
      <c r="Q86" s="53"/>
      <c r="R86" s="53"/>
      <c r="S86" s="53"/>
      <c r="T86" s="53"/>
      <c r="U86" s="53"/>
      <c r="V86" s="53"/>
      <c r="W86" s="53"/>
      <c r="X86" s="53"/>
      <c r="Y86" s="53"/>
      <c r="Z86" s="53"/>
    </row>
    <row r="87" spans="1:26" ht="11.25" customHeight="1">
      <c r="A87" s="604" t="s">
        <v>34</v>
      </c>
      <c r="B87" s="595"/>
      <c r="C87" s="595"/>
      <c r="D87" s="596"/>
      <c r="E87" s="53"/>
      <c r="F87" s="53"/>
      <c r="G87" s="53"/>
      <c r="H87" s="53"/>
      <c r="I87" s="53"/>
      <c r="J87" s="53"/>
      <c r="K87" s="53"/>
      <c r="L87" s="53"/>
      <c r="M87" s="53"/>
      <c r="N87" s="53"/>
      <c r="O87" s="53"/>
      <c r="P87" s="53"/>
      <c r="Q87" s="53"/>
      <c r="R87" s="53"/>
      <c r="S87" s="53"/>
      <c r="T87" s="53"/>
      <c r="U87" s="53"/>
      <c r="V87" s="53"/>
      <c r="W87" s="53"/>
      <c r="X87" s="53"/>
      <c r="Y87" s="53"/>
      <c r="Z87" s="53"/>
    </row>
    <row r="88" spans="1:26" ht="6.75" customHeight="1">
      <c r="A88" s="56"/>
      <c r="B88" s="57"/>
      <c r="C88" s="57"/>
      <c r="D88" s="58"/>
      <c r="E88" s="53"/>
      <c r="F88" s="53"/>
      <c r="G88" s="53"/>
      <c r="H88" s="53"/>
      <c r="I88" s="53"/>
      <c r="J88" s="53"/>
      <c r="K88" s="53"/>
      <c r="L88" s="53"/>
      <c r="M88" s="53"/>
      <c r="N88" s="53"/>
      <c r="O88" s="53"/>
      <c r="P88" s="53"/>
      <c r="Q88" s="53"/>
      <c r="R88" s="53"/>
      <c r="S88" s="53"/>
      <c r="T88" s="53"/>
      <c r="U88" s="53"/>
      <c r="V88" s="53"/>
      <c r="W88" s="53"/>
      <c r="X88" s="53"/>
      <c r="Y88" s="53"/>
      <c r="Z88" s="53"/>
    </row>
    <row r="89" spans="1:26" ht="36" customHeight="1">
      <c r="A89" s="603" t="s">
        <v>35</v>
      </c>
      <c r="B89" s="595"/>
      <c r="C89" s="595"/>
      <c r="D89" s="596"/>
      <c r="E89" s="53"/>
      <c r="F89" s="53"/>
      <c r="G89" s="53"/>
      <c r="H89" s="53"/>
      <c r="I89" s="53"/>
      <c r="J89" s="53"/>
      <c r="K89" s="53"/>
      <c r="L89" s="53"/>
      <c r="M89" s="53"/>
      <c r="N89" s="53"/>
      <c r="O89" s="53"/>
      <c r="P89" s="53"/>
      <c r="Q89" s="53"/>
      <c r="R89" s="53"/>
      <c r="S89" s="53"/>
      <c r="T89" s="53"/>
      <c r="U89" s="53"/>
      <c r="V89" s="53"/>
      <c r="W89" s="53"/>
      <c r="X89" s="53"/>
      <c r="Y89" s="53"/>
      <c r="Z89" s="53"/>
    </row>
    <row r="90" spans="1:26" ht="6.75" customHeight="1">
      <c r="A90" s="54"/>
      <c r="B90" s="54"/>
      <c r="C90" s="54"/>
      <c r="D90" s="55"/>
      <c r="E90" s="53"/>
      <c r="F90" s="53"/>
      <c r="G90" s="53"/>
      <c r="H90" s="53"/>
      <c r="I90" s="53"/>
      <c r="J90" s="53"/>
      <c r="K90" s="53"/>
      <c r="L90" s="53"/>
      <c r="M90" s="53"/>
      <c r="N90" s="53"/>
      <c r="O90" s="53"/>
      <c r="P90" s="53"/>
      <c r="Q90" s="53"/>
      <c r="R90" s="53"/>
      <c r="S90" s="53"/>
      <c r="T90" s="53"/>
      <c r="U90" s="53"/>
      <c r="V90" s="53"/>
      <c r="W90" s="53"/>
      <c r="X90" s="53"/>
      <c r="Y90" s="53"/>
      <c r="Z90" s="53"/>
    </row>
    <row r="91" spans="1:26" ht="48" customHeight="1">
      <c r="A91" s="603" t="s">
        <v>36</v>
      </c>
      <c r="B91" s="595"/>
      <c r="C91" s="595"/>
      <c r="D91" s="596"/>
      <c r="E91" s="53"/>
      <c r="F91" s="53"/>
      <c r="G91" s="53"/>
      <c r="H91" s="53"/>
      <c r="I91" s="53"/>
      <c r="J91" s="53"/>
      <c r="K91" s="53"/>
      <c r="L91" s="53"/>
      <c r="M91" s="53"/>
      <c r="N91" s="53"/>
      <c r="O91" s="53"/>
      <c r="P91" s="53"/>
      <c r="Q91" s="53"/>
      <c r="R91" s="53"/>
      <c r="S91" s="53"/>
      <c r="T91" s="53"/>
      <c r="U91" s="53"/>
      <c r="V91" s="53"/>
      <c r="W91" s="53"/>
      <c r="X91" s="53"/>
      <c r="Y91" s="53"/>
      <c r="Z91" s="53"/>
    </row>
    <row r="92" spans="1:26" ht="6.75" customHeight="1">
      <c r="A92" s="54"/>
      <c r="B92" s="54"/>
      <c r="C92" s="54"/>
      <c r="D92" s="55"/>
      <c r="E92" s="53"/>
      <c r="F92" s="53"/>
      <c r="G92" s="53"/>
      <c r="H92" s="53"/>
      <c r="I92" s="53"/>
      <c r="J92" s="53"/>
      <c r="K92" s="53"/>
      <c r="L92" s="53"/>
      <c r="M92" s="53"/>
      <c r="N92" s="53"/>
      <c r="O92" s="53"/>
      <c r="P92" s="53"/>
      <c r="Q92" s="53"/>
      <c r="R92" s="53"/>
      <c r="S92" s="53"/>
      <c r="T92" s="53"/>
      <c r="U92" s="53"/>
      <c r="V92" s="53"/>
      <c r="W92" s="53"/>
      <c r="X92" s="53"/>
      <c r="Y92" s="53"/>
      <c r="Z92" s="53"/>
    </row>
    <row r="93" spans="1:26" ht="48" customHeight="1">
      <c r="A93" s="603" t="s">
        <v>37</v>
      </c>
      <c r="B93" s="595"/>
      <c r="C93" s="595"/>
      <c r="D93" s="596"/>
      <c r="E93" s="53"/>
      <c r="F93" s="53"/>
      <c r="G93" s="53"/>
      <c r="H93" s="53"/>
      <c r="I93" s="53"/>
      <c r="J93" s="53"/>
      <c r="K93" s="53"/>
      <c r="L93" s="53"/>
      <c r="M93" s="53"/>
      <c r="N93" s="53"/>
      <c r="O93" s="53"/>
      <c r="P93" s="53"/>
      <c r="Q93" s="53"/>
      <c r="R93" s="53"/>
      <c r="S93" s="53"/>
      <c r="T93" s="53"/>
      <c r="U93" s="53"/>
      <c r="V93" s="53"/>
      <c r="W93" s="53"/>
      <c r="X93" s="53"/>
      <c r="Y93" s="53"/>
      <c r="Z93" s="53"/>
    </row>
    <row r="94" spans="1:26" ht="6.75" customHeight="1">
      <c r="A94" s="54"/>
      <c r="B94" s="54"/>
      <c r="C94" s="54"/>
      <c r="D94" s="55"/>
      <c r="E94" s="53"/>
      <c r="F94" s="53"/>
      <c r="G94" s="53"/>
      <c r="H94" s="53"/>
      <c r="I94" s="53"/>
      <c r="J94" s="53"/>
      <c r="K94" s="53"/>
      <c r="L94" s="53"/>
      <c r="M94" s="53"/>
      <c r="N94" s="53"/>
      <c r="O94" s="53"/>
      <c r="P94" s="53"/>
      <c r="Q94" s="53"/>
      <c r="R94" s="53"/>
      <c r="S94" s="53"/>
      <c r="T94" s="53"/>
      <c r="U94" s="53"/>
      <c r="V94" s="53"/>
      <c r="W94" s="53"/>
      <c r="X94" s="53"/>
      <c r="Y94" s="53"/>
      <c r="Z94" s="53"/>
    </row>
    <row r="95" spans="1:26" ht="96" customHeight="1">
      <c r="A95" s="603" t="s">
        <v>63</v>
      </c>
      <c r="B95" s="595"/>
      <c r="C95" s="595"/>
      <c r="D95" s="596"/>
      <c r="E95" s="53"/>
      <c r="F95" s="53"/>
      <c r="G95" s="53"/>
      <c r="H95" s="53"/>
      <c r="I95" s="53"/>
      <c r="J95" s="53"/>
      <c r="K95" s="53"/>
      <c r="L95" s="53"/>
      <c r="M95" s="53"/>
      <c r="N95" s="53"/>
      <c r="O95" s="53"/>
      <c r="P95" s="53"/>
      <c r="Q95" s="53"/>
      <c r="R95" s="53"/>
      <c r="S95" s="53"/>
      <c r="T95" s="53"/>
      <c r="U95" s="53"/>
      <c r="V95" s="53"/>
      <c r="W95" s="53"/>
      <c r="X95" s="53"/>
      <c r="Y95" s="53"/>
      <c r="Z95" s="53"/>
    </row>
    <row r="96" spans="1:26" ht="96" customHeight="1">
      <c r="A96" s="603" t="s">
        <v>64</v>
      </c>
      <c r="B96" s="595"/>
      <c r="C96" s="595"/>
      <c r="D96" s="596"/>
      <c r="E96" s="53"/>
      <c r="F96" s="53"/>
      <c r="G96" s="53"/>
      <c r="H96" s="53"/>
      <c r="I96" s="53"/>
      <c r="J96" s="53"/>
      <c r="K96" s="53"/>
      <c r="L96" s="53"/>
      <c r="M96" s="53"/>
      <c r="N96" s="53"/>
      <c r="O96" s="53"/>
      <c r="P96" s="53"/>
      <c r="Q96" s="53"/>
      <c r="R96" s="53"/>
      <c r="S96" s="53"/>
      <c r="T96" s="53"/>
      <c r="U96" s="53"/>
      <c r="V96" s="53"/>
      <c r="W96" s="53"/>
      <c r="X96" s="53"/>
      <c r="Y96" s="53"/>
      <c r="Z96" s="53"/>
    </row>
    <row r="97" spans="1:26" ht="36" customHeight="1">
      <c r="A97" s="603" t="s">
        <v>38</v>
      </c>
      <c r="B97" s="595"/>
      <c r="C97" s="595"/>
      <c r="D97" s="596"/>
      <c r="E97" s="53"/>
      <c r="F97" s="53"/>
      <c r="G97" s="53"/>
      <c r="H97" s="53"/>
      <c r="I97" s="53"/>
      <c r="J97" s="53"/>
      <c r="K97" s="53"/>
      <c r="L97" s="53"/>
      <c r="M97" s="53"/>
      <c r="N97" s="53"/>
      <c r="O97" s="53"/>
      <c r="P97" s="53"/>
      <c r="Q97" s="53"/>
      <c r="R97" s="53"/>
      <c r="S97" s="53"/>
      <c r="T97" s="53"/>
      <c r="U97" s="53"/>
      <c r="V97" s="53"/>
      <c r="W97" s="53"/>
      <c r="X97" s="53"/>
      <c r="Y97" s="53"/>
      <c r="Z97" s="53"/>
    </row>
    <row r="98" spans="1:26" ht="24" customHeight="1">
      <c r="A98" s="608" t="s">
        <v>65</v>
      </c>
      <c r="B98" s="595"/>
      <c r="C98" s="595"/>
      <c r="D98" s="596"/>
      <c r="E98" s="53"/>
      <c r="F98" s="53"/>
      <c r="G98" s="53"/>
      <c r="H98" s="53"/>
      <c r="I98" s="53"/>
      <c r="J98" s="53"/>
      <c r="K98" s="53"/>
      <c r="L98" s="53"/>
      <c r="M98" s="53"/>
      <c r="N98" s="53"/>
      <c r="O98" s="53"/>
      <c r="P98" s="53"/>
      <c r="Q98" s="53"/>
      <c r="R98" s="53"/>
      <c r="S98" s="53"/>
      <c r="T98" s="53"/>
      <c r="U98" s="53"/>
      <c r="V98" s="53"/>
      <c r="W98" s="53"/>
      <c r="X98" s="53"/>
      <c r="Y98" s="53"/>
      <c r="Z98" s="53"/>
    </row>
    <row r="99" spans="1:26" ht="6.75" customHeight="1">
      <c r="A99" s="74"/>
      <c r="B99" s="74"/>
      <c r="C99" s="74"/>
      <c r="D99" s="75"/>
      <c r="E99" s="53"/>
      <c r="F99" s="53"/>
      <c r="G99" s="53"/>
      <c r="H99" s="53"/>
      <c r="I99" s="53"/>
      <c r="J99" s="53"/>
      <c r="K99" s="53"/>
      <c r="L99" s="53"/>
      <c r="M99" s="53"/>
      <c r="N99" s="53"/>
      <c r="O99" s="53"/>
      <c r="P99" s="53"/>
      <c r="Q99" s="53"/>
      <c r="R99" s="53"/>
      <c r="S99" s="53"/>
      <c r="T99" s="53"/>
      <c r="U99" s="53"/>
      <c r="V99" s="53"/>
      <c r="W99" s="53"/>
      <c r="X99" s="53"/>
      <c r="Y99" s="53"/>
      <c r="Z99" s="53"/>
    </row>
    <row r="100" spans="1:26" ht="15" customHeight="1">
      <c r="A100" s="594" t="s">
        <v>39</v>
      </c>
      <c r="B100" s="595"/>
      <c r="C100" s="595"/>
      <c r="D100" s="596"/>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6.75" customHeight="1">
      <c r="A101" s="59"/>
      <c r="B101" s="60"/>
      <c r="C101" s="60"/>
      <c r="D101" s="61"/>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62" t="s">
        <v>40</v>
      </c>
      <c r="B102" s="63"/>
      <c r="C102" s="64" t="s">
        <v>41</v>
      </c>
      <c r="D102" s="280">
        <f>'Proposed Rates'!H10</f>
        <v>200</v>
      </c>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62" t="s">
        <v>59</v>
      </c>
      <c r="B103" s="63"/>
      <c r="C103" s="64" t="s">
        <v>66</v>
      </c>
      <c r="D103" s="281">
        <f>'Proposed Rates'!H23</f>
        <v>9.6349999999999998</v>
      </c>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 customHeight="1">
      <c r="A104" s="62" t="s">
        <v>45</v>
      </c>
      <c r="B104" s="63"/>
      <c r="C104" s="64" t="s">
        <v>66</v>
      </c>
      <c r="D104" s="283">
        <f>'Proposed Rates'!H262</f>
        <v>2.4250000000000001E-2</v>
      </c>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 hidden="1" customHeight="1">
      <c r="A105" s="62" t="s">
        <v>47</v>
      </c>
      <c r="B105" s="63"/>
      <c r="C105" s="64" t="s">
        <v>66</v>
      </c>
      <c r="D105" s="281">
        <f>'Proposed Rates'!H39</f>
        <v>0</v>
      </c>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 hidden="1" customHeight="1">
      <c r="A106" s="62" t="s">
        <v>43</v>
      </c>
      <c r="B106" s="63"/>
      <c r="C106" s="64" t="s">
        <v>66</v>
      </c>
      <c r="D106" s="281">
        <f>'Proposed Rates'!H66</f>
        <v>0</v>
      </c>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 hidden="1" customHeight="1">
      <c r="A107" s="62" t="s">
        <v>42</v>
      </c>
      <c r="B107" s="63"/>
      <c r="C107" s="64" t="s">
        <v>66</v>
      </c>
      <c r="D107" s="281">
        <f>'Proposed Rates'!H92</f>
        <v>0</v>
      </c>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 hidden="1" customHeight="1">
      <c r="A108" s="62" t="s">
        <v>48</v>
      </c>
      <c r="B108" s="63"/>
      <c r="C108" s="64" t="s">
        <v>46</v>
      </c>
      <c r="D108" s="281">
        <f>'Proposed Rates'!H145</f>
        <v>0</v>
      </c>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 hidden="1" customHeight="1">
      <c r="A109" s="62" t="s">
        <v>67</v>
      </c>
      <c r="B109" s="63"/>
      <c r="C109" s="64" t="s">
        <v>46</v>
      </c>
      <c r="D109" s="281">
        <f>'Proposed Rates'!H158</f>
        <v>0</v>
      </c>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62" t="s">
        <v>49</v>
      </c>
      <c r="B110" s="63"/>
      <c r="C110" s="64" t="s">
        <v>66</v>
      </c>
      <c r="D110" s="281">
        <f>'Proposed Rates'!H185</f>
        <v>4.5787000000000004</v>
      </c>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62" t="s">
        <v>50</v>
      </c>
      <c r="B111" s="63"/>
      <c r="C111" s="64" t="s">
        <v>66</v>
      </c>
      <c r="D111" s="281">
        <f>'Proposed Rates'!H198</f>
        <v>2.5918000000000001</v>
      </c>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1.25" customHeight="1">
      <c r="A112" s="64"/>
      <c r="B112" s="64"/>
      <c r="C112" s="64"/>
      <c r="D112" s="284"/>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1.25" customHeight="1">
      <c r="A113" s="70" t="s">
        <v>51</v>
      </c>
      <c r="B113" s="63"/>
      <c r="C113" s="64"/>
      <c r="D113" s="284"/>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1.25" customHeight="1">
      <c r="A114" s="59"/>
      <c r="B114" s="64"/>
      <c r="C114" s="64"/>
      <c r="D114" s="284"/>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62" t="s">
        <v>52</v>
      </c>
      <c r="B115" s="63"/>
      <c r="C115" s="64" t="s">
        <v>46</v>
      </c>
      <c r="D115" s="284">
        <f>$D$34</f>
        <v>4.1000000000000003E-3</v>
      </c>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62" t="s">
        <v>53</v>
      </c>
      <c r="B116" s="63"/>
      <c r="C116" s="64" t="s">
        <v>46</v>
      </c>
      <c r="D116" s="281">
        <f>'Proposed Rates'!H211-'2026'!D114</f>
        <v>3.9999999999999931E-4</v>
      </c>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62" t="s">
        <v>54</v>
      </c>
      <c r="B117" s="63"/>
      <c r="C117" s="64" t="s">
        <v>46</v>
      </c>
      <c r="D117" s="281">
        <f>'Proposed Rates'!H224</f>
        <v>1.5E-3</v>
      </c>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62" t="s">
        <v>55</v>
      </c>
      <c r="B118" s="63"/>
      <c r="C118" s="64" t="s">
        <v>41</v>
      </c>
      <c r="D118" s="281">
        <f>'Proposed Rates'!H238</f>
        <v>1.57</v>
      </c>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1.25" customHeight="1">
      <c r="A119" s="64"/>
      <c r="B119" s="63"/>
      <c r="C119" s="64"/>
      <c r="D119" s="69"/>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23.25" customHeight="1">
      <c r="A120" s="597" t="str">
        <f>$A$1</f>
        <v>Hydro Ottawa Limited</v>
      </c>
      <c r="B120" s="595"/>
      <c r="C120" s="595"/>
      <c r="D120" s="596"/>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8" customHeight="1">
      <c r="A121" s="598" t="str">
        <f>$A$2</f>
        <v>PROPOSED - TARIFF OF RATES AND CHARGES</v>
      </c>
      <c r="B121" s="595"/>
      <c r="C121" s="595"/>
      <c r="D121" s="596"/>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99" t="str">
        <f>$A$3</f>
        <v>Effective and Implementation Date January 1, 2028</v>
      </c>
      <c r="B122" s="595"/>
      <c r="C122" s="595"/>
      <c r="D122" s="596"/>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1.25" customHeight="1">
      <c r="A123" s="600" t="str">
        <f>$A$4</f>
        <v>This schedule supersedes and replaces all previously</v>
      </c>
      <c r="B123" s="595"/>
      <c r="C123" s="595"/>
      <c r="D123" s="596"/>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1.25" customHeight="1">
      <c r="A124" s="600" t="str">
        <f>$A$5</f>
        <v>approved schedules of Rates, Charges and Loss Factors</v>
      </c>
      <c r="B124" s="595"/>
      <c r="C124" s="595"/>
      <c r="D124" s="596"/>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1.25" customHeight="1">
      <c r="A125" s="601" t="str">
        <f>$A$6</f>
        <v>EB-2024-0115</v>
      </c>
      <c r="B125" s="595"/>
      <c r="C125" s="595"/>
      <c r="D125" s="596"/>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8.75" customHeight="1">
      <c r="A126" s="602" t="s">
        <v>68</v>
      </c>
      <c r="B126" s="595"/>
      <c r="C126" s="595"/>
      <c r="D126" s="596"/>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48" customHeight="1">
      <c r="A127" s="603" t="s">
        <v>69</v>
      </c>
      <c r="B127" s="595"/>
      <c r="C127" s="595"/>
      <c r="D127" s="596"/>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6.75" customHeight="1">
      <c r="A128" s="54"/>
      <c r="B128" s="54"/>
      <c r="C128" s="54"/>
      <c r="D128" s="55"/>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1.25" customHeight="1">
      <c r="A129" s="604" t="s">
        <v>34</v>
      </c>
      <c r="B129" s="595"/>
      <c r="C129" s="595"/>
      <c r="D129" s="596"/>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6.75" customHeight="1">
      <c r="A130" s="56"/>
      <c r="B130" s="57"/>
      <c r="C130" s="57"/>
      <c r="D130" s="58"/>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36" customHeight="1">
      <c r="A131" s="603" t="s">
        <v>35</v>
      </c>
      <c r="B131" s="595"/>
      <c r="C131" s="595"/>
      <c r="D131" s="596"/>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6.75" customHeight="1">
      <c r="A132" s="54"/>
      <c r="B132" s="54"/>
      <c r="C132" s="54"/>
      <c r="D132" s="55"/>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48" customHeight="1">
      <c r="A133" s="603" t="s">
        <v>70</v>
      </c>
      <c r="B133" s="595"/>
      <c r="C133" s="595"/>
      <c r="D133" s="596"/>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6.75" customHeight="1">
      <c r="A134" s="54"/>
      <c r="B134" s="54"/>
      <c r="C134" s="54"/>
      <c r="D134" s="55"/>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48" customHeight="1">
      <c r="A135" s="603" t="s">
        <v>37</v>
      </c>
      <c r="B135" s="595"/>
      <c r="C135" s="595"/>
      <c r="D135" s="596"/>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6.75" customHeight="1">
      <c r="A136" s="54"/>
      <c r="B136" s="54"/>
      <c r="C136" s="54"/>
      <c r="D136" s="55"/>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96" customHeight="1">
      <c r="A137" s="603" t="s">
        <v>63</v>
      </c>
      <c r="B137" s="595"/>
      <c r="C137" s="595"/>
      <c r="D137" s="596"/>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96" customHeight="1">
      <c r="A138" s="603" t="s">
        <v>64</v>
      </c>
      <c r="B138" s="595"/>
      <c r="C138" s="595"/>
      <c r="D138" s="596"/>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36" customHeight="1">
      <c r="A139" s="603" t="s">
        <v>38</v>
      </c>
      <c r="B139" s="595"/>
      <c r="C139" s="595"/>
      <c r="D139" s="596"/>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24" customHeight="1">
      <c r="A140" s="608" t="s">
        <v>65</v>
      </c>
      <c r="B140" s="595"/>
      <c r="C140" s="595"/>
      <c r="D140" s="596"/>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6.75" customHeight="1">
      <c r="A141" s="74"/>
      <c r="B141" s="74"/>
      <c r="C141" s="74"/>
      <c r="D141" s="75"/>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 customHeight="1">
      <c r="A142" s="594" t="s">
        <v>39</v>
      </c>
      <c r="B142" s="595"/>
      <c r="C142" s="595"/>
      <c r="D142" s="596"/>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6.75" customHeight="1">
      <c r="A143" s="59"/>
      <c r="B143" s="60"/>
      <c r="C143" s="60"/>
      <c r="D143" s="61"/>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 customHeight="1">
      <c r="A144" s="62" t="s">
        <v>40</v>
      </c>
      <c r="B144" s="63"/>
      <c r="C144" s="64" t="s">
        <v>41</v>
      </c>
      <c r="D144" s="280">
        <f>'Proposed Rates'!H11</f>
        <v>4126.75</v>
      </c>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 customHeight="1">
      <c r="A145" s="62" t="s">
        <v>59</v>
      </c>
      <c r="B145" s="63"/>
      <c r="C145" s="64" t="s">
        <v>66</v>
      </c>
      <c r="D145" s="281">
        <f>'Proposed Rates'!H24</f>
        <v>9.3969000000000005</v>
      </c>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 customHeight="1">
      <c r="A146" s="62" t="s">
        <v>45</v>
      </c>
      <c r="B146" s="63"/>
      <c r="C146" s="64" t="s">
        <v>66</v>
      </c>
      <c r="D146" s="283">
        <f>'Proposed Rates'!H263</f>
        <v>2.4060000000000002E-2</v>
      </c>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 hidden="1" customHeight="1">
      <c r="A147" s="62" t="s">
        <v>47</v>
      </c>
      <c r="B147" s="63"/>
      <c r="C147" s="64" t="s">
        <v>66</v>
      </c>
      <c r="D147" s="281">
        <f>'Proposed Rates'!H40</f>
        <v>0</v>
      </c>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 hidden="1" customHeight="1">
      <c r="A148" s="62" t="s">
        <v>43</v>
      </c>
      <c r="B148" s="63"/>
      <c r="C148" s="64" t="s">
        <v>66</v>
      </c>
      <c r="D148" s="281">
        <f>'Proposed Rates'!H67</f>
        <v>0</v>
      </c>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 hidden="1" customHeight="1">
      <c r="A149" s="62" t="s">
        <v>42</v>
      </c>
      <c r="B149" s="63"/>
      <c r="C149" s="64" t="s">
        <v>66</v>
      </c>
      <c r="D149" s="281">
        <f>'Proposed Rates'!H93</f>
        <v>0</v>
      </c>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 hidden="1" customHeight="1">
      <c r="A150" s="62" t="s">
        <v>48</v>
      </c>
      <c r="B150" s="63"/>
      <c r="C150" s="64" t="s">
        <v>46</v>
      </c>
      <c r="D150" s="281">
        <f>'Proposed Rates'!H145</f>
        <v>0</v>
      </c>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 hidden="1" customHeight="1">
      <c r="A151" s="62" t="s">
        <v>67</v>
      </c>
      <c r="B151" s="63"/>
      <c r="C151" s="64" t="s">
        <v>46</v>
      </c>
      <c r="D151" s="281">
        <f>'Proposed Rates'!H159</f>
        <v>0</v>
      </c>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 customHeight="1">
      <c r="A152" s="62" t="s">
        <v>49</v>
      </c>
      <c r="B152" s="63"/>
      <c r="C152" s="64" t="s">
        <v>66</v>
      </c>
      <c r="D152" s="281">
        <f>'Proposed Rates'!H186</f>
        <v>4.5423999999999998</v>
      </c>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 customHeight="1">
      <c r="A153" s="62" t="s">
        <v>50</v>
      </c>
      <c r="B153" s="63"/>
      <c r="C153" s="64" t="s">
        <v>66</v>
      </c>
      <c r="D153" s="281">
        <f>'Proposed Rates'!H199</f>
        <v>2.5712000000000002</v>
      </c>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3.75" customHeight="1">
      <c r="A154" s="64"/>
      <c r="B154" s="64"/>
      <c r="C154" s="64"/>
      <c r="D154" s="284"/>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1.25" customHeight="1">
      <c r="A155" s="70" t="s">
        <v>51</v>
      </c>
      <c r="B155" s="63"/>
      <c r="C155" s="64"/>
      <c r="D155" s="284"/>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3.75" customHeight="1">
      <c r="A156" s="59"/>
      <c r="B156" s="64"/>
      <c r="C156" s="64"/>
      <c r="D156" s="284"/>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 customHeight="1">
      <c r="A157" s="62" t="s">
        <v>52</v>
      </c>
      <c r="B157" s="63"/>
      <c r="C157" s="64" t="s">
        <v>46</v>
      </c>
      <c r="D157" s="284">
        <f>$D$34</f>
        <v>4.1000000000000003E-3</v>
      </c>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 customHeight="1">
      <c r="A158" s="62" t="s">
        <v>53</v>
      </c>
      <c r="B158" s="63"/>
      <c r="C158" s="64" t="s">
        <v>46</v>
      </c>
      <c r="D158" s="281">
        <f>'Proposed Rates'!H212-'2026'!D155</f>
        <v>3.9999999999999931E-4</v>
      </c>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 customHeight="1">
      <c r="A159" s="62" t="s">
        <v>54</v>
      </c>
      <c r="B159" s="63"/>
      <c r="C159" s="64" t="s">
        <v>46</v>
      </c>
      <c r="D159" s="281">
        <f>'Proposed Rates'!H225</f>
        <v>1.5E-3</v>
      </c>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 customHeight="1">
      <c r="A160" s="62" t="s">
        <v>55</v>
      </c>
      <c r="B160" s="63"/>
      <c r="C160" s="64" t="s">
        <v>41</v>
      </c>
      <c r="D160" s="281">
        <f>'Proposed Rates'!H239</f>
        <v>1.57</v>
      </c>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9" customHeight="1">
      <c r="A161" s="64"/>
      <c r="B161" s="63"/>
      <c r="C161" s="64"/>
      <c r="D161" s="69"/>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23.25" customHeight="1">
      <c r="A162" s="597" t="str">
        <f>$A$1</f>
        <v>Hydro Ottawa Limited</v>
      </c>
      <c r="B162" s="595"/>
      <c r="C162" s="595"/>
      <c r="D162" s="596"/>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8" customHeight="1">
      <c r="A163" s="598" t="str">
        <f>$A$2</f>
        <v>PROPOSED - TARIFF OF RATES AND CHARGES</v>
      </c>
      <c r="B163" s="595"/>
      <c r="C163" s="595"/>
      <c r="D163" s="596"/>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99" t="str">
        <f>$A$3</f>
        <v>Effective and Implementation Date January 1, 2028</v>
      </c>
      <c r="B164" s="595"/>
      <c r="C164" s="595"/>
      <c r="D164" s="596"/>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1.25" customHeight="1">
      <c r="A165" s="600" t="str">
        <f>$A$4</f>
        <v>This schedule supersedes and replaces all previously</v>
      </c>
      <c r="B165" s="595"/>
      <c r="C165" s="595"/>
      <c r="D165" s="596"/>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1.25" customHeight="1">
      <c r="A166" s="600" t="str">
        <f>$A$5</f>
        <v>approved schedules of Rates, Charges and Loss Factors</v>
      </c>
      <c r="B166" s="595"/>
      <c r="C166" s="595"/>
      <c r="D166" s="596"/>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1.25" customHeight="1">
      <c r="A167" s="601" t="str">
        <f>$A$6</f>
        <v>EB-2024-0115</v>
      </c>
      <c r="B167" s="595"/>
      <c r="C167" s="595"/>
      <c r="D167" s="596"/>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8.75" customHeight="1">
      <c r="A168" s="602" t="s">
        <v>71</v>
      </c>
      <c r="B168" s="595"/>
      <c r="C168" s="595"/>
      <c r="D168" s="596"/>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48" customHeight="1">
      <c r="A169" s="603" t="s">
        <v>72</v>
      </c>
      <c r="B169" s="595"/>
      <c r="C169" s="595"/>
      <c r="D169" s="596"/>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6.75" customHeight="1">
      <c r="A170" s="54"/>
      <c r="B170" s="54"/>
      <c r="C170" s="54"/>
      <c r="D170" s="55"/>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1.25" customHeight="1">
      <c r="A171" s="604" t="s">
        <v>34</v>
      </c>
      <c r="B171" s="595"/>
      <c r="C171" s="595"/>
      <c r="D171" s="596"/>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6.75" customHeight="1">
      <c r="A172" s="56"/>
      <c r="B172" s="57"/>
      <c r="C172" s="57"/>
      <c r="D172" s="58"/>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36" customHeight="1">
      <c r="A173" s="603" t="s">
        <v>35</v>
      </c>
      <c r="B173" s="595"/>
      <c r="C173" s="595"/>
      <c r="D173" s="596"/>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6.75" customHeight="1">
      <c r="A174" s="54"/>
      <c r="B174" s="54"/>
      <c r="C174" s="54"/>
      <c r="D174" s="55"/>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48" customHeight="1">
      <c r="A175" s="603" t="s">
        <v>73</v>
      </c>
      <c r="B175" s="595"/>
      <c r="C175" s="595"/>
      <c r="D175" s="596"/>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6.75" customHeight="1">
      <c r="A176" s="54"/>
      <c r="B176" s="54"/>
      <c r="C176" s="54"/>
      <c r="D176" s="55"/>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48" customHeight="1">
      <c r="A177" s="603" t="s">
        <v>37</v>
      </c>
      <c r="B177" s="595"/>
      <c r="C177" s="595"/>
      <c r="D177" s="596"/>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6.75" customHeight="1">
      <c r="A178" s="54"/>
      <c r="B178" s="54"/>
      <c r="C178" s="54"/>
      <c r="D178" s="55"/>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96" customHeight="1">
      <c r="A179" s="603" t="s">
        <v>63</v>
      </c>
      <c r="B179" s="595"/>
      <c r="C179" s="595"/>
      <c r="D179" s="596"/>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96" customHeight="1">
      <c r="A180" s="603" t="s">
        <v>64</v>
      </c>
      <c r="B180" s="595"/>
      <c r="C180" s="595"/>
      <c r="D180" s="596"/>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36" customHeight="1">
      <c r="A181" s="603" t="s">
        <v>38</v>
      </c>
      <c r="B181" s="595"/>
      <c r="C181" s="595"/>
      <c r="D181" s="596"/>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24" customHeight="1">
      <c r="A182" s="608" t="s">
        <v>65</v>
      </c>
      <c r="B182" s="595"/>
      <c r="C182" s="595"/>
      <c r="D182" s="596"/>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6.75" customHeight="1">
      <c r="A183" s="74"/>
      <c r="B183" s="74"/>
      <c r="C183" s="74"/>
      <c r="D183" s="75"/>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 customHeight="1">
      <c r="A184" s="594" t="s">
        <v>39</v>
      </c>
      <c r="B184" s="595"/>
      <c r="C184" s="595"/>
      <c r="D184" s="596"/>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6" customHeight="1">
      <c r="A185" s="59"/>
      <c r="B185" s="60"/>
      <c r="C185" s="60"/>
      <c r="D185" s="61"/>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 customHeight="1">
      <c r="A186" s="62" t="s">
        <v>40</v>
      </c>
      <c r="B186" s="63"/>
      <c r="C186" s="64" t="s">
        <v>41</v>
      </c>
      <c r="D186" s="280">
        <f>'Proposed Rates'!H12</f>
        <v>14946.93</v>
      </c>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 customHeight="1">
      <c r="A187" s="62" t="s">
        <v>59</v>
      </c>
      <c r="B187" s="63"/>
      <c r="C187" s="64" t="s">
        <v>66</v>
      </c>
      <c r="D187" s="281">
        <f>'Proposed Rates'!H25</f>
        <v>9.8528000000000002</v>
      </c>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 customHeight="1">
      <c r="A188" s="62" t="s">
        <v>45</v>
      </c>
      <c r="B188" s="63"/>
      <c r="C188" s="64" t="s">
        <v>66</v>
      </c>
      <c r="D188" s="283">
        <f>'Proposed Rates'!H264</f>
        <v>2.8250000000000001E-2</v>
      </c>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 hidden="1" customHeight="1">
      <c r="A189" s="62" t="s">
        <v>47</v>
      </c>
      <c r="B189" s="63"/>
      <c r="C189" s="64" t="s">
        <v>66</v>
      </c>
      <c r="D189" s="281">
        <f>'Proposed Rates'!H41</f>
        <v>0</v>
      </c>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 hidden="1" customHeight="1">
      <c r="A190" s="62" t="s">
        <v>43</v>
      </c>
      <c r="B190" s="63"/>
      <c r="C190" s="64" t="s">
        <v>66</v>
      </c>
      <c r="D190" s="281">
        <f>'Proposed Rates'!H68</f>
        <v>0</v>
      </c>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 hidden="1" customHeight="1">
      <c r="A191" s="62" t="s">
        <v>42</v>
      </c>
      <c r="B191" s="63"/>
      <c r="C191" s="64" t="s">
        <v>66</v>
      </c>
      <c r="D191" s="281">
        <f>'Proposed Rates'!H94</f>
        <v>0</v>
      </c>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 hidden="1" customHeight="1">
      <c r="A192" s="62" t="s">
        <v>48</v>
      </c>
      <c r="B192" s="63"/>
      <c r="C192" s="64" t="s">
        <v>46</v>
      </c>
      <c r="D192" s="281">
        <f>'Proposed Rates'!H146</f>
        <v>0</v>
      </c>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 customHeight="1">
      <c r="A193" s="62" t="s">
        <v>49</v>
      </c>
      <c r="B193" s="63"/>
      <c r="C193" s="64" t="s">
        <v>66</v>
      </c>
      <c r="D193" s="281">
        <f>'Proposed Rates'!H187</f>
        <v>5.3339999999999996</v>
      </c>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 customHeight="1">
      <c r="A194" s="62" t="s">
        <v>50</v>
      </c>
      <c r="B194" s="63"/>
      <c r="C194" s="64" t="s">
        <v>66</v>
      </c>
      <c r="D194" s="281">
        <f>'Proposed Rates'!H200</f>
        <v>3.0192999999999999</v>
      </c>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4.5" customHeight="1">
      <c r="A195" s="64"/>
      <c r="B195" s="64"/>
      <c r="C195" s="64"/>
      <c r="D195" s="284"/>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1.25" customHeight="1">
      <c r="A196" s="70" t="s">
        <v>51</v>
      </c>
      <c r="B196" s="63"/>
      <c r="C196" s="64"/>
      <c r="D196" s="284"/>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5.25" customHeight="1">
      <c r="A197" s="59"/>
      <c r="B197" s="64"/>
      <c r="C197" s="64"/>
      <c r="D197" s="284"/>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 customHeight="1">
      <c r="A198" s="62" t="s">
        <v>52</v>
      </c>
      <c r="B198" s="63"/>
      <c r="C198" s="64" t="s">
        <v>46</v>
      </c>
      <c r="D198" s="284">
        <f>$D$34</f>
        <v>4.1000000000000003E-3</v>
      </c>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 customHeight="1">
      <c r="A199" s="62" t="s">
        <v>53</v>
      </c>
      <c r="B199" s="63"/>
      <c r="C199" s="64" t="s">
        <v>46</v>
      </c>
      <c r="D199" s="281">
        <f>'Proposed Rates'!G213-'2026'!H196</f>
        <v>4.4999999999999997E-3</v>
      </c>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 customHeight="1">
      <c r="A200" s="62" t="s">
        <v>54</v>
      </c>
      <c r="B200" s="63"/>
      <c r="C200" s="64" t="s">
        <v>46</v>
      </c>
      <c r="D200" s="281">
        <f>'Proposed Rates'!H226</f>
        <v>1.5E-3</v>
      </c>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 customHeight="1">
      <c r="A201" s="62" t="s">
        <v>55</v>
      </c>
      <c r="B201" s="63"/>
      <c r="C201" s="64" t="s">
        <v>41</v>
      </c>
      <c r="D201" s="281">
        <f>'Proposed Rates'!H240</f>
        <v>1.57</v>
      </c>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3.5" customHeight="1">
      <c r="A202" s="85"/>
      <c r="B202" s="63"/>
      <c r="C202" s="64"/>
      <c r="D202" s="69"/>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23.25" customHeight="1">
      <c r="A203" s="597" t="str">
        <f>$A$1</f>
        <v>Hydro Ottawa Limited</v>
      </c>
      <c r="B203" s="595"/>
      <c r="C203" s="595"/>
      <c r="D203" s="596"/>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8" customHeight="1">
      <c r="A204" s="598" t="str">
        <f>$A$2</f>
        <v>PROPOSED - TARIFF OF RATES AND CHARGES</v>
      </c>
      <c r="B204" s="595"/>
      <c r="C204" s="595"/>
      <c r="D204" s="596"/>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99" t="str">
        <f>$A$3</f>
        <v>Effective and Implementation Date January 1, 2028</v>
      </c>
      <c r="B205" s="595"/>
      <c r="C205" s="595"/>
      <c r="D205" s="596"/>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1.25" customHeight="1">
      <c r="A206" s="600" t="str">
        <f>$A$4</f>
        <v>This schedule supersedes and replaces all previously</v>
      </c>
      <c r="B206" s="595"/>
      <c r="C206" s="595"/>
      <c r="D206" s="596"/>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1.25" customHeight="1">
      <c r="A207" s="600" t="str">
        <f>$A$5</f>
        <v>approved schedules of Rates, Charges and Loss Factors</v>
      </c>
      <c r="B207" s="595"/>
      <c r="C207" s="595"/>
      <c r="D207" s="596"/>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1.25" customHeight="1">
      <c r="A208" s="601" t="str">
        <f>$A$6</f>
        <v>EB-2024-0115</v>
      </c>
      <c r="B208" s="595"/>
      <c r="C208" s="595"/>
      <c r="D208" s="596"/>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8.75" customHeight="1">
      <c r="A209" s="602" t="s">
        <v>74</v>
      </c>
      <c r="B209" s="595"/>
      <c r="C209" s="595"/>
      <c r="D209" s="596"/>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84" customHeight="1">
      <c r="A210" s="603" t="s">
        <v>75</v>
      </c>
      <c r="B210" s="595"/>
      <c r="C210" s="595"/>
      <c r="D210" s="596"/>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6.75" customHeight="1">
      <c r="A211" s="54"/>
      <c r="B211" s="54"/>
      <c r="C211" s="54"/>
      <c r="D211" s="55"/>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1.25" customHeight="1">
      <c r="A212" s="604" t="s">
        <v>34</v>
      </c>
      <c r="B212" s="595"/>
      <c r="C212" s="595"/>
      <c r="D212" s="596"/>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6.75" customHeight="1">
      <c r="A213" s="56"/>
      <c r="B213" s="57"/>
      <c r="C213" s="57"/>
      <c r="D213" s="58"/>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36" customHeight="1">
      <c r="A214" s="603" t="s">
        <v>35</v>
      </c>
      <c r="B214" s="595"/>
      <c r="C214" s="595"/>
      <c r="D214" s="596"/>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6.75" customHeight="1">
      <c r="A215" s="54"/>
      <c r="B215" s="54"/>
      <c r="C215" s="54"/>
      <c r="D215" s="55"/>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48" customHeight="1">
      <c r="A216" s="603" t="s">
        <v>36</v>
      </c>
      <c r="B216" s="595"/>
      <c r="C216" s="595"/>
      <c r="D216" s="596"/>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6.75" customHeight="1">
      <c r="A217" s="54"/>
      <c r="B217" s="54"/>
      <c r="C217" s="54"/>
      <c r="D217" s="55"/>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48" customHeight="1">
      <c r="A218" s="603" t="s">
        <v>37</v>
      </c>
      <c r="B218" s="595"/>
      <c r="C218" s="595"/>
      <c r="D218" s="596"/>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6.75" customHeight="1">
      <c r="A219" s="54"/>
      <c r="B219" s="54"/>
      <c r="C219" s="54"/>
      <c r="D219" s="55"/>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36" customHeight="1">
      <c r="A220" s="603" t="s">
        <v>38</v>
      </c>
      <c r="B220" s="595"/>
      <c r="C220" s="595"/>
      <c r="D220" s="596"/>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6.75" customHeight="1">
      <c r="A221" s="54"/>
      <c r="B221" s="54"/>
      <c r="C221" s="54"/>
      <c r="D221" s="55"/>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 customHeight="1">
      <c r="A222" s="70" t="s">
        <v>39</v>
      </c>
      <c r="B222" s="63"/>
      <c r="C222" s="63"/>
      <c r="D222" s="6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6.75" customHeight="1">
      <c r="A223" s="59"/>
      <c r="B223" s="60"/>
      <c r="C223" s="60"/>
      <c r="D223" s="61"/>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 customHeight="1">
      <c r="A224" s="62" t="s">
        <v>76</v>
      </c>
      <c r="B224" s="63"/>
      <c r="C224" s="64" t="s">
        <v>41</v>
      </c>
      <c r="D224" s="280">
        <f>'Proposed Rates'!H15</f>
        <v>9.39</v>
      </c>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 customHeight="1">
      <c r="A225" s="62" t="s">
        <v>59</v>
      </c>
      <c r="B225" s="63"/>
      <c r="C225" s="64" t="s">
        <v>46</v>
      </c>
      <c r="D225" s="281">
        <f>'Proposed Rates'!H28</f>
        <v>4.4900000000000002E-2</v>
      </c>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 customHeight="1">
      <c r="A226" s="62" t="s">
        <v>45</v>
      </c>
      <c r="B226" s="63"/>
      <c r="C226" s="64" t="s">
        <v>46</v>
      </c>
      <c r="D226" s="283">
        <f>'Proposed Rates'!H267</f>
        <v>4.0000000000000003E-5</v>
      </c>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 hidden="1" customHeight="1">
      <c r="A227" s="62" t="s">
        <v>47</v>
      </c>
      <c r="B227" s="63"/>
      <c r="C227" s="64" t="s">
        <v>46</v>
      </c>
      <c r="D227" s="281">
        <f>'Proposed Rates'!H44</f>
        <v>0</v>
      </c>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 hidden="1" customHeight="1">
      <c r="A228" s="62" t="s">
        <v>43</v>
      </c>
      <c r="B228" s="63"/>
      <c r="C228" s="64" t="s">
        <v>46</v>
      </c>
      <c r="D228" s="281">
        <f>'Proposed Rates'!H71</f>
        <v>0</v>
      </c>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 hidden="1" customHeight="1">
      <c r="A229" s="62" t="s">
        <v>42</v>
      </c>
      <c r="B229" s="63"/>
      <c r="C229" s="64" t="s">
        <v>46</v>
      </c>
      <c r="D229" s="281">
        <f>'Proposed Rates'!H97</f>
        <v>0</v>
      </c>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 customHeight="1">
      <c r="A230" s="62" t="s">
        <v>49</v>
      </c>
      <c r="B230" s="63"/>
      <c r="C230" s="64" t="s">
        <v>46</v>
      </c>
      <c r="D230" s="281">
        <f>'Proposed Rates'!H190</f>
        <v>7.4999999999999997E-3</v>
      </c>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 customHeight="1">
      <c r="A231" s="62" t="s">
        <v>50</v>
      </c>
      <c r="B231" s="63"/>
      <c r="C231" s="64" t="s">
        <v>46</v>
      </c>
      <c r="D231" s="281">
        <f>'Proposed Rates'!H203</f>
        <v>4.3E-3</v>
      </c>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3" customHeight="1">
      <c r="A232" s="64"/>
      <c r="B232" s="64"/>
      <c r="C232" s="64"/>
      <c r="D232" s="284"/>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1.25" customHeight="1">
      <c r="A233" s="70" t="s">
        <v>51</v>
      </c>
      <c r="B233" s="63"/>
      <c r="C233" s="64"/>
      <c r="D233" s="284"/>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3.75" customHeight="1">
      <c r="A234" s="59"/>
      <c r="B234" s="64"/>
      <c r="C234" s="64"/>
      <c r="D234" s="284"/>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 customHeight="1">
      <c r="A235" s="62" t="s">
        <v>52</v>
      </c>
      <c r="B235" s="63"/>
      <c r="C235" s="64" t="s">
        <v>46</v>
      </c>
      <c r="D235" s="284">
        <f>$D$34</f>
        <v>4.1000000000000003E-3</v>
      </c>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 customHeight="1">
      <c r="A236" s="62" t="s">
        <v>53</v>
      </c>
      <c r="B236" s="63"/>
      <c r="C236" s="64" t="s">
        <v>46</v>
      </c>
      <c r="D236" s="281">
        <f>'Proposed Rates'!H216-'2026'!D233</f>
        <v>3.9999999999999931E-4</v>
      </c>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 customHeight="1">
      <c r="A237" s="62" t="s">
        <v>54</v>
      </c>
      <c r="B237" s="63"/>
      <c r="C237" s="64" t="s">
        <v>46</v>
      </c>
      <c r="D237" s="281">
        <f>'Proposed Rates'!H229</f>
        <v>1.5E-3</v>
      </c>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 customHeight="1">
      <c r="A238" s="62" t="s">
        <v>55</v>
      </c>
      <c r="B238" s="63"/>
      <c r="C238" s="64" t="s">
        <v>41</v>
      </c>
      <c r="D238" s="281">
        <f>'Proposed Rates'!H243</f>
        <v>1.57</v>
      </c>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1.25" customHeight="1">
      <c r="A239" s="62"/>
      <c r="B239" s="63"/>
      <c r="C239" s="64"/>
      <c r="D239" s="69"/>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23.25" customHeight="1">
      <c r="A240" s="597" t="str">
        <f>$A$1</f>
        <v>Hydro Ottawa Limited</v>
      </c>
      <c r="B240" s="595"/>
      <c r="C240" s="595"/>
      <c r="D240" s="596"/>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8" customHeight="1">
      <c r="A241" s="598" t="str">
        <f>$A$2</f>
        <v>PROPOSED - TARIFF OF RATES AND CHARGES</v>
      </c>
      <c r="B241" s="595"/>
      <c r="C241" s="595"/>
      <c r="D241" s="596"/>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99" t="str">
        <f>$A$3</f>
        <v>Effective and Implementation Date January 1, 2028</v>
      </c>
      <c r="B242" s="595"/>
      <c r="C242" s="595"/>
      <c r="D242" s="596"/>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1.25" customHeight="1">
      <c r="A243" s="600" t="str">
        <f>$A$4</f>
        <v>This schedule supersedes and replaces all previously</v>
      </c>
      <c r="B243" s="595"/>
      <c r="C243" s="595"/>
      <c r="D243" s="596"/>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1.25" customHeight="1">
      <c r="A244" s="600" t="str">
        <f>$A$5</f>
        <v>approved schedules of Rates, Charges and Loss Factors</v>
      </c>
      <c r="B244" s="595"/>
      <c r="C244" s="595"/>
      <c r="D244" s="596"/>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1.25" customHeight="1">
      <c r="A245" s="601" t="str">
        <f>$A$6</f>
        <v>EB-2024-0115</v>
      </c>
      <c r="B245" s="595"/>
      <c r="C245" s="595"/>
      <c r="D245" s="596"/>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8.75" customHeight="1">
      <c r="A246" s="602" t="s">
        <v>77</v>
      </c>
      <c r="B246" s="595"/>
      <c r="C246" s="595"/>
      <c r="D246" s="596"/>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36" customHeight="1">
      <c r="A247" s="603" t="s">
        <v>78</v>
      </c>
      <c r="B247" s="595"/>
      <c r="C247" s="595"/>
      <c r="D247" s="596"/>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6.75" customHeight="1">
      <c r="A248" s="54"/>
      <c r="B248" s="54"/>
      <c r="C248" s="54"/>
      <c r="D248" s="55"/>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1.25" customHeight="1">
      <c r="A249" s="604" t="s">
        <v>34</v>
      </c>
      <c r="B249" s="595"/>
      <c r="C249" s="595"/>
      <c r="D249" s="596"/>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6.75" customHeight="1">
      <c r="A250" s="56"/>
      <c r="B250" s="57"/>
      <c r="C250" s="57"/>
      <c r="D250" s="58"/>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36" customHeight="1">
      <c r="A251" s="603" t="s">
        <v>35</v>
      </c>
      <c r="B251" s="595"/>
      <c r="C251" s="595"/>
      <c r="D251" s="596"/>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6.75" customHeight="1">
      <c r="A252" s="54"/>
      <c r="B252" s="54"/>
      <c r="C252" s="54"/>
      <c r="D252" s="55"/>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48" customHeight="1">
      <c r="A253" s="603" t="s">
        <v>36</v>
      </c>
      <c r="B253" s="595"/>
      <c r="C253" s="595"/>
      <c r="D253" s="596"/>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6.75" customHeight="1">
      <c r="A254" s="54"/>
      <c r="B254" s="54"/>
      <c r="C254" s="54"/>
      <c r="D254" s="55"/>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24" customHeight="1">
      <c r="A255" s="603" t="s">
        <v>79</v>
      </c>
      <c r="B255" s="595"/>
      <c r="C255" s="595"/>
      <c r="D255" s="596"/>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6.75" customHeight="1">
      <c r="A256" s="54"/>
      <c r="B256" s="54"/>
      <c r="C256" s="54"/>
      <c r="D256" s="55"/>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36" customHeight="1">
      <c r="A257" s="603" t="s">
        <v>80</v>
      </c>
      <c r="B257" s="595"/>
      <c r="C257" s="595"/>
      <c r="D257" s="596"/>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6.75" customHeight="1">
      <c r="A258" s="54"/>
      <c r="B258" s="54"/>
      <c r="C258" s="54"/>
      <c r="D258" s="55"/>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 customHeight="1">
      <c r="A259" s="594" t="s">
        <v>81</v>
      </c>
      <c r="B259" s="595"/>
      <c r="C259" s="595"/>
      <c r="D259" s="596"/>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6.75" customHeight="1">
      <c r="A260" s="59"/>
      <c r="B260" s="60"/>
      <c r="C260" s="60"/>
      <c r="D260" s="61"/>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1.25" customHeight="1">
      <c r="A261" s="286" t="s">
        <v>40</v>
      </c>
      <c r="B261" s="80"/>
      <c r="C261" s="287" t="s">
        <v>41</v>
      </c>
      <c r="D261" s="288">
        <f>'Proposed Rates'!H16</f>
        <v>186.89</v>
      </c>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1.25" customHeight="1">
      <c r="A262" s="286" t="s">
        <v>82</v>
      </c>
      <c r="B262" s="80"/>
      <c r="C262" s="287" t="s">
        <v>66</v>
      </c>
      <c r="D262" s="289">
        <f>'Proposed Rates'!H29</f>
        <v>4.8169000000000004</v>
      </c>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1.25" customHeight="1">
      <c r="A263" s="286" t="s">
        <v>83</v>
      </c>
      <c r="B263" s="80"/>
      <c r="C263" s="287" t="s">
        <v>66</v>
      </c>
      <c r="D263" s="289">
        <f>'Proposed Rates'!H30</f>
        <v>4.6963999999999997</v>
      </c>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1.25" customHeight="1">
      <c r="A264" s="286" t="s">
        <v>84</v>
      </c>
      <c r="B264" s="80"/>
      <c r="C264" s="287" t="s">
        <v>66</v>
      </c>
      <c r="D264" s="289">
        <f>'Proposed Rates'!H31</f>
        <v>4.9260999999999999</v>
      </c>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9.5" customHeight="1">
      <c r="A265" s="85"/>
      <c r="B265" s="63"/>
      <c r="C265" s="64"/>
      <c r="D265" s="284"/>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23.25" customHeight="1">
      <c r="A266" s="597" t="str">
        <f>$A$1</f>
        <v>Hydro Ottawa Limited</v>
      </c>
      <c r="B266" s="595"/>
      <c r="C266" s="595"/>
      <c r="D266" s="596"/>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8" customHeight="1">
      <c r="A267" s="598" t="str">
        <f>$A$2</f>
        <v>PROPOSED - TARIFF OF RATES AND CHARGES</v>
      </c>
      <c r="B267" s="595"/>
      <c r="C267" s="595"/>
      <c r="D267" s="596"/>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99" t="str">
        <f>$A$3</f>
        <v>Effective and Implementation Date January 1, 2028</v>
      </c>
      <c r="B268" s="595"/>
      <c r="C268" s="595"/>
      <c r="D268" s="596"/>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1.25" customHeight="1">
      <c r="A269" s="600" t="str">
        <f>$A$4</f>
        <v>This schedule supersedes and replaces all previously</v>
      </c>
      <c r="B269" s="595"/>
      <c r="C269" s="595"/>
      <c r="D269" s="596"/>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1.25" customHeight="1">
      <c r="A270" s="600" t="str">
        <f>$A$5</f>
        <v>approved schedules of Rates, Charges and Loss Factors</v>
      </c>
      <c r="B270" s="595"/>
      <c r="C270" s="595"/>
      <c r="D270" s="596"/>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1.25" customHeight="1">
      <c r="A271" s="601" t="str">
        <f>$A$6</f>
        <v>EB-2024-0115</v>
      </c>
      <c r="B271" s="595"/>
      <c r="C271" s="595"/>
      <c r="D271" s="596"/>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8.75" customHeight="1">
      <c r="A272" s="602" t="s">
        <v>85</v>
      </c>
      <c r="B272" s="595"/>
      <c r="C272" s="595"/>
      <c r="D272" s="596"/>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36" customHeight="1">
      <c r="A273" s="603" t="s">
        <v>86</v>
      </c>
      <c r="B273" s="595"/>
      <c r="C273" s="595"/>
      <c r="D273" s="596"/>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6.75" customHeight="1">
      <c r="A274" s="54"/>
      <c r="B274" s="54"/>
      <c r="C274" s="54"/>
      <c r="D274" s="55"/>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1.25" customHeight="1">
      <c r="A275" s="604" t="s">
        <v>34</v>
      </c>
      <c r="B275" s="595"/>
      <c r="C275" s="595"/>
      <c r="D275" s="596"/>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6.75" customHeight="1">
      <c r="A276" s="56"/>
      <c r="B276" s="57"/>
      <c r="C276" s="57"/>
      <c r="D276" s="58"/>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36" customHeight="1">
      <c r="A277" s="603" t="s">
        <v>35</v>
      </c>
      <c r="B277" s="595"/>
      <c r="C277" s="595"/>
      <c r="D277" s="596"/>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6.75" customHeight="1">
      <c r="A278" s="54"/>
      <c r="B278" s="54"/>
      <c r="C278" s="54"/>
      <c r="D278" s="55"/>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48" customHeight="1">
      <c r="A279" s="603" t="s">
        <v>36</v>
      </c>
      <c r="B279" s="595"/>
      <c r="C279" s="595"/>
      <c r="D279" s="596"/>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6.75" customHeight="1">
      <c r="A280" s="54"/>
      <c r="B280" s="54"/>
      <c r="C280" s="54"/>
      <c r="D280" s="55"/>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48" customHeight="1">
      <c r="A281" s="603" t="s">
        <v>37</v>
      </c>
      <c r="B281" s="595"/>
      <c r="C281" s="595"/>
      <c r="D281" s="596"/>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6.75" customHeight="1">
      <c r="A282" s="54"/>
      <c r="B282" s="54"/>
      <c r="C282" s="54"/>
      <c r="D282" s="55"/>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36" customHeight="1">
      <c r="A283" s="603" t="s">
        <v>38</v>
      </c>
      <c r="B283" s="595"/>
      <c r="C283" s="595"/>
      <c r="D283" s="596"/>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6.75" customHeight="1">
      <c r="A284" s="54"/>
      <c r="B284" s="54"/>
      <c r="C284" s="54"/>
      <c r="D284" s="55"/>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 customHeight="1">
      <c r="A285" s="594" t="s">
        <v>39</v>
      </c>
      <c r="B285" s="595"/>
      <c r="C285" s="595"/>
      <c r="D285" s="596"/>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6.75" customHeight="1">
      <c r="A286" s="59"/>
      <c r="B286" s="60"/>
      <c r="C286" s="60"/>
      <c r="D286" s="61"/>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0.5" customHeight="1">
      <c r="A287" s="62" t="s">
        <v>76</v>
      </c>
      <c r="B287" s="63"/>
      <c r="C287" s="64" t="s">
        <v>41</v>
      </c>
      <c r="D287" s="280">
        <f>'Proposed Rates'!H14</f>
        <v>9.86</v>
      </c>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0.5" customHeight="1">
      <c r="A288" s="62" t="s">
        <v>59</v>
      </c>
      <c r="B288" s="63"/>
      <c r="C288" s="64" t="s">
        <v>66</v>
      </c>
      <c r="D288" s="281">
        <f>'Proposed Rates'!H27</f>
        <v>46.154299999999999</v>
      </c>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0.5" customHeight="1">
      <c r="A289" s="62" t="s">
        <v>45</v>
      </c>
      <c r="B289" s="63"/>
      <c r="C289" s="64" t="s">
        <v>66</v>
      </c>
      <c r="D289" s="283">
        <f>'Proposed Rates'!H266</f>
        <v>4.5199999999999997E-3</v>
      </c>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0.5" hidden="1" customHeight="1">
      <c r="A290" s="62" t="s">
        <v>47</v>
      </c>
      <c r="B290" s="63"/>
      <c r="C290" s="64" t="s">
        <v>66</v>
      </c>
      <c r="D290" s="281">
        <f>'Proposed Rates'!H43</f>
        <v>0</v>
      </c>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0.5" hidden="1" customHeight="1">
      <c r="A291" s="62" t="s">
        <v>43</v>
      </c>
      <c r="B291" s="63"/>
      <c r="C291" s="64" t="s">
        <v>66</v>
      </c>
      <c r="D291" s="281">
        <f>'Proposed Rates'!H70</f>
        <v>0</v>
      </c>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0.5" hidden="1" customHeight="1">
      <c r="A292" s="62" t="s">
        <v>48</v>
      </c>
      <c r="B292" s="63"/>
      <c r="C292" s="64" t="s">
        <v>46</v>
      </c>
      <c r="D292" s="281">
        <f>'Proposed Rates'!H148</f>
        <v>0</v>
      </c>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0.5" customHeight="1">
      <c r="A293" s="62" t="s">
        <v>49</v>
      </c>
      <c r="B293" s="63"/>
      <c r="C293" s="64" t="s">
        <v>66</v>
      </c>
      <c r="D293" s="281">
        <f>'Proposed Rates'!H189</f>
        <v>0.85450000000000004</v>
      </c>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0.5" customHeight="1">
      <c r="A294" s="89" t="s">
        <v>50</v>
      </c>
      <c r="B294" s="63"/>
      <c r="C294" s="90" t="s">
        <v>66</v>
      </c>
      <c r="D294" s="290">
        <f>'Proposed Rates'!H202</f>
        <v>0.48370000000000002</v>
      </c>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6" customHeight="1">
      <c r="A295" s="89"/>
      <c r="B295" s="63"/>
      <c r="C295" s="90"/>
      <c r="D295" s="291"/>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70" t="s">
        <v>51</v>
      </c>
      <c r="B296" s="63"/>
      <c r="C296" s="64"/>
      <c r="D296" s="284"/>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5.25" customHeight="1">
      <c r="A297" s="59"/>
      <c r="B297" s="64"/>
      <c r="C297" s="64"/>
      <c r="D297" s="284"/>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0.5" customHeight="1">
      <c r="A298" s="62" t="s">
        <v>52</v>
      </c>
      <c r="B298" s="63"/>
      <c r="C298" s="64" t="s">
        <v>46</v>
      </c>
      <c r="D298" s="284">
        <f>$D$34</f>
        <v>4.1000000000000003E-3</v>
      </c>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0.5" customHeight="1">
      <c r="A299" s="62" t="s">
        <v>53</v>
      </c>
      <c r="B299" s="63"/>
      <c r="C299" s="64" t="s">
        <v>46</v>
      </c>
      <c r="D299" s="281">
        <f>'Proposed Rates'!H215-'2026'!D296</f>
        <v>3.9999999999999931E-4</v>
      </c>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0.5" customHeight="1">
      <c r="A300" s="62" t="s">
        <v>54</v>
      </c>
      <c r="B300" s="63"/>
      <c r="C300" s="64" t="s">
        <v>46</v>
      </c>
      <c r="D300" s="281">
        <f>'Proposed Rates'!H228</f>
        <v>1.5E-3</v>
      </c>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0.5" customHeight="1">
      <c r="A301" s="62" t="s">
        <v>55</v>
      </c>
      <c r="B301" s="63"/>
      <c r="C301" s="64" t="s">
        <v>41</v>
      </c>
      <c r="D301" s="281">
        <f>'Proposed Rates'!H242</f>
        <v>1.57</v>
      </c>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1.25" customHeight="1">
      <c r="A302" s="62"/>
      <c r="B302" s="63"/>
      <c r="C302" s="64"/>
      <c r="D302" s="69"/>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23.25" customHeight="1">
      <c r="A303" s="597" t="str">
        <f>$A$1</f>
        <v>Hydro Ottawa Limited</v>
      </c>
      <c r="B303" s="595"/>
      <c r="C303" s="595"/>
      <c r="D303" s="596"/>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8" customHeight="1">
      <c r="A304" s="598" t="str">
        <f>$A$2</f>
        <v>PROPOSED - TARIFF OF RATES AND CHARGES</v>
      </c>
      <c r="B304" s="595"/>
      <c r="C304" s="595"/>
      <c r="D304" s="596"/>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99" t="str">
        <f>$A$3</f>
        <v>Effective and Implementation Date January 1, 2028</v>
      </c>
      <c r="B305" s="595"/>
      <c r="C305" s="595"/>
      <c r="D305" s="596"/>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1.25" customHeight="1">
      <c r="A306" s="600" t="str">
        <f>$A$4</f>
        <v>This schedule supersedes and replaces all previously</v>
      </c>
      <c r="B306" s="595"/>
      <c r="C306" s="595"/>
      <c r="D306" s="596"/>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1.25" customHeight="1">
      <c r="A307" s="600" t="str">
        <f>$A$5</f>
        <v>approved schedules of Rates, Charges and Loss Factors</v>
      </c>
      <c r="B307" s="595"/>
      <c r="C307" s="595"/>
      <c r="D307" s="596"/>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1.25" customHeight="1">
      <c r="A308" s="601" t="str">
        <f>$A$6</f>
        <v>EB-2024-0115</v>
      </c>
      <c r="B308" s="595"/>
      <c r="C308" s="595"/>
      <c r="D308" s="596"/>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8.75" customHeight="1">
      <c r="A309" s="602" t="s">
        <v>87</v>
      </c>
      <c r="B309" s="595"/>
      <c r="C309" s="595"/>
      <c r="D309" s="596"/>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60" customHeight="1">
      <c r="A310" s="603" t="s">
        <v>88</v>
      </c>
      <c r="B310" s="595"/>
      <c r="C310" s="595"/>
      <c r="D310" s="596"/>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6.75" customHeight="1">
      <c r="A311" s="54"/>
      <c r="B311" s="54"/>
      <c r="C311" s="54"/>
      <c r="D311" s="55"/>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1.25" customHeight="1">
      <c r="A312" s="604" t="s">
        <v>34</v>
      </c>
      <c r="B312" s="595"/>
      <c r="C312" s="595"/>
      <c r="D312" s="596"/>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6.75" customHeight="1">
      <c r="A313" s="56"/>
      <c r="B313" s="57"/>
      <c r="C313" s="57"/>
      <c r="D313" s="58"/>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36" customHeight="1">
      <c r="A314" s="603" t="s">
        <v>35</v>
      </c>
      <c r="B314" s="595"/>
      <c r="C314" s="595"/>
      <c r="D314" s="596"/>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6.75" customHeight="1">
      <c r="A315" s="54"/>
      <c r="B315" s="54"/>
      <c r="C315" s="54"/>
      <c r="D315" s="55"/>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48" customHeight="1">
      <c r="A316" s="603" t="s">
        <v>36</v>
      </c>
      <c r="B316" s="595"/>
      <c r="C316" s="595"/>
      <c r="D316" s="596"/>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6.75" customHeight="1">
      <c r="A317" s="54"/>
      <c r="B317" s="54"/>
      <c r="C317" s="54"/>
      <c r="D317" s="55"/>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48" customHeight="1">
      <c r="A318" s="603" t="s">
        <v>37</v>
      </c>
      <c r="B318" s="595"/>
      <c r="C318" s="595"/>
      <c r="D318" s="596"/>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6.75" customHeight="1">
      <c r="A319" s="54"/>
      <c r="B319" s="54"/>
      <c r="C319" s="54"/>
      <c r="D319" s="55"/>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36" customHeight="1">
      <c r="A320" s="603" t="s">
        <v>89</v>
      </c>
      <c r="B320" s="595"/>
      <c r="C320" s="595"/>
      <c r="D320" s="596"/>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6.75" customHeight="1">
      <c r="A321" s="54"/>
      <c r="B321" s="54"/>
      <c r="C321" s="54"/>
      <c r="D321" s="55"/>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 customHeight="1">
      <c r="A322" s="594" t="s">
        <v>39</v>
      </c>
      <c r="B322" s="595"/>
      <c r="C322" s="595"/>
      <c r="D322" s="596"/>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6" customHeight="1">
      <c r="A323" s="59"/>
      <c r="B323" s="60"/>
      <c r="C323" s="60"/>
      <c r="D323" s="61"/>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 customHeight="1">
      <c r="A324" s="62" t="s">
        <v>76</v>
      </c>
      <c r="B324" s="63"/>
      <c r="C324" s="64" t="s">
        <v>41</v>
      </c>
      <c r="D324" s="280">
        <f>'Proposed Rates'!H13</f>
        <v>1.27</v>
      </c>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 customHeight="1">
      <c r="A325" s="62" t="s">
        <v>59</v>
      </c>
      <c r="B325" s="63"/>
      <c r="C325" s="64" t="s">
        <v>66</v>
      </c>
      <c r="D325" s="281">
        <f>'Proposed Rates'!H26</f>
        <v>8.9296000000000006</v>
      </c>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 customHeight="1">
      <c r="A326" s="62" t="s">
        <v>45</v>
      </c>
      <c r="B326" s="63"/>
      <c r="C326" s="64" t="s">
        <v>66</v>
      </c>
      <c r="D326" s="283">
        <f>'Proposed Rates'!H265</f>
        <v>1.1429999999999999E-2</v>
      </c>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 hidden="1" customHeight="1">
      <c r="A327" s="62" t="s">
        <v>47</v>
      </c>
      <c r="B327" s="63"/>
      <c r="C327" s="64" t="s">
        <v>66</v>
      </c>
      <c r="D327" s="281">
        <f>'Proposed Rates'!H42</f>
        <v>0</v>
      </c>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 hidden="1" customHeight="1">
      <c r="A328" s="62" t="s">
        <v>43</v>
      </c>
      <c r="B328" s="63"/>
      <c r="C328" s="64" t="s">
        <v>66</v>
      </c>
      <c r="D328" s="281">
        <f>'Proposed Rates'!H69</f>
        <v>0</v>
      </c>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 hidden="1" customHeight="1">
      <c r="A329" s="62" t="s">
        <v>42</v>
      </c>
      <c r="B329" s="63"/>
      <c r="C329" s="64" t="s">
        <v>66</v>
      </c>
      <c r="D329" s="281">
        <f>'Proposed Rates'!H95</f>
        <v>0</v>
      </c>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 hidden="1" customHeight="1">
      <c r="A330" s="62" t="s">
        <v>48</v>
      </c>
      <c r="B330" s="63"/>
      <c r="C330" s="64" t="s">
        <v>46</v>
      </c>
      <c r="D330" s="281">
        <f>'Proposed Rates'!H147</f>
        <v>0</v>
      </c>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 customHeight="1">
      <c r="A331" s="62" t="s">
        <v>49</v>
      </c>
      <c r="B331" s="63"/>
      <c r="C331" s="64" t="s">
        <v>66</v>
      </c>
      <c r="D331" s="281">
        <f>'Proposed Rates'!H188</f>
        <v>2.1576</v>
      </c>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 customHeight="1">
      <c r="A332" s="62" t="s">
        <v>50</v>
      </c>
      <c r="B332" s="63"/>
      <c r="C332" s="64" t="s">
        <v>66</v>
      </c>
      <c r="D332" s="281">
        <f>'Proposed Rates'!H201</f>
        <v>1.2213000000000001</v>
      </c>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3" customHeight="1">
      <c r="A333" s="64"/>
      <c r="B333" s="64"/>
      <c r="C333" s="64"/>
      <c r="D333" s="284"/>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1.25" customHeight="1">
      <c r="A334" s="70" t="s">
        <v>51</v>
      </c>
      <c r="B334" s="63"/>
      <c r="C334" s="64"/>
      <c r="D334" s="284"/>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3.75" customHeight="1">
      <c r="A335" s="59"/>
      <c r="B335" s="64"/>
      <c r="C335" s="64"/>
      <c r="D335" s="284"/>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 customHeight="1">
      <c r="A336" s="62" t="s">
        <v>52</v>
      </c>
      <c r="B336" s="63"/>
      <c r="C336" s="64" t="s">
        <v>46</v>
      </c>
      <c r="D336" s="284">
        <f>$D$34</f>
        <v>4.1000000000000003E-3</v>
      </c>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 customHeight="1">
      <c r="A337" s="62" t="s">
        <v>53</v>
      </c>
      <c r="B337" s="63"/>
      <c r="C337" s="64" t="s">
        <v>46</v>
      </c>
      <c r="D337" s="281">
        <f>'Proposed Rates'!H214-'2026'!D335</f>
        <v>3.9999999999999931E-4</v>
      </c>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 customHeight="1">
      <c r="A338" s="62" t="s">
        <v>54</v>
      </c>
      <c r="B338" s="63"/>
      <c r="C338" s="64" t="s">
        <v>46</v>
      </c>
      <c r="D338" s="281">
        <f>'Proposed Rates'!H227</f>
        <v>1.5E-3</v>
      </c>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 customHeight="1">
      <c r="A339" s="62" t="s">
        <v>55</v>
      </c>
      <c r="B339" s="63"/>
      <c r="C339" s="64" t="s">
        <v>41</v>
      </c>
      <c r="D339" s="281">
        <f>'Proposed Rates'!H241</f>
        <v>1.57</v>
      </c>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 customHeight="1">
      <c r="A340" s="64"/>
      <c r="B340" s="63"/>
      <c r="C340" s="64"/>
      <c r="D340" s="69"/>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23.25" customHeight="1">
      <c r="A341" s="597" t="str">
        <f>$A$1</f>
        <v>Hydro Ottawa Limited</v>
      </c>
      <c r="B341" s="595"/>
      <c r="C341" s="595"/>
      <c r="D341" s="596"/>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8" customHeight="1">
      <c r="A342" s="598" t="str">
        <f>$A$2</f>
        <v>PROPOSED - TARIFF OF RATES AND CHARGES</v>
      </c>
      <c r="B342" s="595"/>
      <c r="C342" s="595"/>
      <c r="D342" s="596"/>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99" t="str">
        <f>$A$3</f>
        <v>Effective and Implementation Date January 1, 2028</v>
      </c>
      <c r="B343" s="595"/>
      <c r="C343" s="595"/>
      <c r="D343" s="596"/>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1.25" customHeight="1">
      <c r="A344" s="600" t="str">
        <f>$A$4</f>
        <v>This schedule supersedes and replaces all previously</v>
      </c>
      <c r="B344" s="595"/>
      <c r="C344" s="595"/>
      <c r="D344" s="596"/>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1.25" customHeight="1">
      <c r="A345" s="600" t="str">
        <f>$A$5</f>
        <v>approved schedules of Rates, Charges and Loss Factors</v>
      </c>
      <c r="B345" s="595"/>
      <c r="C345" s="595"/>
      <c r="D345" s="596"/>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1.25" customHeight="1">
      <c r="A346" s="601" t="str">
        <f>$A$6</f>
        <v>EB-2024-0115</v>
      </c>
      <c r="B346" s="595"/>
      <c r="C346" s="595"/>
      <c r="D346" s="596"/>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8.75" customHeight="1">
      <c r="A347" s="602" t="s">
        <v>209</v>
      </c>
      <c r="B347" s="595"/>
      <c r="C347" s="595"/>
      <c r="D347" s="596"/>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36" customHeight="1">
      <c r="A348" s="603" t="s">
        <v>210</v>
      </c>
      <c r="B348" s="595"/>
      <c r="C348" s="595"/>
      <c r="D348" s="596"/>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6.75" customHeight="1">
      <c r="A349" s="54"/>
      <c r="B349" s="54"/>
      <c r="C349" s="54"/>
      <c r="D349" s="55"/>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1.25" customHeight="1">
      <c r="A350" s="604" t="s">
        <v>34</v>
      </c>
      <c r="B350" s="595"/>
      <c r="C350" s="595"/>
      <c r="D350" s="596"/>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6.75" customHeight="1">
      <c r="A351" s="56"/>
      <c r="B351" s="57"/>
      <c r="C351" s="57"/>
      <c r="D351" s="58"/>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36" customHeight="1">
      <c r="A352" s="603" t="s">
        <v>35</v>
      </c>
      <c r="B352" s="595"/>
      <c r="C352" s="595"/>
      <c r="D352" s="596"/>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6.75" customHeight="1">
      <c r="A353" s="54"/>
      <c r="B353" s="54"/>
      <c r="C353" s="54"/>
      <c r="D353" s="55"/>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48" customHeight="1">
      <c r="A354" s="603" t="s">
        <v>36</v>
      </c>
      <c r="B354" s="595"/>
      <c r="C354" s="595"/>
      <c r="D354" s="596"/>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6.75" customHeight="1">
      <c r="A355" s="54"/>
      <c r="B355" s="54"/>
      <c r="C355" s="54"/>
      <c r="D355" s="55"/>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24" customHeight="1">
      <c r="A356" s="603" t="s">
        <v>93</v>
      </c>
      <c r="B356" s="595"/>
      <c r="C356" s="595"/>
      <c r="D356" s="596"/>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6.75" customHeight="1">
      <c r="A357" s="54"/>
      <c r="B357" s="54"/>
      <c r="C357" s="54"/>
      <c r="D357" s="55"/>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36" customHeight="1">
      <c r="A358" s="603" t="s">
        <v>89</v>
      </c>
      <c r="B358" s="595"/>
      <c r="C358" s="595"/>
      <c r="D358" s="596"/>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6.75" customHeight="1">
      <c r="A359" s="54"/>
      <c r="B359" s="54"/>
      <c r="C359" s="54"/>
      <c r="D359" s="55"/>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 customHeight="1">
      <c r="A360" s="594" t="s">
        <v>39</v>
      </c>
      <c r="B360" s="595"/>
      <c r="C360" s="595"/>
      <c r="D360" s="596"/>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6.75" customHeight="1">
      <c r="A361" s="59"/>
      <c r="B361" s="60"/>
      <c r="C361" s="60"/>
      <c r="D361" s="61"/>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1.25" customHeight="1">
      <c r="A362" s="607" t="s">
        <v>40</v>
      </c>
      <c r="B362" s="596"/>
      <c r="C362" s="64" t="s">
        <v>41</v>
      </c>
      <c r="D362" s="296">
        <f>'Proposed Rates'!H372</f>
        <v>0</v>
      </c>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5.25" customHeight="1">
      <c r="A363" s="85"/>
      <c r="B363" s="63"/>
      <c r="C363" s="64"/>
      <c r="D363" s="69"/>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23.25" customHeight="1">
      <c r="A364" s="597" t="str">
        <f>$A$1</f>
        <v>Hydro Ottawa Limited</v>
      </c>
      <c r="B364" s="595"/>
      <c r="C364" s="595"/>
      <c r="D364" s="596"/>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8" customHeight="1">
      <c r="A365" s="598" t="str">
        <f>$A$2</f>
        <v>PROPOSED - TARIFF OF RATES AND CHARGES</v>
      </c>
      <c r="B365" s="595"/>
      <c r="C365" s="595"/>
      <c r="D365" s="596"/>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99" t="str">
        <f>$A$3</f>
        <v>Effective and Implementation Date January 1, 2028</v>
      </c>
      <c r="B366" s="595"/>
      <c r="C366" s="595"/>
      <c r="D366" s="596"/>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1.25" customHeight="1">
      <c r="A367" s="600" t="str">
        <f>$A$4</f>
        <v>This schedule supersedes and replaces all previously</v>
      </c>
      <c r="B367" s="595"/>
      <c r="C367" s="595"/>
      <c r="D367" s="596"/>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1.25" customHeight="1">
      <c r="A368" s="600" t="str">
        <f>$A$5</f>
        <v>approved schedules of Rates, Charges and Loss Factors</v>
      </c>
      <c r="B368" s="595"/>
      <c r="C368" s="595"/>
      <c r="D368" s="596"/>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1.25" customHeight="1">
      <c r="A369" s="601" t="str">
        <f>$A$6</f>
        <v>EB-2024-0115</v>
      </c>
      <c r="B369" s="595"/>
      <c r="C369" s="595"/>
      <c r="D369" s="596"/>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8.75" customHeight="1">
      <c r="A370" s="602" t="s">
        <v>91</v>
      </c>
      <c r="B370" s="595"/>
      <c r="C370" s="595"/>
      <c r="D370" s="596"/>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36" customHeight="1">
      <c r="A371" s="603" t="s">
        <v>92</v>
      </c>
      <c r="B371" s="595"/>
      <c r="C371" s="595"/>
      <c r="D371" s="596"/>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6.75" customHeight="1">
      <c r="A372" s="54"/>
      <c r="B372" s="54"/>
      <c r="C372" s="54"/>
      <c r="D372" s="55"/>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1.25" customHeight="1">
      <c r="A373" s="604" t="s">
        <v>34</v>
      </c>
      <c r="B373" s="595"/>
      <c r="C373" s="595"/>
      <c r="D373" s="596"/>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6.75" customHeight="1">
      <c r="A374" s="56"/>
      <c r="B374" s="57"/>
      <c r="C374" s="57"/>
      <c r="D374" s="58"/>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36" customHeight="1">
      <c r="A375" s="603" t="s">
        <v>35</v>
      </c>
      <c r="B375" s="595"/>
      <c r="C375" s="595"/>
      <c r="D375" s="596"/>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6.75" customHeight="1">
      <c r="A376" s="54"/>
      <c r="B376" s="54"/>
      <c r="C376" s="54"/>
      <c r="D376" s="55"/>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48" customHeight="1">
      <c r="A377" s="603" t="s">
        <v>36</v>
      </c>
      <c r="B377" s="595"/>
      <c r="C377" s="595"/>
      <c r="D377" s="596"/>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6.75" customHeight="1">
      <c r="A378" s="54"/>
      <c r="B378" s="54"/>
      <c r="C378" s="54"/>
      <c r="D378" s="55"/>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24" customHeight="1">
      <c r="A379" s="603" t="s">
        <v>93</v>
      </c>
      <c r="B379" s="595"/>
      <c r="C379" s="595"/>
      <c r="D379" s="596"/>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6.75" customHeight="1">
      <c r="A380" s="54"/>
      <c r="B380" s="54"/>
      <c r="C380" s="54"/>
      <c r="D380" s="55"/>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36" customHeight="1">
      <c r="A381" s="603" t="s">
        <v>89</v>
      </c>
      <c r="B381" s="595"/>
      <c r="C381" s="595"/>
      <c r="D381" s="596"/>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6.75" customHeight="1">
      <c r="A382" s="54"/>
      <c r="B382" s="54"/>
      <c r="C382" s="54"/>
      <c r="D382" s="55"/>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 customHeight="1">
      <c r="A383" s="594" t="s">
        <v>39</v>
      </c>
      <c r="B383" s="595"/>
      <c r="C383" s="595"/>
      <c r="D383" s="596"/>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6.75" customHeight="1">
      <c r="A384" s="59"/>
      <c r="B384" s="60"/>
      <c r="C384" s="60"/>
      <c r="D384" s="61"/>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1.25" customHeight="1">
      <c r="A385" s="607" t="s">
        <v>40</v>
      </c>
      <c r="B385" s="596"/>
      <c r="C385" s="64" t="s">
        <v>41</v>
      </c>
      <c r="D385" s="296">
        <f>'Proposed Rates'!H369</f>
        <v>12</v>
      </c>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6.5" customHeight="1">
      <c r="A386" s="85"/>
      <c r="B386" s="63"/>
      <c r="C386" s="64"/>
      <c r="D386" s="69"/>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23.25" customHeight="1">
      <c r="A387" s="597" t="str">
        <f>$A$1</f>
        <v>Hydro Ottawa Limited</v>
      </c>
      <c r="B387" s="595"/>
      <c r="C387" s="595"/>
      <c r="D387" s="596"/>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8" customHeight="1">
      <c r="A388" s="598" t="str">
        <f>$A$2</f>
        <v>PROPOSED - TARIFF OF RATES AND CHARGES</v>
      </c>
      <c r="B388" s="595"/>
      <c r="C388" s="595"/>
      <c r="D388" s="596"/>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99" t="str">
        <f>$A$3</f>
        <v>Effective and Implementation Date January 1, 2028</v>
      </c>
      <c r="B389" s="595"/>
      <c r="C389" s="595"/>
      <c r="D389" s="596"/>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1.25" customHeight="1">
      <c r="A390" s="600" t="str">
        <f>$A$4</f>
        <v>This schedule supersedes and replaces all previously</v>
      </c>
      <c r="B390" s="595"/>
      <c r="C390" s="595"/>
      <c r="D390" s="596"/>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1.25" customHeight="1">
      <c r="A391" s="600" t="str">
        <f>$A$5</f>
        <v>approved schedules of Rates, Charges and Loss Factors</v>
      </c>
      <c r="B391" s="595"/>
      <c r="C391" s="595"/>
      <c r="D391" s="596"/>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1.25" customHeight="1">
      <c r="A392" s="601" t="str">
        <f>$A$6</f>
        <v>EB-2024-0115</v>
      </c>
      <c r="B392" s="595"/>
      <c r="C392" s="595"/>
      <c r="D392" s="596"/>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8.75" customHeight="1">
      <c r="A393" s="602" t="s">
        <v>94</v>
      </c>
      <c r="B393" s="595"/>
      <c r="C393" s="595"/>
      <c r="D393" s="596"/>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36" customHeight="1">
      <c r="A394" s="603" t="s">
        <v>95</v>
      </c>
      <c r="B394" s="595"/>
      <c r="C394" s="595"/>
      <c r="D394" s="596"/>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6.75" customHeight="1">
      <c r="A395" s="54"/>
      <c r="B395" s="54"/>
      <c r="C395" s="54"/>
      <c r="D395" s="55"/>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1.25" customHeight="1">
      <c r="A396" s="604" t="s">
        <v>34</v>
      </c>
      <c r="B396" s="595"/>
      <c r="C396" s="595"/>
      <c r="D396" s="596"/>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6.75" customHeight="1">
      <c r="A397" s="56"/>
      <c r="B397" s="57"/>
      <c r="C397" s="57"/>
      <c r="D397" s="58"/>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36" customHeight="1">
      <c r="A398" s="603" t="s">
        <v>35</v>
      </c>
      <c r="B398" s="595"/>
      <c r="C398" s="595"/>
      <c r="D398" s="596"/>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6.75" customHeight="1">
      <c r="A399" s="54"/>
      <c r="B399" s="54"/>
      <c r="C399" s="54"/>
      <c r="D399" s="55"/>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48" customHeight="1">
      <c r="A400" s="603" t="s">
        <v>36</v>
      </c>
      <c r="B400" s="595"/>
      <c r="C400" s="595"/>
      <c r="D400" s="596"/>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6.75" customHeight="1">
      <c r="A401" s="54"/>
      <c r="B401" s="54"/>
      <c r="C401" s="54"/>
      <c r="D401" s="55"/>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24" customHeight="1">
      <c r="A402" s="603" t="s">
        <v>93</v>
      </c>
      <c r="B402" s="595"/>
      <c r="C402" s="595"/>
      <c r="D402" s="596"/>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6.75" customHeight="1">
      <c r="A403" s="54"/>
      <c r="B403" s="54"/>
      <c r="C403" s="54"/>
      <c r="D403" s="55"/>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36" customHeight="1">
      <c r="A404" s="603" t="s">
        <v>89</v>
      </c>
      <c r="B404" s="595"/>
      <c r="C404" s="595"/>
      <c r="D404" s="596"/>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6.75" customHeight="1">
      <c r="A405" s="54"/>
      <c r="B405" s="54"/>
      <c r="C405" s="54"/>
      <c r="D405" s="55"/>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 customHeight="1">
      <c r="A406" s="594" t="s">
        <v>39</v>
      </c>
      <c r="B406" s="595"/>
      <c r="C406" s="595"/>
      <c r="D406" s="596"/>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6.75" customHeight="1">
      <c r="A407" s="59"/>
      <c r="B407" s="60"/>
      <c r="C407" s="60"/>
      <c r="D407" s="61"/>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1.25" customHeight="1">
      <c r="A408" s="607" t="s">
        <v>40</v>
      </c>
      <c r="B408" s="596"/>
      <c r="C408" s="64" t="s">
        <v>41</v>
      </c>
      <c r="D408" s="296">
        <f>'Proposed Rates'!H370</f>
        <v>91</v>
      </c>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7.5" customHeight="1">
      <c r="A409" s="85"/>
      <c r="B409" s="63"/>
      <c r="C409" s="64"/>
      <c r="D409" s="69"/>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23.25" customHeight="1">
      <c r="A410" s="597" t="str">
        <f>$A$1</f>
        <v>Hydro Ottawa Limited</v>
      </c>
      <c r="B410" s="595"/>
      <c r="C410" s="595"/>
      <c r="D410" s="596"/>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8" customHeight="1">
      <c r="A411" s="598" t="str">
        <f>$A$2</f>
        <v>PROPOSED - TARIFF OF RATES AND CHARGES</v>
      </c>
      <c r="B411" s="595"/>
      <c r="C411" s="595"/>
      <c r="D411" s="596"/>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99" t="str">
        <f>$A$3</f>
        <v>Effective and Implementation Date January 1, 2028</v>
      </c>
      <c r="B412" s="595"/>
      <c r="C412" s="595"/>
      <c r="D412" s="596"/>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1.25" customHeight="1">
      <c r="A413" s="600" t="str">
        <f>$A$4</f>
        <v>This schedule supersedes and replaces all previously</v>
      </c>
      <c r="B413" s="595"/>
      <c r="C413" s="595"/>
      <c r="D413" s="596"/>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1.25" customHeight="1">
      <c r="A414" s="600" t="str">
        <f>$A$5</f>
        <v>approved schedules of Rates, Charges and Loss Factors</v>
      </c>
      <c r="B414" s="595"/>
      <c r="C414" s="595"/>
      <c r="D414" s="596"/>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1.25" customHeight="1">
      <c r="A415" s="601" t="str">
        <f>$A$6</f>
        <v>EB-2024-0115</v>
      </c>
      <c r="B415" s="595"/>
      <c r="C415" s="595"/>
      <c r="D415" s="596"/>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8.75" customHeight="1">
      <c r="A416" s="602" t="s">
        <v>96</v>
      </c>
      <c r="B416" s="595"/>
      <c r="C416" s="595"/>
      <c r="D416" s="596"/>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36" customHeight="1">
      <c r="A417" s="603" t="s">
        <v>97</v>
      </c>
      <c r="B417" s="595"/>
      <c r="C417" s="595"/>
      <c r="D417" s="596"/>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6.75" customHeight="1">
      <c r="A418" s="54"/>
      <c r="B418" s="54"/>
      <c r="C418" s="54"/>
      <c r="D418" s="55"/>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1.25" customHeight="1">
      <c r="A419" s="604" t="s">
        <v>34</v>
      </c>
      <c r="B419" s="595"/>
      <c r="C419" s="595"/>
      <c r="D419" s="596"/>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6.75" customHeight="1">
      <c r="A420" s="56"/>
      <c r="B420" s="57"/>
      <c r="C420" s="57"/>
      <c r="D420" s="58"/>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36" customHeight="1">
      <c r="A421" s="603" t="s">
        <v>35</v>
      </c>
      <c r="B421" s="595"/>
      <c r="C421" s="595"/>
      <c r="D421" s="596"/>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6.75" customHeight="1">
      <c r="A422" s="54"/>
      <c r="B422" s="54"/>
      <c r="C422" s="54"/>
      <c r="D422" s="55"/>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48" customHeight="1">
      <c r="A423" s="603" t="s">
        <v>36</v>
      </c>
      <c r="B423" s="595"/>
      <c r="C423" s="595"/>
      <c r="D423" s="596"/>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6.75" customHeight="1">
      <c r="A424" s="54"/>
      <c r="B424" s="54"/>
      <c r="C424" s="54"/>
      <c r="D424" s="55"/>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24" customHeight="1">
      <c r="A425" s="603" t="s">
        <v>93</v>
      </c>
      <c r="B425" s="595"/>
      <c r="C425" s="595"/>
      <c r="D425" s="596"/>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6.75" customHeight="1">
      <c r="A426" s="54"/>
      <c r="B426" s="54"/>
      <c r="C426" s="54"/>
      <c r="D426" s="55"/>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36" customHeight="1">
      <c r="A427" s="603" t="s">
        <v>89</v>
      </c>
      <c r="B427" s="595"/>
      <c r="C427" s="595"/>
      <c r="D427" s="596"/>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6.75" customHeight="1">
      <c r="A428" s="54"/>
      <c r="B428" s="54"/>
      <c r="C428" s="54"/>
      <c r="D428" s="55"/>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 customHeight="1">
      <c r="A429" s="594" t="s">
        <v>39</v>
      </c>
      <c r="B429" s="595"/>
      <c r="C429" s="595"/>
      <c r="D429" s="596"/>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6.75" customHeight="1">
      <c r="A430" s="59"/>
      <c r="B430" s="60"/>
      <c r="C430" s="60"/>
      <c r="D430" s="61"/>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1.25" customHeight="1">
      <c r="A431" s="607" t="s">
        <v>40</v>
      </c>
      <c r="B431" s="596"/>
      <c r="C431" s="64" t="s">
        <v>41</v>
      </c>
      <c r="D431" s="296">
        <f>'Proposed Rates'!H371</f>
        <v>277</v>
      </c>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6.75" customHeight="1">
      <c r="A432" s="94"/>
      <c r="B432" s="85"/>
      <c r="C432" s="64"/>
      <c r="D432" s="284"/>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8" customHeight="1">
      <c r="A433" s="95" t="s">
        <v>98</v>
      </c>
      <c r="B433" s="96"/>
      <c r="C433" s="96"/>
      <c r="D433" s="297"/>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1.25" customHeight="1">
      <c r="A434" s="607" t="s">
        <v>99</v>
      </c>
      <c r="B434" s="596"/>
      <c r="C434" s="97" t="s">
        <v>100</v>
      </c>
      <c r="D434" s="284">
        <v>-1</v>
      </c>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 customHeight="1">
      <c r="A435" s="85"/>
      <c r="B435" s="63"/>
      <c r="C435" s="97"/>
      <c r="D435" s="69"/>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23.25" customHeight="1">
      <c r="A436" s="597" t="str">
        <f>$A$1</f>
        <v>Hydro Ottawa Limited</v>
      </c>
      <c r="B436" s="595"/>
      <c r="C436" s="595"/>
      <c r="D436" s="596"/>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8" customHeight="1">
      <c r="A437" s="598" t="str">
        <f>$A$2</f>
        <v>PROPOSED - TARIFF OF RATES AND CHARGES</v>
      </c>
      <c r="B437" s="595"/>
      <c r="C437" s="595"/>
      <c r="D437" s="596"/>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99" t="str">
        <f>$A$3</f>
        <v>Effective and Implementation Date January 1, 2028</v>
      </c>
      <c r="B438" s="595"/>
      <c r="C438" s="595"/>
      <c r="D438" s="596"/>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1.25" customHeight="1">
      <c r="A439" s="600" t="str">
        <f>$A$4</f>
        <v>This schedule supersedes and replaces all previously</v>
      </c>
      <c r="B439" s="595"/>
      <c r="C439" s="595"/>
      <c r="D439" s="596"/>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1.25" customHeight="1">
      <c r="A440" s="600" t="str">
        <f>$A$5</f>
        <v>approved schedules of Rates, Charges and Loss Factors</v>
      </c>
      <c r="B440" s="595"/>
      <c r="C440" s="595"/>
      <c r="D440" s="596"/>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1.25" customHeight="1">
      <c r="A441" s="601" t="str">
        <f>$A$6</f>
        <v>EB-2024-0115</v>
      </c>
      <c r="B441" s="595"/>
      <c r="C441" s="595"/>
      <c r="D441" s="596"/>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8" customHeight="1">
      <c r="A442" s="95" t="s">
        <v>101</v>
      </c>
      <c r="B442" s="96"/>
      <c r="C442" s="96"/>
      <c r="D442" s="72"/>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6.75" customHeight="1">
      <c r="A443" s="95"/>
      <c r="B443" s="96"/>
      <c r="C443" s="96"/>
      <c r="D443" s="72"/>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1.25" customHeight="1">
      <c r="A444" s="606" t="s">
        <v>34</v>
      </c>
      <c r="B444" s="595"/>
      <c r="C444" s="595"/>
      <c r="D444" s="596"/>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6.75" customHeight="1">
      <c r="A445" s="98"/>
      <c r="B445" s="54"/>
      <c r="C445" s="54"/>
      <c r="D445" s="55"/>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36" customHeight="1">
      <c r="A446" s="603" t="s">
        <v>35</v>
      </c>
      <c r="B446" s="595"/>
      <c r="C446" s="595"/>
      <c r="D446" s="596"/>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6.75" customHeight="1">
      <c r="A447" s="54"/>
      <c r="B447" s="54"/>
      <c r="C447" s="54"/>
      <c r="D447" s="55"/>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48" customHeight="1">
      <c r="A448" s="603" t="s">
        <v>102</v>
      </c>
      <c r="B448" s="595"/>
      <c r="C448" s="595"/>
      <c r="D448" s="596"/>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6.75" customHeight="1">
      <c r="A449" s="54"/>
      <c r="B449" s="54"/>
      <c r="C449" s="54"/>
      <c r="D449" s="55"/>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36" customHeight="1">
      <c r="A450" s="603" t="s">
        <v>38</v>
      </c>
      <c r="B450" s="595"/>
      <c r="C450" s="595"/>
      <c r="D450" s="596"/>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6.75" customHeight="1">
      <c r="A451" s="54"/>
      <c r="B451" s="54"/>
      <c r="C451" s="54"/>
      <c r="D451" s="55"/>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 customHeight="1">
      <c r="A452" s="99" t="s">
        <v>103</v>
      </c>
      <c r="B452" s="96"/>
      <c r="C452" s="96"/>
      <c r="D452" s="72"/>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1.25" customHeight="1">
      <c r="A453" s="62" t="s">
        <v>104</v>
      </c>
      <c r="B453" s="63"/>
      <c r="C453" s="64" t="s">
        <v>41</v>
      </c>
      <c r="D453" s="298">
        <f>'Proposed Rates'!H319</f>
        <v>0</v>
      </c>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1.25" customHeight="1">
      <c r="A454" s="64" t="s">
        <v>105</v>
      </c>
      <c r="B454" s="64"/>
      <c r="C454" s="64" t="s">
        <v>41</v>
      </c>
      <c r="D454" s="298">
        <f>'Proposed Rates'!H320</f>
        <v>30</v>
      </c>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1.25" customHeight="1">
      <c r="A455" s="62" t="s">
        <v>106</v>
      </c>
      <c r="B455" s="63"/>
      <c r="C455" s="64" t="s">
        <v>41</v>
      </c>
      <c r="D455" s="298">
        <f>'Proposed Rates'!H321</f>
        <v>7</v>
      </c>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1.25" customHeight="1">
      <c r="A456" s="62" t="s">
        <v>107</v>
      </c>
      <c r="B456" s="63"/>
      <c r="C456" s="64" t="s">
        <v>41</v>
      </c>
      <c r="D456" s="298">
        <f>'Proposed Rates'!H322</f>
        <v>147</v>
      </c>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1.25" customHeight="1">
      <c r="A457" s="62" t="s">
        <v>108</v>
      </c>
      <c r="B457" s="63"/>
      <c r="C457" s="64" t="s">
        <v>41</v>
      </c>
      <c r="D457" s="298">
        <f>'Proposed Rates'!H323</f>
        <v>20</v>
      </c>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1.25" customHeight="1">
      <c r="A458" s="62" t="s">
        <v>109</v>
      </c>
      <c r="B458" s="63"/>
      <c r="C458" s="64" t="s">
        <v>41</v>
      </c>
      <c r="D458" s="298">
        <f>'Proposed Rates'!H324</f>
        <v>25</v>
      </c>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1.25" customHeight="1">
      <c r="A459" s="62" t="s">
        <v>110</v>
      </c>
      <c r="B459" s="63"/>
      <c r="C459" s="64" t="s">
        <v>41</v>
      </c>
      <c r="D459" s="298">
        <f>'Proposed Rates'!H325</f>
        <v>10</v>
      </c>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1.25" customHeight="1">
      <c r="A460" s="62" t="s">
        <v>111</v>
      </c>
      <c r="B460" s="63"/>
      <c r="C460" s="64" t="s">
        <v>41</v>
      </c>
      <c r="D460" s="298">
        <f>'Proposed Rates'!H328</f>
        <v>382</v>
      </c>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1.25" customHeight="1">
      <c r="A461" s="62" t="s">
        <v>112</v>
      </c>
      <c r="B461" s="63"/>
      <c r="C461" s="64" t="s">
        <v>41</v>
      </c>
      <c r="D461" s="298">
        <f>'Proposed Rates'!H329</f>
        <v>335</v>
      </c>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6.75" customHeight="1">
      <c r="A462" s="64"/>
      <c r="B462" s="64"/>
      <c r="C462" s="64"/>
      <c r="D462" s="284"/>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 customHeight="1">
      <c r="A463" s="99" t="s">
        <v>113</v>
      </c>
      <c r="B463" s="96"/>
      <c r="C463" s="90"/>
      <c r="D463" s="291"/>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22.5" customHeight="1">
      <c r="A464" s="62" t="s">
        <v>114</v>
      </c>
      <c r="B464" s="63"/>
      <c r="C464" s="64" t="s">
        <v>100</v>
      </c>
      <c r="D464" s="296">
        <f>'Proposed Rates'!H332</f>
        <v>1.4999999999999999E-2</v>
      </c>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1.25" customHeight="1">
      <c r="A465" s="62" t="s">
        <v>115</v>
      </c>
      <c r="B465" s="63"/>
      <c r="C465" s="64" t="s">
        <v>41</v>
      </c>
      <c r="D465" s="298">
        <f>'Proposed Rates'!H333</f>
        <v>72</v>
      </c>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1.25" customHeight="1">
      <c r="A466" s="62" t="s">
        <v>116</v>
      </c>
      <c r="B466" s="63"/>
      <c r="C466" s="64" t="s">
        <v>41</v>
      </c>
      <c r="D466" s="298">
        <f>'Proposed Rates'!H334</f>
        <v>98</v>
      </c>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1.25" customHeight="1">
      <c r="A467" s="62" t="s">
        <v>117</v>
      </c>
      <c r="B467" s="63"/>
      <c r="C467" s="64" t="s">
        <v>41</v>
      </c>
      <c r="D467" s="298">
        <f>'Proposed Rates'!H335</f>
        <v>331</v>
      </c>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 customHeight="1">
      <c r="A468" s="62" t="s">
        <v>118</v>
      </c>
      <c r="B468" s="63"/>
      <c r="C468" s="64" t="s">
        <v>41</v>
      </c>
      <c r="D468" s="298">
        <f>'Proposed Rates'!H336</f>
        <v>500</v>
      </c>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9.75" customHeight="1">
      <c r="A469" s="64"/>
      <c r="B469" s="64"/>
      <c r="C469" s="64"/>
      <c r="D469" s="284"/>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 customHeight="1">
      <c r="A470" s="99" t="s">
        <v>119</v>
      </c>
      <c r="B470" s="96"/>
      <c r="C470" s="90"/>
      <c r="D470" s="284"/>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1.25" customHeight="1">
      <c r="A471" s="62" t="s">
        <v>120</v>
      </c>
      <c r="B471" s="63"/>
      <c r="C471" s="64" t="s">
        <v>41</v>
      </c>
      <c r="D471" s="298">
        <f>'Proposed Rates'!H339</f>
        <v>1125</v>
      </c>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1.25" customHeight="1">
      <c r="A472" s="62" t="s">
        <v>121</v>
      </c>
      <c r="B472" s="63"/>
      <c r="C472" s="64" t="s">
        <v>41</v>
      </c>
      <c r="D472" s="298">
        <f>'Proposed Rates'!H340</f>
        <v>1483</v>
      </c>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1.25" customHeight="1">
      <c r="A473" s="62" t="s">
        <v>122</v>
      </c>
      <c r="B473" s="63"/>
      <c r="C473" s="64" t="s">
        <v>41</v>
      </c>
      <c r="D473" s="298">
        <f>'Proposed Rates'!H341</f>
        <v>5223</v>
      </c>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22.5" customHeight="1">
      <c r="A474" s="62" t="s">
        <v>123</v>
      </c>
      <c r="B474" s="63"/>
      <c r="C474" s="64" t="s">
        <v>41</v>
      </c>
      <c r="D474" s="296">
        <f>'Proposed Rates'!H342</f>
        <v>39.14</v>
      </c>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1.25" customHeight="1">
      <c r="A475" s="62" t="s">
        <v>124</v>
      </c>
      <c r="B475" s="63"/>
      <c r="C475" s="64"/>
      <c r="D475" s="284" t="str">
        <f>'Proposed Rates'!H343</f>
        <v>Per Attached Table</v>
      </c>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1.25" customHeight="1">
      <c r="A476" s="62" t="s">
        <v>125</v>
      </c>
      <c r="B476" s="63"/>
      <c r="C476" s="64" t="s">
        <v>41</v>
      </c>
      <c r="D476" s="298">
        <f>'Proposed Rates'!H344</f>
        <v>172</v>
      </c>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7.5" customHeight="1">
      <c r="A477" s="607"/>
      <c r="B477" s="596"/>
      <c r="C477" s="64"/>
      <c r="D477" s="69"/>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23.25" customHeight="1">
      <c r="A478" s="597" t="str">
        <f>$A$1</f>
        <v>Hydro Ottawa Limited</v>
      </c>
      <c r="B478" s="595"/>
      <c r="C478" s="595"/>
      <c r="D478" s="596"/>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8" customHeight="1">
      <c r="A479" s="598" t="str">
        <f>$A$2</f>
        <v>PROPOSED - TARIFF OF RATES AND CHARGES</v>
      </c>
      <c r="B479" s="595"/>
      <c r="C479" s="595"/>
      <c r="D479" s="596"/>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99" t="str">
        <f>$A$3</f>
        <v>Effective and Implementation Date January 1, 2028</v>
      </c>
      <c r="B480" s="595"/>
      <c r="C480" s="595"/>
      <c r="D480" s="596"/>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1.25" customHeight="1">
      <c r="A481" s="600" t="str">
        <f>$A$4</f>
        <v>This schedule supersedes and replaces all previously</v>
      </c>
      <c r="B481" s="595"/>
      <c r="C481" s="595"/>
      <c r="D481" s="596"/>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1.25" customHeight="1">
      <c r="A482" s="600" t="str">
        <f>$A$5</f>
        <v>approved schedules of Rates, Charges and Loss Factors</v>
      </c>
      <c r="B482" s="595"/>
      <c r="C482" s="595"/>
      <c r="D482" s="596"/>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1.25" customHeight="1">
      <c r="A483" s="601" t="str">
        <f>$A$6</f>
        <v>EB-2024-0115</v>
      </c>
      <c r="B483" s="595"/>
      <c r="C483" s="595"/>
      <c r="D483" s="596"/>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6.75" customHeight="1">
      <c r="A484" s="95"/>
      <c r="B484" s="96"/>
      <c r="C484" s="96"/>
      <c r="D484" s="72"/>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36" customHeight="1">
      <c r="A485" s="603" t="s">
        <v>127</v>
      </c>
      <c r="B485" s="595"/>
      <c r="C485" s="595"/>
      <c r="D485" s="596"/>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6.75" customHeight="1">
      <c r="A486" s="54"/>
      <c r="B486" s="54"/>
      <c r="C486" s="54"/>
      <c r="D486" s="55"/>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48" customHeight="1">
      <c r="A487" s="603" t="s">
        <v>36</v>
      </c>
      <c r="B487" s="595"/>
      <c r="C487" s="595"/>
      <c r="D487" s="596"/>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6.75" customHeight="1">
      <c r="A488" s="54"/>
      <c r="B488" s="54"/>
      <c r="C488" s="54"/>
      <c r="D488" s="55"/>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24" customHeight="1">
      <c r="A489" s="603" t="s">
        <v>79</v>
      </c>
      <c r="B489" s="595"/>
      <c r="C489" s="595"/>
      <c r="D489" s="596"/>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6.75" customHeight="1">
      <c r="A490" s="54"/>
      <c r="B490" s="54"/>
      <c r="C490" s="54"/>
      <c r="D490" s="55"/>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36" customHeight="1">
      <c r="A491" s="603" t="s">
        <v>38</v>
      </c>
      <c r="B491" s="595"/>
      <c r="C491" s="595"/>
      <c r="D491" s="596"/>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6.75" customHeight="1">
      <c r="A492" s="54"/>
      <c r="B492" s="54"/>
      <c r="C492" s="54"/>
      <c r="D492" s="55"/>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24" customHeight="1">
      <c r="A493" s="603" t="s">
        <v>128</v>
      </c>
      <c r="B493" s="595"/>
      <c r="C493" s="595"/>
      <c r="D493" s="596"/>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6" customHeight="1">
      <c r="A494" s="54"/>
      <c r="B494" s="63"/>
      <c r="C494" s="63"/>
      <c r="D494" s="6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 customHeight="1">
      <c r="A495" s="62" t="s">
        <v>129</v>
      </c>
      <c r="B495" s="63"/>
      <c r="C495" s="102" t="s">
        <v>41</v>
      </c>
      <c r="D495" s="300">
        <f>'Proposed Rates'!H347</f>
        <v>125.72</v>
      </c>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 customHeight="1">
      <c r="A496" s="62" t="s">
        <v>130</v>
      </c>
      <c r="B496" s="63"/>
      <c r="C496" s="102" t="s">
        <v>41</v>
      </c>
      <c r="D496" s="300">
        <f>'Proposed Rates'!H348</f>
        <v>50.29</v>
      </c>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 customHeight="1">
      <c r="A497" s="62" t="s">
        <v>131</v>
      </c>
      <c r="B497" s="63"/>
      <c r="C497" s="102" t="s">
        <v>132</v>
      </c>
      <c r="D497" s="300">
        <f>'Proposed Rates'!H349</f>
        <v>1.24</v>
      </c>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 customHeight="1">
      <c r="A498" s="62" t="s">
        <v>133</v>
      </c>
      <c r="B498" s="63"/>
      <c r="C498" s="102" t="s">
        <v>132</v>
      </c>
      <c r="D498" s="300">
        <f>'Proposed Rates'!H350</f>
        <v>0.74</v>
      </c>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 customHeight="1">
      <c r="A499" s="62" t="s">
        <v>134</v>
      </c>
      <c r="B499" s="63"/>
      <c r="C499" s="102" t="s">
        <v>132</v>
      </c>
      <c r="D499" s="300">
        <f>'Proposed Rates'!H351</f>
        <v>-0.74</v>
      </c>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 customHeight="1">
      <c r="A500" s="62" t="s">
        <v>135</v>
      </c>
      <c r="B500" s="63"/>
      <c r="C500" s="62"/>
      <c r="D500" s="300"/>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 customHeight="1">
      <c r="A501" s="62" t="s">
        <v>136</v>
      </c>
      <c r="B501" s="63"/>
      <c r="C501" s="102" t="s">
        <v>41</v>
      </c>
      <c r="D501" s="300">
        <f>'Proposed Rates'!H353</f>
        <v>0.63</v>
      </c>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 customHeight="1">
      <c r="A502" s="62" t="s">
        <v>137</v>
      </c>
      <c r="B502" s="63"/>
      <c r="C502" s="102" t="s">
        <v>41</v>
      </c>
      <c r="D502" s="300">
        <f>'Proposed Rates'!H354</f>
        <v>1.24</v>
      </c>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4.5" customHeight="1">
      <c r="A503" s="62"/>
      <c r="B503" s="63"/>
      <c r="C503" s="102"/>
      <c r="D503" s="300"/>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 customHeight="1">
      <c r="A504" s="62" t="s">
        <v>138</v>
      </c>
      <c r="B504" s="63"/>
      <c r="C504" s="105"/>
      <c r="D504" s="300"/>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 customHeight="1">
      <c r="A505" s="62" t="s">
        <v>139</v>
      </c>
      <c r="B505" s="63"/>
      <c r="C505" s="105"/>
      <c r="D505" s="300"/>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 customHeight="1">
      <c r="A506" s="62" t="s">
        <v>140</v>
      </c>
      <c r="B506" s="63"/>
      <c r="C506" s="105"/>
      <c r="D506" s="300"/>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 customHeight="1">
      <c r="A507" s="62" t="s">
        <v>141</v>
      </c>
      <c r="B507" s="63"/>
      <c r="C507" s="102" t="s">
        <v>41</v>
      </c>
      <c r="D507" s="300" t="str">
        <f>'Proposed Rates'!H358</f>
        <v>no charge</v>
      </c>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 customHeight="1">
      <c r="A508" s="62" t="s">
        <v>142</v>
      </c>
      <c r="B508" s="63"/>
      <c r="C508" s="102" t="s">
        <v>41</v>
      </c>
      <c r="D508" s="300">
        <f>'Proposed Rates'!H359</f>
        <v>5.03</v>
      </c>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4.5" customHeight="1">
      <c r="A509" s="62"/>
      <c r="B509" s="63"/>
      <c r="C509" s="102"/>
      <c r="D509" s="300"/>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 customHeight="1">
      <c r="A510" s="62" t="s">
        <v>143</v>
      </c>
      <c r="B510" s="63"/>
      <c r="C510" s="105"/>
      <c r="D510" s="300"/>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 customHeight="1">
      <c r="A511" s="62" t="s">
        <v>144</v>
      </c>
      <c r="B511" s="63"/>
      <c r="C511" s="102" t="s">
        <v>41</v>
      </c>
      <c r="D511" s="300">
        <f>'Proposed Rates'!H361</f>
        <v>2.5099999999999998</v>
      </c>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0.5" customHeight="1">
      <c r="A512" s="73"/>
      <c r="B512" s="73"/>
      <c r="C512" s="102"/>
      <c r="D512" s="92"/>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23.25" customHeight="1">
      <c r="A513" s="597" t="str">
        <f>$A$1</f>
        <v>Hydro Ottawa Limited</v>
      </c>
      <c r="B513" s="595"/>
      <c r="C513" s="595"/>
      <c r="D513" s="596"/>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8" customHeight="1">
      <c r="A514" s="598" t="str">
        <f>$A$2</f>
        <v>PROPOSED - TARIFF OF RATES AND CHARGES</v>
      </c>
      <c r="B514" s="595"/>
      <c r="C514" s="595"/>
      <c r="D514" s="596"/>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99" t="str">
        <f>$A$3</f>
        <v>Effective and Implementation Date January 1, 2028</v>
      </c>
      <c r="B515" s="595"/>
      <c r="C515" s="595"/>
      <c r="D515" s="596"/>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1.25" customHeight="1">
      <c r="A516" s="600" t="str">
        <f>$A$4</f>
        <v>This schedule supersedes and replaces all previously</v>
      </c>
      <c r="B516" s="595"/>
      <c r="C516" s="595"/>
      <c r="D516" s="596"/>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1.25" customHeight="1">
      <c r="A517" s="600" t="str">
        <f>$A$5</f>
        <v>approved schedules of Rates, Charges and Loss Factors</v>
      </c>
      <c r="B517" s="595"/>
      <c r="C517" s="595"/>
      <c r="D517" s="596"/>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1.25" customHeight="1">
      <c r="A518" s="601" t="str">
        <f>$A$6</f>
        <v>EB-2024-0115</v>
      </c>
      <c r="B518" s="595"/>
      <c r="C518" s="595"/>
      <c r="D518" s="596"/>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 customHeight="1">
      <c r="A519" s="106" t="s">
        <v>145</v>
      </c>
      <c r="B519" s="106"/>
      <c r="C519" s="107"/>
      <c r="D519" s="108"/>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6.75" customHeight="1">
      <c r="A520" s="106"/>
      <c r="B520" s="106"/>
      <c r="C520" s="107"/>
      <c r="D520" s="108"/>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22.5" customHeight="1">
      <c r="A521" s="605" t="s">
        <v>146</v>
      </c>
      <c r="B521" s="595"/>
      <c r="C521" s="595"/>
      <c r="D521" s="596"/>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1.25" customHeight="1">
      <c r="A522" s="607" t="s">
        <v>147</v>
      </c>
      <c r="B522" s="595"/>
      <c r="C522" s="596"/>
      <c r="D522" s="284">
        <f>'Proposed Rates'!H312</f>
        <v>1.0331999999999999</v>
      </c>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1.25" customHeight="1">
      <c r="A523" s="607" t="s">
        <v>148</v>
      </c>
      <c r="B523" s="595"/>
      <c r="C523" s="596"/>
      <c r="D523" s="284">
        <f>'Proposed Rates'!H313</f>
        <v>1.0149999999999999</v>
      </c>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1.25" customHeight="1">
      <c r="A524" s="607" t="s">
        <v>149</v>
      </c>
      <c r="B524" s="595"/>
      <c r="C524" s="596"/>
      <c r="D524" s="284">
        <f>'Proposed Rates'!H314</f>
        <v>1.0230999999999999</v>
      </c>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1.25" customHeight="1">
      <c r="A525" s="607" t="s">
        <v>150</v>
      </c>
      <c r="B525" s="595"/>
      <c r="C525" s="596"/>
      <c r="D525" s="284">
        <f>'Proposed Rates'!H315</f>
        <v>1.0047999999999999</v>
      </c>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c r="A526" s="53"/>
      <c r="B526" s="53"/>
      <c r="C526" s="53"/>
      <c r="D526" s="109"/>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109"/>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109"/>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109"/>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109"/>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109"/>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109"/>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109"/>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109"/>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109"/>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109"/>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109"/>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109"/>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109"/>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109"/>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109"/>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109"/>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109"/>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109"/>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109"/>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109"/>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109"/>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109"/>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109"/>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109"/>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109"/>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109"/>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109"/>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109"/>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109"/>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109"/>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109"/>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109"/>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109"/>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109"/>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109"/>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109"/>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109"/>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109"/>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109"/>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109"/>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109"/>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109"/>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109"/>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109"/>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109"/>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109"/>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109"/>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109"/>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109"/>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109"/>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109"/>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109"/>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109"/>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109"/>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109"/>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109"/>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109"/>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109"/>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109"/>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109"/>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109"/>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109"/>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109"/>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109"/>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109"/>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109"/>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109"/>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109"/>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109"/>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109"/>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109"/>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109"/>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109"/>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109"/>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109"/>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109"/>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109"/>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109"/>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109"/>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109"/>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109"/>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109"/>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109"/>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109"/>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109"/>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109"/>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109"/>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109"/>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109"/>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109"/>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109"/>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109"/>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109"/>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109"/>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109"/>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109"/>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109"/>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109"/>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109"/>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109"/>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109"/>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109"/>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109"/>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109"/>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109"/>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109"/>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109"/>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109"/>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109"/>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109"/>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109"/>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109"/>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109"/>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109"/>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109"/>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109"/>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109"/>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109"/>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109"/>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109"/>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109"/>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109"/>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109"/>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c r="A650" s="53"/>
      <c r="B650" s="53"/>
      <c r="C650" s="53"/>
      <c r="D650" s="109"/>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c r="A651" s="53"/>
      <c r="B651" s="53"/>
      <c r="C651" s="53"/>
      <c r="D651" s="109"/>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109"/>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109"/>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109"/>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109"/>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109"/>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109"/>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109"/>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109"/>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109"/>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109"/>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109"/>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109"/>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109"/>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109"/>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109"/>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109"/>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109"/>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109"/>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109"/>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109"/>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109"/>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109"/>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109"/>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109"/>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109"/>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109"/>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109"/>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109"/>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109"/>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109"/>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109"/>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109"/>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109"/>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109"/>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109"/>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109"/>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109"/>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109"/>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109"/>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109"/>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109"/>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109"/>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109"/>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109"/>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109"/>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109"/>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109"/>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109"/>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109"/>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109"/>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109"/>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109"/>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109"/>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109"/>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109"/>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109"/>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109"/>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109"/>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109"/>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109"/>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109"/>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109"/>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109"/>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109"/>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109"/>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109"/>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109"/>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109"/>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109"/>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109"/>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109"/>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109"/>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109"/>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109"/>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row r="727" spans="1:26" ht="15.75" customHeight="1"/>
    <row r="728" spans="1:26" ht="15.75" customHeight="1"/>
    <row r="729" spans="1:26" ht="15.75" customHeight="1"/>
    <row r="730" spans="1:26" ht="15.75" customHeight="1"/>
    <row r="731" spans="1:26" ht="15.75" customHeight="1"/>
    <row r="732" spans="1:26" ht="15.75" customHeight="1"/>
    <row r="733" spans="1:26" ht="15.75" customHeight="1"/>
    <row r="734" spans="1:26" ht="15.75" customHeight="1"/>
    <row r="735" spans="1:26" ht="15.75" customHeight="1"/>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7">
    <mergeCell ref="A404:D404"/>
    <mergeCell ref="A406:D406"/>
    <mergeCell ref="A408:B408"/>
    <mergeCell ref="A410:D410"/>
    <mergeCell ref="A411:D411"/>
    <mergeCell ref="A412:D412"/>
    <mergeCell ref="A413:D413"/>
    <mergeCell ref="A414:D414"/>
    <mergeCell ref="A415:D415"/>
    <mergeCell ref="A440:D440"/>
    <mergeCell ref="A441:D441"/>
    <mergeCell ref="A444:D444"/>
    <mergeCell ref="A446:D446"/>
    <mergeCell ref="A416:D416"/>
    <mergeCell ref="A417:D417"/>
    <mergeCell ref="A419:D419"/>
    <mergeCell ref="A421:D421"/>
    <mergeCell ref="A423:D423"/>
    <mergeCell ref="A425:D425"/>
    <mergeCell ref="A427:D427"/>
    <mergeCell ref="A429:D429"/>
    <mergeCell ref="A431:B431"/>
    <mergeCell ref="A483:D483"/>
    <mergeCell ref="A485:D485"/>
    <mergeCell ref="A487:D487"/>
    <mergeCell ref="A489:D489"/>
    <mergeCell ref="A491:D491"/>
    <mergeCell ref="A493:D493"/>
    <mergeCell ref="A513:D513"/>
    <mergeCell ref="A523:C523"/>
    <mergeCell ref="A479:D479"/>
    <mergeCell ref="A480:D480"/>
    <mergeCell ref="A481:D481"/>
    <mergeCell ref="A482:D482"/>
    <mergeCell ref="A524:C524"/>
    <mergeCell ref="A525:C525"/>
    <mergeCell ref="A514:D514"/>
    <mergeCell ref="A515:D515"/>
    <mergeCell ref="A516:D516"/>
    <mergeCell ref="A517:D517"/>
    <mergeCell ref="A518:D518"/>
    <mergeCell ref="A521:D521"/>
    <mergeCell ref="A522:C522"/>
    <mergeCell ref="A184:D184"/>
    <mergeCell ref="A203:D203"/>
    <mergeCell ref="A204:D204"/>
    <mergeCell ref="A205:D205"/>
    <mergeCell ref="A206:D206"/>
    <mergeCell ref="A207:D207"/>
    <mergeCell ref="A208:D208"/>
    <mergeCell ref="A209:D209"/>
    <mergeCell ref="A210:D210"/>
    <mergeCell ref="A212:D212"/>
    <mergeCell ref="A214:D214"/>
    <mergeCell ref="A216:D216"/>
    <mergeCell ref="A218:D218"/>
    <mergeCell ref="A220:D220"/>
    <mergeCell ref="A240:D240"/>
    <mergeCell ref="A241:D241"/>
    <mergeCell ref="A242:D242"/>
    <mergeCell ref="A243:D243"/>
    <mergeCell ref="A244:D244"/>
    <mergeCell ref="A245:D245"/>
    <mergeCell ref="A246:D246"/>
    <mergeCell ref="A247:D247"/>
    <mergeCell ref="A249:D249"/>
    <mergeCell ref="A251:D251"/>
    <mergeCell ref="A253:D253"/>
    <mergeCell ref="A255:D255"/>
    <mergeCell ref="A257:D257"/>
    <mergeCell ref="A259:D259"/>
    <mergeCell ref="A266:D266"/>
    <mergeCell ref="A267:D267"/>
    <mergeCell ref="A268:D268"/>
    <mergeCell ref="A269:D269"/>
    <mergeCell ref="A270:D270"/>
    <mergeCell ref="A271:D271"/>
    <mergeCell ref="A272:D272"/>
    <mergeCell ref="A273:D273"/>
    <mergeCell ref="A450:D450"/>
    <mergeCell ref="A477:B477"/>
    <mergeCell ref="A478:D478"/>
    <mergeCell ref="A304:D304"/>
    <mergeCell ref="A305:D305"/>
    <mergeCell ref="A306:D306"/>
    <mergeCell ref="A307:D307"/>
    <mergeCell ref="A308:D308"/>
    <mergeCell ref="A309:D309"/>
    <mergeCell ref="A310:D310"/>
    <mergeCell ref="A312:D312"/>
    <mergeCell ref="A314:D314"/>
    <mergeCell ref="A316:D316"/>
    <mergeCell ref="A318:D318"/>
    <mergeCell ref="A320:D320"/>
    <mergeCell ref="A322:D322"/>
    <mergeCell ref="A341:D341"/>
    <mergeCell ref="A342:D342"/>
    <mergeCell ref="A448:D448"/>
    <mergeCell ref="A434:B434"/>
    <mergeCell ref="A436:D436"/>
    <mergeCell ref="A437:D437"/>
    <mergeCell ref="A438:D438"/>
    <mergeCell ref="A439:D439"/>
    <mergeCell ref="A44:D44"/>
    <mergeCell ref="A45:D45"/>
    <mergeCell ref="A46:D46"/>
    <mergeCell ref="A48:D48"/>
    <mergeCell ref="A50:D50"/>
    <mergeCell ref="A142:D142"/>
    <mergeCell ref="A162:D162"/>
    <mergeCell ref="A163:D163"/>
    <mergeCell ref="A164:D164"/>
    <mergeCell ref="A127:D127"/>
    <mergeCell ref="A129:D129"/>
    <mergeCell ref="A131:D131"/>
    <mergeCell ref="A133:D133"/>
    <mergeCell ref="A135:D135"/>
    <mergeCell ref="A137:D137"/>
    <mergeCell ref="A138:D138"/>
    <mergeCell ref="A139:D139"/>
    <mergeCell ref="A140:D140"/>
    <mergeCell ref="A98:D98"/>
    <mergeCell ref="A100:D100"/>
    <mergeCell ref="A120:D120"/>
    <mergeCell ref="A121:D121"/>
    <mergeCell ref="A122:D122"/>
    <mergeCell ref="A123:D123"/>
    <mergeCell ref="A12:D12"/>
    <mergeCell ref="A14:D14"/>
    <mergeCell ref="A16:D16"/>
    <mergeCell ref="A18:D18"/>
    <mergeCell ref="A39:D39"/>
    <mergeCell ref="A40:D40"/>
    <mergeCell ref="A41:D41"/>
    <mergeCell ref="A42:D42"/>
    <mergeCell ref="A43:D43"/>
    <mergeCell ref="A1:D1"/>
    <mergeCell ref="A2:D2"/>
    <mergeCell ref="A3:D3"/>
    <mergeCell ref="A4:D4"/>
    <mergeCell ref="A5:D5"/>
    <mergeCell ref="A6:D6"/>
    <mergeCell ref="A7:D7"/>
    <mergeCell ref="A8:D8"/>
    <mergeCell ref="A10:D10"/>
    <mergeCell ref="A52:D52"/>
    <mergeCell ref="A54:D54"/>
    <mergeCell ref="A56:D56"/>
    <mergeCell ref="A58:D58"/>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173:D173"/>
    <mergeCell ref="A175:D175"/>
    <mergeCell ref="A177:D177"/>
    <mergeCell ref="A179:D179"/>
    <mergeCell ref="A180:D180"/>
    <mergeCell ref="A181:D181"/>
    <mergeCell ref="A182:D182"/>
    <mergeCell ref="A303:D303"/>
    <mergeCell ref="A171:D171"/>
    <mergeCell ref="A165:D165"/>
    <mergeCell ref="A166:D166"/>
    <mergeCell ref="A167:D167"/>
    <mergeCell ref="A168:D168"/>
    <mergeCell ref="A169:D169"/>
    <mergeCell ref="A124:D124"/>
    <mergeCell ref="A125:D125"/>
    <mergeCell ref="A126:D126"/>
    <mergeCell ref="A275:D275"/>
    <mergeCell ref="A277:D277"/>
    <mergeCell ref="A279:D279"/>
    <mergeCell ref="A281:D281"/>
    <mergeCell ref="A283:D283"/>
    <mergeCell ref="A285:D285"/>
    <mergeCell ref="A343:D343"/>
    <mergeCell ref="A344:D344"/>
    <mergeCell ref="A345:D345"/>
    <mergeCell ref="A346:D346"/>
    <mergeCell ref="A347:D347"/>
    <mergeCell ref="A348:D348"/>
    <mergeCell ref="A350:D350"/>
    <mergeCell ref="A352:D352"/>
    <mergeCell ref="A354:D354"/>
    <mergeCell ref="A356:D356"/>
    <mergeCell ref="A358:D358"/>
    <mergeCell ref="A360:D360"/>
    <mergeCell ref="A362:B362"/>
    <mergeCell ref="A364:D364"/>
    <mergeCell ref="A365:D365"/>
    <mergeCell ref="A366:D366"/>
    <mergeCell ref="A367:D367"/>
    <mergeCell ref="A368:D368"/>
    <mergeCell ref="A369:D369"/>
    <mergeCell ref="A370:D370"/>
    <mergeCell ref="A371:D371"/>
    <mergeCell ref="A373:D373"/>
    <mergeCell ref="A375:D375"/>
    <mergeCell ref="A377:D377"/>
    <mergeCell ref="A379:D379"/>
    <mergeCell ref="A381:D381"/>
    <mergeCell ref="A383:D383"/>
    <mergeCell ref="A396:D396"/>
    <mergeCell ref="A398:D398"/>
    <mergeCell ref="A400:D400"/>
    <mergeCell ref="A402:D402"/>
    <mergeCell ref="A385:B385"/>
    <mergeCell ref="A387:D387"/>
    <mergeCell ref="A388:D388"/>
    <mergeCell ref="A389:D389"/>
    <mergeCell ref="A390:D390"/>
    <mergeCell ref="A391:D391"/>
    <mergeCell ref="A392:D392"/>
    <mergeCell ref="A393:D393"/>
    <mergeCell ref="A394:D394"/>
  </mergeCells>
  <pageMargins left="0.7" right="0.7" top="0.75" bottom="0.75" header="0" footer="0"/>
  <pageSetup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election sqref="A1:D1"/>
    </sheetView>
  </sheetViews>
  <sheetFormatPr defaultColWidth="12.5703125" defaultRowHeight="15" customHeight="1"/>
  <cols>
    <col min="1" max="1" width="70.42578125" customWidth="1"/>
    <col min="2" max="2" width="16.42578125" customWidth="1"/>
    <col min="3" max="3" width="10.42578125" customWidth="1"/>
    <col min="4" max="4" width="9.42578125" customWidth="1"/>
    <col min="5" max="24" width="9.140625" customWidth="1"/>
  </cols>
  <sheetData>
    <row r="1" spans="1:26" ht="23.25" customHeight="1">
      <c r="A1" s="597" t="s">
        <v>26</v>
      </c>
      <c r="B1" s="595"/>
      <c r="C1" s="595"/>
      <c r="D1" s="596"/>
      <c r="E1" s="53"/>
      <c r="F1" s="53"/>
      <c r="G1" s="53"/>
      <c r="H1" s="53"/>
      <c r="I1" s="53"/>
      <c r="J1" s="53"/>
      <c r="K1" s="53"/>
      <c r="L1" s="53"/>
      <c r="M1" s="53"/>
      <c r="N1" s="53"/>
      <c r="O1" s="53"/>
      <c r="P1" s="53"/>
      <c r="Q1" s="53"/>
      <c r="R1" s="53"/>
      <c r="S1" s="53"/>
      <c r="T1" s="53"/>
      <c r="U1" s="53"/>
      <c r="V1" s="53"/>
      <c r="W1" s="53"/>
      <c r="X1" s="53"/>
      <c r="Y1" s="53"/>
      <c r="Z1" s="53"/>
    </row>
    <row r="2" spans="1:26" ht="18" customHeight="1">
      <c r="A2" s="598" t="s">
        <v>27</v>
      </c>
      <c r="B2" s="595"/>
      <c r="C2" s="595"/>
      <c r="D2" s="596"/>
      <c r="E2" s="53"/>
      <c r="F2" s="53"/>
      <c r="G2" s="53"/>
      <c r="H2" s="53"/>
      <c r="I2" s="53"/>
      <c r="J2" s="53"/>
      <c r="K2" s="53"/>
      <c r="L2" s="53"/>
      <c r="M2" s="53"/>
      <c r="N2" s="53"/>
      <c r="O2" s="53"/>
      <c r="P2" s="53"/>
      <c r="Q2" s="53"/>
      <c r="R2" s="53"/>
      <c r="S2" s="53"/>
      <c r="T2" s="53"/>
      <c r="U2" s="53"/>
      <c r="V2" s="53"/>
      <c r="W2" s="53"/>
      <c r="X2" s="53"/>
      <c r="Y2" s="53"/>
      <c r="Z2" s="53"/>
    </row>
    <row r="3" spans="1:26" ht="15.75" customHeight="1">
      <c r="A3" s="599" t="s">
        <v>212</v>
      </c>
      <c r="B3" s="595"/>
      <c r="C3" s="595"/>
      <c r="D3" s="596"/>
      <c r="E3" s="53"/>
      <c r="F3" s="53"/>
      <c r="G3" s="53"/>
      <c r="H3" s="53"/>
      <c r="I3" s="53"/>
      <c r="J3" s="53"/>
      <c r="K3" s="53"/>
      <c r="L3" s="53"/>
      <c r="M3" s="53"/>
      <c r="N3" s="53"/>
      <c r="O3" s="53"/>
      <c r="P3" s="53"/>
      <c r="Q3" s="53"/>
      <c r="R3" s="53"/>
      <c r="S3" s="53"/>
      <c r="T3" s="53"/>
      <c r="U3" s="53"/>
      <c r="V3" s="53"/>
      <c r="W3" s="53"/>
      <c r="X3" s="53"/>
      <c r="Y3" s="53"/>
      <c r="Z3" s="53"/>
    </row>
    <row r="4" spans="1:26" ht="11.25" customHeight="1">
      <c r="A4" s="600" t="s">
        <v>29</v>
      </c>
      <c r="B4" s="595"/>
      <c r="C4" s="595"/>
      <c r="D4" s="596"/>
      <c r="E4" s="53"/>
      <c r="F4" s="53"/>
      <c r="G4" s="53"/>
      <c r="H4" s="53"/>
      <c r="I4" s="53"/>
      <c r="J4" s="53"/>
      <c r="K4" s="53"/>
      <c r="L4" s="53"/>
      <c r="M4" s="53"/>
      <c r="N4" s="53"/>
      <c r="O4" s="53"/>
      <c r="P4" s="53"/>
      <c r="Q4" s="53"/>
      <c r="R4" s="53"/>
      <c r="S4" s="53"/>
      <c r="T4" s="53"/>
      <c r="U4" s="53"/>
      <c r="V4" s="53"/>
      <c r="W4" s="53"/>
      <c r="X4" s="53"/>
      <c r="Y4" s="53"/>
      <c r="Z4" s="53"/>
    </row>
    <row r="5" spans="1:26" ht="11.25" customHeight="1">
      <c r="A5" s="600" t="s">
        <v>30</v>
      </c>
      <c r="B5" s="595"/>
      <c r="C5" s="595"/>
      <c r="D5" s="596"/>
      <c r="E5" s="53"/>
      <c r="F5" s="53"/>
      <c r="G5" s="53"/>
      <c r="H5" s="53"/>
      <c r="I5" s="53"/>
      <c r="J5" s="53"/>
      <c r="K5" s="53"/>
      <c r="L5" s="53"/>
      <c r="M5" s="53"/>
      <c r="N5" s="53"/>
      <c r="O5" s="53"/>
      <c r="P5" s="53"/>
      <c r="Q5" s="53"/>
      <c r="R5" s="53"/>
      <c r="S5" s="53"/>
      <c r="T5" s="53"/>
      <c r="U5" s="53"/>
      <c r="V5" s="53"/>
      <c r="W5" s="53"/>
      <c r="X5" s="53"/>
      <c r="Y5" s="53"/>
      <c r="Z5" s="53"/>
    </row>
    <row r="6" spans="1:26" ht="11.25" customHeight="1">
      <c r="A6" s="601" t="s">
        <v>31</v>
      </c>
      <c r="B6" s="595"/>
      <c r="C6" s="595"/>
      <c r="D6" s="596"/>
      <c r="E6" s="53"/>
      <c r="F6" s="53"/>
      <c r="G6" s="53"/>
      <c r="H6" s="53"/>
      <c r="I6" s="53"/>
      <c r="J6" s="53"/>
      <c r="K6" s="53"/>
      <c r="L6" s="53"/>
      <c r="M6" s="53"/>
      <c r="N6" s="53"/>
      <c r="O6" s="53"/>
      <c r="P6" s="53"/>
      <c r="Q6" s="53"/>
      <c r="R6" s="53"/>
      <c r="S6" s="53"/>
      <c r="T6" s="53"/>
      <c r="U6" s="53"/>
      <c r="V6" s="53"/>
      <c r="W6" s="53"/>
      <c r="X6" s="53"/>
      <c r="Y6" s="53"/>
      <c r="Z6" s="53"/>
    </row>
    <row r="7" spans="1:26" ht="18.75" customHeight="1">
      <c r="A7" s="602" t="s">
        <v>32</v>
      </c>
      <c r="B7" s="595"/>
      <c r="C7" s="595"/>
      <c r="D7" s="596"/>
      <c r="E7" s="53"/>
      <c r="F7" s="53"/>
      <c r="G7" s="53"/>
      <c r="H7" s="53"/>
      <c r="I7" s="53"/>
      <c r="J7" s="53"/>
      <c r="K7" s="53"/>
      <c r="L7" s="53"/>
      <c r="M7" s="53"/>
      <c r="N7" s="53"/>
      <c r="O7" s="53"/>
      <c r="P7" s="53"/>
      <c r="Q7" s="53"/>
      <c r="R7" s="53"/>
      <c r="S7" s="53"/>
      <c r="T7" s="53"/>
      <c r="U7" s="53"/>
      <c r="V7" s="53"/>
      <c r="W7" s="53"/>
      <c r="X7" s="53"/>
      <c r="Y7" s="53"/>
      <c r="Z7" s="53"/>
    </row>
    <row r="8" spans="1:26" ht="72" customHeight="1">
      <c r="A8" s="603" t="s">
        <v>33</v>
      </c>
      <c r="B8" s="595"/>
      <c r="C8" s="595"/>
      <c r="D8" s="596"/>
      <c r="E8" s="53"/>
      <c r="F8" s="301"/>
      <c r="G8" s="53"/>
      <c r="H8" s="53"/>
      <c r="I8" s="53"/>
      <c r="J8" s="53"/>
      <c r="K8" s="53"/>
      <c r="L8" s="53"/>
      <c r="M8" s="53"/>
      <c r="N8" s="53"/>
      <c r="O8" s="53"/>
      <c r="P8" s="53"/>
      <c r="Q8" s="53"/>
      <c r="R8" s="53"/>
      <c r="S8" s="53"/>
      <c r="T8" s="53"/>
      <c r="U8" s="53"/>
      <c r="V8" s="53"/>
      <c r="W8" s="53"/>
      <c r="X8" s="53"/>
      <c r="Y8" s="53"/>
      <c r="Z8" s="53"/>
    </row>
    <row r="9" spans="1:26" ht="6.75" customHeight="1">
      <c r="A9" s="54"/>
      <c r="B9" s="54"/>
      <c r="C9" s="54"/>
      <c r="D9" s="55"/>
      <c r="E9" s="53"/>
      <c r="F9" s="53"/>
      <c r="G9" s="53"/>
      <c r="H9" s="53"/>
      <c r="I9" s="53"/>
      <c r="J9" s="53"/>
      <c r="K9" s="53"/>
      <c r="L9" s="53"/>
      <c r="M9" s="53"/>
      <c r="N9" s="53"/>
      <c r="O9" s="53"/>
      <c r="P9" s="53"/>
      <c r="Q9" s="53"/>
      <c r="R9" s="53"/>
      <c r="S9" s="53"/>
      <c r="T9" s="53"/>
      <c r="U9" s="53"/>
      <c r="V9" s="53"/>
      <c r="W9" s="53"/>
      <c r="X9" s="53"/>
      <c r="Y9" s="53"/>
      <c r="Z9" s="53"/>
    </row>
    <row r="10" spans="1:26" ht="11.25" customHeight="1">
      <c r="A10" s="604" t="s">
        <v>34</v>
      </c>
      <c r="B10" s="595"/>
      <c r="C10" s="595"/>
      <c r="D10" s="596"/>
      <c r="E10" s="53"/>
      <c r="F10" s="53"/>
      <c r="G10" s="53"/>
      <c r="H10" s="53"/>
      <c r="I10" s="53"/>
      <c r="J10" s="53"/>
      <c r="K10" s="53"/>
      <c r="L10" s="53"/>
      <c r="M10" s="53"/>
      <c r="N10" s="53"/>
      <c r="O10" s="53"/>
      <c r="P10" s="53"/>
      <c r="Q10" s="53"/>
      <c r="R10" s="53"/>
      <c r="S10" s="53"/>
      <c r="T10" s="53"/>
      <c r="U10" s="53"/>
      <c r="V10" s="53"/>
      <c r="W10" s="53"/>
      <c r="X10" s="53"/>
      <c r="Y10" s="53"/>
      <c r="Z10" s="53"/>
    </row>
    <row r="11" spans="1:26" ht="6.75" customHeight="1">
      <c r="A11" s="56"/>
      <c r="B11" s="57"/>
      <c r="C11" s="57"/>
      <c r="D11" s="58"/>
      <c r="E11" s="53"/>
      <c r="F11" s="53"/>
      <c r="G11" s="53"/>
      <c r="H11" s="53"/>
      <c r="I11" s="53"/>
      <c r="J11" s="53"/>
      <c r="K11" s="53"/>
      <c r="L11" s="53"/>
      <c r="M11" s="53"/>
      <c r="N11" s="53"/>
      <c r="O11" s="53"/>
      <c r="P11" s="53"/>
      <c r="Q11" s="53"/>
      <c r="R11" s="53"/>
      <c r="S11" s="53"/>
      <c r="T11" s="53"/>
      <c r="U11" s="53"/>
      <c r="V11" s="53"/>
      <c r="W11" s="53"/>
      <c r="X11" s="53"/>
      <c r="Y11" s="53"/>
      <c r="Z11" s="53"/>
    </row>
    <row r="12" spans="1:26" ht="36" customHeight="1">
      <c r="A12" s="603" t="s">
        <v>35</v>
      </c>
      <c r="B12" s="595"/>
      <c r="C12" s="595"/>
      <c r="D12" s="596"/>
      <c r="E12" s="53"/>
      <c r="F12" s="53"/>
      <c r="G12" s="53"/>
      <c r="H12" s="53"/>
      <c r="I12" s="53"/>
      <c r="J12" s="53"/>
      <c r="K12" s="53"/>
      <c r="L12" s="53"/>
      <c r="M12" s="53"/>
      <c r="N12" s="53"/>
      <c r="O12" s="53"/>
      <c r="P12" s="53"/>
      <c r="Q12" s="53"/>
      <c r="R12" s="53"/>
      <c r="S12" s="53"/>
      <c r="T12" s="53"/>
      <c r="U12" s="53"/>
      <c r="V12" s="53"/>
      <c r="W12" s="53"/>
      <c r="X12" s="53"/>
      <c r="Y12" s="53"/>
      <c r="Z12" s="53"/>
    </row>
    <row r="13" spans="1:26" ht="6.75" customHeight="1">
      <c r="A13" s="54"/>
      <c r="B13" s="54"/>
      <c r="C13" s="54"/>
      <c r="D13" s="55"/>
      <c r="E13" s="53"/>
      <c r="F13" s="53"/>
      <c r="G13" s="53"/>
      <c r="H13" s="53"/>
      <c r="I13" s="53"/>
      <c r="J13" s="53"/>
      <c r="K13" s="53"/>
      <c r="L13" s="53"/>
      <c r="M13" s="53"/>
      <c r="N13" s="53"/>
      <c r="O13" s="53"/>
      <c r="P13" s="53"/>
      <c r="Q13" s="53"/>
      <c r="R13" s="53"/>
      <c r="S13" s="53"/>
      <c r="T13" s="53"/>
      <c r="U13" s="53"/>
      <c r="V13" s="53"/>
      <c r="W13" s="53"/>
      <c r="X13" s="53"/>
      <c r="Y13" s="53"/>
      <c r="Z13" s="53"/>
    </row>
    <row r="14" spans="1:26" ht="48" customHeight="1">
      <c r="A14" s="603" t="s">
        <v>36</v>
      </c>
      <c r="B14" s="595"/>
      <c r="C14" s="595"/>
      <c r="D14" s="596"/>
      <c r="E14" s="53"/>
      <c r="F14" s="53"/>
      <c r="G14" s="53"/>
      <c r="H14" s="53"/>
      <c r="I14" s="53"/>
      <c r="J14" s="53"/>
      <c r="K14" s="53"/>
      <c r="L14" s="53"/>
      <c r="M14" s="53"/>
      <c r="N14" s="53"/>
      <c r="O14" s="53"/>
      <c r="P14" s="53"/>
      <c r="Q14" s="53"/>
      <c r="R14" s="53"/>
      <c r="S14" s="53"/>
      <c r="T14" s="53"/>
      <c r="U14" s="53"/>
      <c r="V14" s="53"/>
      <c r="W14" s="53"/>
      <c r="X14" s="53"/>
      <c r="Y14" s="53"/>
      <c r="Z14" s="53"/>
    </row>
    <row r="15" spans="1:26" ht="6.75" customHeight="1">
      <c r="A15" s="54"/>
      <c r="B15" s="54"/>
      <c r="C15" s="54"/>
      <c r="D15" s="55"/>
      <c r="E15" s="53"/>
      <c r="F15" s="53"/>
      <c r="G15" s="53"/>
      <c r="H15" s="53"/>
      <c r="I15" s="53"/>
      <c r="J15" s="53"/>
      <c r="K15" s="53"/>
      <c r="L15" s="53"/>
      <c r="M15" s="53"/>
      <c r="N15" s="53"/>
      <c r="O15" s="53"/>
      <c r="P15" s="53"/>
      <c r="Q15" s="53"/>
      <c r="R15" s="53"/>
      <c r="S15" s="53"/>
      <c r="T15" s="53"/>
      <c r="U15" s="53"/>
      <c r="V15" s="53"/>
      <c r="W15" s="53"/>
      <c r="X15" s="53"/>
      <c r="Y15" s="53"/>
      <c r="Z15" s="53"/>
    </row>
    <row r="16" spans="1:26" ht="48" customHeight="1">
      <c r="A16" s="603" t="s">
        <v>37</v>
      </c>
      <c r="B16" s="595"/>
      <c r="C16" s="595"/>
      <c r="D16" s="596"/>
      <c r="E16" s="53"/>
      <c r="F16" s="53"/>
      <c r="G16" s="53"/>
      <c r="H16" s="53"/>
      <c r="I16" s="53"/>
      <c r="J16" s="53"/>
      <c r="K16" s="53"/>
      <c r="L16" s="53"/>
      <c r="M16" s="53"/>
      <c r="N16" s="53"/>
      <c r="O16" s="53"/>
      <c r="P16" s="53"/>
      <c r="Q16" s="53"/>
      <c r="R16" s="53"/>
      <c r="S16" s="53"/>
      <c r="T16" s="53"/>
      <c r="U16" s="53"/>
      <c r="V16" s="53"/>
      <c r="W16" s="53"/>
      <c r="X16" s="53"/>
      <c r="Y16" s="53"/>
      <c r="Z16" s="53"/>
    </row>
    <row r="17" spans="1:26" ht="6.75" customHeight="1">
      <c r="A17" s="54"/>
      <c r="B17" s="54"/>
      <c r="C17" s="54"/>
      <c r="D17" s="55"/>
      <c r="E17" s="53"/>
      <c r="F17" s="53"/>
      <c r="G17" s="53"/>
      <c r="H17" s="53"/>
      <c r="I17" s="53"/>
      <c r="J17" s="53"/>
      <c r="K17" s="53"/>
      <c r="L17" s="53"/>
      <c r="M17" s="53"/>
      <c r="N17" s="53"/>
      <c r="O17" s="53"/>
      <c r="P17" s="53"/>
      <c r="Q17" s="53"/>
      <c r="R17" s="53"/>
      <c r="S17" s="53"/>
      <c r="T17" s="53"/>
      <c r="U17" s="53"/>
      <c r="V17" s="53"/>
      <c r="W17" s="53"/>
      <c r="X17" s="53"/>
      <c r="Y17" s="53"/>
      <c r="Z17" s="53"/>
    </row>
    <row r="18" spans="1:26" ht="36" customHeight="1">
      <c r="A18" s="603" t="s">
        <v>38</v>
      </c>
      <c r="B18" s="595"/>
      <c r="C18" s="595"/>
      <c r="D18" s="596"/>
      <c r="E18" s="53"/>
      <c r="F18" s="53"/>
      <c r="G18" s="53"/>
      <c r="H18" s="53"/>
      <c r="I18" s="53"/>
      <c r="J18" s="53"/>
      <c r="K18" s="53"/>
      <c r="L18" s="53"/>
      <c r="M18" s="53"/>
      <c r="N18" s="53"/>
      <c r="O18" s="53"/>
      <c r="P18" s="53"/>
      <c r="Q18" s="53"/>
      <c r="R18" s="53"/>
      <c r="S18" s="53"/>
      <c r="T18" s="53"/>
      <c r="U18" s="53"/>
      <c r="V18" s="53"/>
      <c r="W18" s="53"/>
      <c r="X18" s="53"/>
      <c r="Y18" s="53"/>
      <c r="Z18" s="53"/>
    </row>
    <row r="19" spans="1:26" ht="6.75" customHeight="1">
      <c r="A19" s="54"/>
      <c r="B19" s="54"/>
      <c r="C19" s="54"/>
      <c r="D19" s="55"/>
      <c r="E19" s="53"/>
      <c r="F19" s="53"/>
      <c r="G19" s="53"/>
      <c r="H19" s="53"/>
      <c r="I19" s="53"/>
      <c r="J19" s="53"/>
      <c r="K19" s="53"/>
      <c r="L19" s="53"/>
      <c r="M19" s="53"/>
      <c r="N19" s="53"/>
      <c r="O19" s="53"/>
      <c r="P19" s="53"/>
      <c r="Q19" s="53"/>
      <c r="R19" s="53"/>
      <c r="S19" s="53"/>
      <c r="T19" s="53"/>
      <c r="U19" s="53"/>
      <c r="V19" s="53"/>
      <c r="W19" s="53"/>
      <c r="X19" s="53"/>
      <c r="Y19" s="53"/>
      <c r="Z19" s="53"/>
    </row>
    <row r="20" spans="1:26" ht="15" customHeight="1">
      <c r="A20" s="70" t="s">
        <v>39</v>
      </c>
      <c r="B20" s="63"/>
      <c r="C20" s="63"/>
      <c r="D20" s="63"/>
      <c r="E20" s="53"/>
      <c r="F20" s="53"/>
      <c r="G20" s="53"/>
      <c r="H20" s="53"/>
      <c r="I20" s="53"/>
      <c r="J20" s="53"/>
      <c r="K20" s="53"/>
      <c r="L20" s="53"/>
      <c r="M20" s="53"/>
      <c r="N20" s="53"/>
      <c r="O20" s="53"/>
      <c r="P20" s="53"/>
      <c r="Q20" s="53"/>
      <c r="R20" s="53"/>
      <c r="S20" s="53"/>
      <c r="T20" s="53"/>
      <c r="U20" s="53"/>
      <c r="V20" s="53"/>
      <c r="W20" s="53"/>
      <c r="X20" s="53"/>
      <c r="Y20" s="53"/>
      <c r="Z20" s="53"/>
    </row>
    <row r="21" spans="1:26" ht="6" customHeight="1">
      <c r="A21" s="59"/>
      <c r="B21" s="60"/>
      <c r="C21" s="60"/>
      <c r="D21" s="61"/>
      <c r="E21" s="53"/>
      <c r="F21" s="53"/>
      <c r="G21" s="53"/>
      <c r="H21" s="53"/>
      <c r="I21" s="53"/>
      <c r="J21" s="53"/>
      <c r="K21" s="53"/>
      <c r="L21" s="53"/>
      <c r="M21" s="53"/>
      <c r="N21" s="53"/>
      <c r="O21" s="53"/>
      <c r="P21" s="53"/>
      <c r="Q21" s="53"/>
      <c r="R21" s="53"/>
      <c r="S21" s="53"/>
      <c r="T21" s="53"/>
      <c r="U21" s="53"/>
      <c r="V21" s="53"/>
      <c r="W21" s="53"/>
      <c r="X21" s="53"/>
      <c r="Y21" s="53"/>
      <c r="Z21" s="53"/>
    </row>
    <row r="22" spans="1:26" ht="12" customHeight="1">
      <c r="A22" s="62" t="s">
        <v>40</v>
      </c>
      <c r="B22" s="63"/>
      <c r="C22" s="64" t="s">
        <v>41</v>
      </c>
      <c r="D22" s="280">
        <f>'Proposed Rates'!I8</f>
        <v>51.15</v>
      </c>
      <c r="E22" s="53"/>
      <c r="F22" s="53"/>
      <c r="G22" s="53"/>
      <c r="H22" s="53"/>
      <c r="I22" s="53"/>
      <c r="J22" s="53"/>
      <c r="K22" s="53"/>
      <c r="L22" s="53"/>
      <c r="M22" s="53"/>
      <c r="N22" s="53"/>
      <c r="O22" s="53"/>
      <c r="P22" s="53"/>
      <c r="Q22" s="53"/>
      <c r="R22" s="53"/>
      <c r="S22" s="53"/>
      <c r="T22" s="53"/>
      <c r="U22" s="53"/>
      <c r="V22" s="53"/>
      <c r="W22" s="53"/>
      <c r="X22" s="53"/>
      <c r="Y22" s="53"/>
      <c r="Z22" s="53"/>
    </row>
    <row r="23" spans="1:26" ht="12" hidden="1" customHeight="1">
      <c r="A23" s="62" t="s">
        <v>42</v>
      </c>
      <c r="B23" s="63"/>
      <c r="C23" s="64" t="s">
        <v>41</v>
      </c>
      <c r="D23" s="281">
        <f>'Proposed Rates'!I90</f>
        <v>0</v>
      </c>
      <c r="E23" s="53"/>
      <c r="F23" s="53"/>
      <c r="G23" s="53"/>
      <c r="H23" s="53"/>
      <c r="I23" s="53"/>
      <c r="J23" s="53"/>
      <c r="K23" s="53"/>
      <c r="L23" s="53"/>
      <c r="M23" s="53"/>
      <c r="N23" s="53"/>
      <c r="O23" s="53"/>
      <c r="P23" s="53"/>
      <c r="Q23" s="53"/>
      <c r="R23" s="53"/>
      <c r="S23" s="53"/>
      <c r="T23" s="53"/>
      <c r="U23" s="53"/>
      <c r="V23" s="53"/>
      <c r="W23" s="53"/>
      <c r="X23" s="53"/>
      <c r="Y23" s="53"/>
      <c r="Z23" s="53"/>
    </row>
    <row r="24" spans="1:26" ht="12" customHeight="1">
      <c r="A24" s="62" t="s">
        <v>43</v>
      </c>
      <c r="B24" s="63"/>
      <c r="C24" s="64" t="s">
        <v>41</v>
      </c>
      <c r="D24" s="282">
        <f>'Proposed Rates'!I64</f>
        <v>0</v>
      </c>
      <c r="E24" s="53"/>
      <c r="F24" s="53"/>
      <c r="G24" s="53"/>
      <c r="H24" s="53"/>
      <c r="I24" s="53"/>
      <c r="J24" s="53"/>
      <c r="K24" s="53"/>
      <c r="L24" s="53"/>
      <c r="M24" s="53"/>
      <c r="N24" s="53"/>
      <c r="O24" s="53"/>
      <c r="P24" s="53"/>
      <c r="Q24" s="53"/>
      <c r="R24" s="53"/>
      <c r="S24" s="53"/>
      <c r="T24" s="53"/>
      <c r="U24" s="53"/>
      <c r="V24" s="53"/>
      <c r="W24" s="53"/>
      <c r="X24" s="53"/>
      <c r="Y24" s="53"/>
      <c r="Z24" s="53"/>
    </row>
    <row r="25" spans="1:26" ht="12" customHeight="1">
      <c r="A25" s="62" t="s">
        <v>44</v>
      </c>
      <c r="B25" s="63"/>
      <c r="C25" s="64" t="s">
        <v>41</v>
      </c>
      <c r="D25" s="282">
        <f>'Proposed Rates'!I273</f>
        <v>0.44</v>
      </c>
      <c r="E25" s="53"/>
      <c r="F25" s="53"/>
      <c r="G25" s="53"/>
      <c r="H25" s="53"/>
      <c r="I25" s="53"/>
      <c r="J25" s="53"/>
      <c r="K25" s="53"/>
      <c r="L25" s="53"/>
      <c r="M25" s="53"/>
      <c r="N25" s="53"/>
      <c r="O25" s="53"/>
      <c r="P25" s="53"/>
      <c r="Q25" s="53"/>
      <c r="R25" s="53"/>
      <c r="S25" s="53"/>
      <c r="T25" s="53"/>
      <c r="U25" s="53"/>
      <c r="V25" s="53"/>
      <c r="W25" s="53"/>
      <c r="X25" s="53"/>
      <c r="Y25" s="53"/>
      <c r="Z25" s="53"/>
    </row>
    <row r="26" spans="1:26" ht="12" customHeight="1">
      <c r="A26" s="62" t="s">
        <v>45</v>
      </c>
      <c r="B26" s="63"/>
      <c r="C26" s="64" t="s">
        <v>46</v>
      </c>
      <c r="D26" s="283">
        <f>'Proposed Rates'!I260</f>
        <v>8.0000000000000007E-5</v>
      </c>
      <c r="E26" s="53"/>
      <c r="F26" s="53"/>
      <c r="G26" s="53"/>
      <c r="H26" s="53"/>
      <c r="I26" s="53"/>
      <c r="J26" s="53"/>
      <c r="K26" s="53"/>
      <c r="L26" s="53"/>
      <c r="M26" s="53"/>
      <c r="N26" s="53"/>
      <c r="O26" s="53"/>
      <c r="P26" s="53"/>
      <c r="Q26" s="53"/>
      <c r="R26" s="53"/>
      <c r="S26" s="53"/>
      <c r="T26" s="53"/>
      <c r="U26" s="53"/>
      <c r="V26" s="53"/>
      <c r="W26" s="53"/>
      <c r="X26" s="53"/>
      <c r="Y26" s="53"/>
      <c r="Z26" s="53"/>
    </row>
    <row r="27" spans="1:26" ht="12" hidden="1" customHeight="1">
      <c r="A27" s="62" t="s">
        <v>47</v>
      </c>
      <c r="B27" s="63"/>
      <c r="C27" s="64" t="s">
        <v>46</v>
      </c>
      <c r="D27" s="281">
        <f>'Proposed Rates'!I37</f>
        <v>0</v>
      </c>
      <c r="E27" s="53"/>
      <c r="F27" s="53"/>
      <c r="G27" s="53"/>
      <c r="H27" s="53"/>
      <c r="I27" s="53"/>
      <c r="J27" s="53"/>
      <c r="K27" s="53"/>
      <c r="L27" s="53"/>
      <c r="M27" s="53"/>
      <c r="N27" s="53"/>
      <c r="O27" s="53"/>
      <c r="P27" s="53"/>
      <c r="Q27" s="53"/>
      <c r="R27" s="53"/>
      <c r="S27" s="53"/>
      <c r="T27" s="53"/>
      <c r="U27" s="53"/>
      <c r="V27" s="53"/>
      <c r="W27" s="53"/>
      <c r="X27" s="53"/>
      <c r="Y27" s="53"/>
      <c r="Z27" s="53"/>
    </row>
    <row r="28" spans="1:26" ht="12" hidden="1" customHeight="1">
      <c r="A28" s="62" t="s">
        <v>48</v>
      </c>
      <c r="B28" s="63"/>
      <c r="C28" s="64" t="s">
        <v>46</v>
      </c>
      <c r="D28" s="281">
        <f>'Proposed Rates'!I142</f>
        <v>0</v>
      </c>
      <c r="E28" s="53"/>
      <c r="F28" s="53"/>
      <c r="G28" s="53"/>
      <c r="H28" s="53"/>
      <c r="I28" s="53"/>
      <c r="J28" s="53"/>
      <c r="K28" s="53"/>
      <c r="L28" s="53"/>
      <c r="M28" s="53"/>
      <c r="N28" s="53"/>
      <c r="O28" s="53"/>
      <c r="P28" s="53"/>
      <c r="Q28" s="53"/>
      <c r="R28" s="53"/>
      <c r="S28" s="53"/>
      <c r="T28" s="53"/>
      <c r="U28" s="53"/>
      <c r="V28" s="53"/>
      <c r="W28" s="53"/>
      <c r="X28" s="53"/>
      <c r="Y28" s="53"/>
      <c r="Z28" s="53"/>
    </row>
    <row r="29" spans="1:26" ht="12" customHeight="1">
      <c r="A29" s="62" t="s">
        <v>49</v>
      </c>
      <c r="B29" s="63"/>
      <c r="C29" s="64" t="s">
        <v>46</v>
      </c>
      <c r="D29" s="281">
        <f>'Proposed Rates'!I183</f>
        <v>1.38E-2</v>
      </c>
      <c r="E29" s="53"/>
      <c r="F29" s="53"/>
      <c r="G29" s="53"/>
      <c r="H29" s="53"/>
      <c r="I29" s="53"/>
      <c r="J29" s="53"/>
      <c r="K29" s="53"/>
      <c r="L29" s="53"/>
      <c r="M29" s="53"/>
      <c r="N29" s="53"/>
      <c r="O29" s="53"/>
      <c r="P29" s="53"/>
      <c r="Q29" s="53"/>
      <c r="R29" s="53"/>
      <c r="S29" s="53"/>
      <c r="T29" s="53"/>
      <c r="U29" s="53"/>
      <c r="V29" s="53"/>
      <c r="W29" s="53"/>
      <c r="X29" s="53"/>
      <c r="Y29" s="53"/>
      <c r="Z29" s="53"/>
    </row>
    <row r="30" spans="1:26" ht="12" customHeight="1">
      <c r="A30" s="62" t="s">
        <v>50</v>
      </c>
      <c r="B30" s="63"/>
      <c r="C30" s="64" t="s">
        <v>46</v>
      </c>
      <c r="D30" s="281">
        <f>'Proposed Rates'!I196</f>
        <v>7.7999999999999996E-3</v>
      </c>
      <c r="E30" s="53"/>
      <c r="F30" s="53"/>
      <c r="G30" s="53"/>
      <c r="H30" s="53"/>
      <c r="I30" s="53"/>
      <c r="J30" s="53"/>
      <c r="K30" s="53"/>
      <c r="L30" s="53"/>
      <c r="M30" s="53"/>
      <c r="N30" s="53"/>
      <c r="O30" s="53"/>
      <c r="P30" s="53"/>
      <c r="Q30" s="53"/>
      <c r="R30" s="53"/>
      <c r="S30" s="53"/>
      <c r="T30" s="53"/>
      <c r="U30" s="53"/>
      <c r="V30" s="53"/>
      <c r="W30" s="53"/>
      <c r="X30" s="53"/>
      <c r="Y30" s="53"/>
      <c r="Z30" s="53"/>
    </row>
    <row r="31" spans="1:26" ht="6.75" customHeight="1">
      <c r="A31" s="85"/>
      <c r="B31" s="85"/>
      <c r="C31" s="64"/>
      <c r="D31" s="69"/>
      <c r="E31" s="53"/>
      <c r="F31" s="53"/>
      <c r="G31" s="53"/>
      <c r="H31" s="53"/>
      <c r="I31" s="53"/>
      <c r="J31" s="53"/>
      <c r="K31" s="53"/>
      <c r="L31" s="53"/>
      <c r="M31" s="53"/>
      <c r="N31" s="53"/>
      <c r="O31" s="53"/>
      <c r="P31" s="53"/>
      <c r="Q31" s="53"/>
      <c r="R31" s="53"/>
      <c r="S31" s="53"/>
      <c r="T31" s="53"/>
      <c r="U31" s="53"/>
      <c r="V31" s="53"/>
      <c r="W31" s="53"/>
      <c r="X31" s="53"/>
      <c r="Y31" s="53"/>
      <c r="Z31" s="53"/>
    </row>
    <row r="32" spans="1:26" ht="15" customHeight="1">
      <c r="A32" s="79" t="s">
        <v>51</v>
      </c>
      <c r="B32" s="63"/>
      <c r="C32" s="64"/>
      <c r="D32" s="69"/>
      <c r="E32" s="53"/>
      <c r="F32" s="53"/>
      <c r="G32" s="53"/>
      <c r="H32" s="53"/>
      <c r="I32" s="53"/>
      <c r="J32" s="53"/>
      <c r="K32" s="53"/>
      <c r="L32" s="53"/>
      <c r="M32" s="53"/>
      <c r="N32" s="53"/>
      <c r="O32" s="53"/>
      <c r="P32" s="53"/>
      <c r="Q32" s="53"/>
      <c r="R32" s="53"/>
      <c r="S32" s="53"/>
      <c r="T32" s="53"/>
      <c r="U32" s="53"/>
      <c r="V32" s="53"/>
      <c r="W32" s="53"/>
      <c r="X32" s="53"/>
      <c r="Y32" s="53"/>
      <c r="Z32" s="53"/>
    </row>
    <row r="33" spans="1:26" ht="6.75" customHeight="1">
      <c r="A33" s="82"/>
      <c r="B33" s="85"/>
      <c r="C33" s="64"/>
      <c r="D33" s="69"/>
      <c r="E33" s="53"/>
      <c r="F33" s="53"/>
      <c r="G33" s="53"/>
      <c r="H33" s="53"/>
      <c r="I33" s="53"/>
      <c r="J33" s="53"/>
      <c r="K33" s="53"/>
      <c r="L33" s="53"/>
      <c r="M33" s="53"/>
      <c r="N33" s="53"/>
      <c r="O33" s="53"/>
      <c r="P33" s="53"/>
      <c r="Q33" s="53"/>
      <c r="R33" s="53"/>
      <c r="S33" s="53"/>
      <c r="T33" s="53"/>
      <c r="U33" s="53"/>
      <c r="V33" s="53"/>
      <c r="W33" s="53"/>
      <c r="X33" s="53"/>
      <c r="Y33" s="53"/>
      <c r="Z33" s="53"/>
    </row>
    <row r="34" spans="1:26" ht="12" customHeight="1">
      <c r="A34" s="62" t="s">
        <v>52</v>
      </c>
      <c r="B34" s="63"/>
      <c r="C34" s="64" t="s">
        <v>46</v>
      </c>
      <c r="D34" s="66">
        <v>4.1000000000000003E-3</v>
      </c>
      <c r="E34" s="53"/>
      <c r="F34" s="53"/>
      <c r="G34" s="53"/>
      <c r="H34" s="53"/>
      <c r="I34" s="53"/>
      <c r="J34" s="53"/>
      <c r="K34" s="53"/>
      <c r="L34" s="53"/>
      <c r="M34" s="53"/>
      <c r="N34" s="53"/>
      <c r="O34" s="53"/>
      <c r="P34" s="53"/>
      <c r="Q34" s="53"/>
      <c r="R34" s="53"/>
      <c r="S34" s="53"/>
      <c r="T34" s="53"/>
      <c r="U34" s="53"/>
      <c r="V34" s="53"/>
      <c r="W34" s="53"/>
      <c r="X34" s="53"/>
      <c r="Y34" s="53"/>
      <c r="Z34" s="53"/>
    </row>
    <row r="35" spans="1:26" ht="12" customHeight="1">
      <c r="A35" s="62" t="s">
        <v>53</v>
      </c>
      <c r="B35" s="63"/>
      <c r="C35" s="64" t="s">
        <v>46</v>
      </c>
      <c r="D35" s="66">
        <f>'Proposed Rates'!I209-'2026'!D34</f>
        <v>3.9999999999999931E-4</v>
      </c>
      <c r="E35" s="53"/>
      <c r="F35" s="53"/>
      <c r="G35" s="53"/>
      <c r="H35" s="53"/>
      <c r="I35" s="53"/>
      <c r="J35" s="53"/>
      <c r="K35" s="53"/>
      <c r="L35" s="53"/>
      <c r="M35" s="53"/>
      <c r="N35" s="53"/>
      <c r="O35" s="53"/>
      <c r="P35" s="53"/>
      <c r="Q35" s="53"/>
      <c r="R35" s="53"/>
      <c r="S35" s="53"/>
      <c r="T35" s="53"/>
      <c r="U35" s="53"/>
      <c r="V35" s="53"/>
      <c r="W35" s="53"/>
      <c r="X35" s="53"/>
      <c r="Y35" s="53"/>
      <c r="Z35" s="53"/>
    </row>
    <row r="36" spans="1:26" ht="12" customHeight="1">
      <c r="A36" s="62" t="s">
        <v>54</v>
      </c>
      <c r="B36" s="63"/>
      <c r="C36" s="64" t="s">
        <v>46</v>
      </c>
      <c r="D36" s="66">
        <f>'Proposed Rates'!I222</f>
        <v>1.5E-3</v>
      </c>
      <c r="E36" s="53"/>
      <c r="F36" s="53"/>
      <c r="G36" s="53"/>
      <c r="H36" s="53"/>
      <c r="I36" s="53"/>
      <c r="J36" s="53"/>
      <c r="K36" s="53"/>
      <c r="L36" s="53"/>
      <c r="M36" s="53"/>
      <c r="N36" s="53"/>
      <c r="O36" s="53"/>
      <c r="P36" s="53"/>
      <c r="Q36" s="53"/>
      <c r="R36" s="53"/>
      <c r="S36" s="53"/>
      <c r="T36" s="53"/>
      <c r="U36" s="53"/>
      <c r="V36" s="53"/>
      <c r="W36" s="53"/>
      <c r="X36" s="53"/>
      <c r="Y36" s="53"/>
      <c r="Z36" s="53"/>
    </row>
    <row r="37" spans="1:26" ht="12" customHeight="1">
      <c r="A37" s="62" t="s">
        <v>55</v>
      </c>
      <c r="B37" s="63"/>
      <c r="C37" s="64" t="s">
        <v>41</v>
      </c>
      <c r="D37" s="66">
        <f>'Proposed Rates'!I236</f>
        <v>1.6</v>
      </c>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62"/>
      <c r="B38" s="63"/>
      <c r="C38" s="64"/>
      <c r="D38" s="69"/>
      <c r="E38" s="53"/>
      <c r="F38" s="53"/>
      <c r="G38" s="53"/>
      <c r="H38" s="53"/>
      <c r="I38" s="53"/>
      <c r="J38" s="53"/>
      <c r="K38" s="53"/>
      <c r="L38" s="53"/>
      <c r="M38" s="53"/>
      <c r="N38" s="53"/>
      <c r="O38" s="53"/>
      <c r="P38" s="53"/>
      <c r="Q38" s="53"/>
      <c r="R38" s="53"/>
      <c r="S38" s="53"/>
      <c r="T38" s="53"/>
      <c r="U38" s="53"/>
      <c r="V38" s="53"/>
      <c r="W38" s="53"/>
      <c r="X38" s="53"/>
      <c r="Y38" s="53"/>
      <c r="Z38" s="53"/>
    </row>
    <row r="39" spans="1:26" ht="21.75" customHeight="1">
      <c r="A39" s="597" t="str">
        <f>$A$1</f>
        <v>Hydro Ottawa Limited</v>
      </c>
      <c r="B39" s="595"/>
      <c r="C39" s="595"/>
      <c r="D39" s="596"/>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98" t="str">
        <f>$A$2</f>
        <v>PROPOSED - TARIFF OF RATES AND CHARGES</v>
      </c>
      <c r="B40" s="595"/>
      <c r="C40" s="595"/>
      <c r="D40" s="596"/>
      <c r="E40" s="53"/>
      <c r="F40" s="53"/>
      <c r="G40" s="53"/>
      <c r="H40" s="53"/>
      <c r="I40" s="53"/>
      <c r="J40" s="53"/>
      <c r="K40" s="53"/>
      <c r="L40" s="53"/>
      <c r="M40" s="53"/>
      <c r="N40" s="53"/>
      <c r="O40" s="53"/>
      <c r="P40" s="53"/>
      <c r="Q40" s="53"/>
      <c r="R40" s="53"/>
      <c r="S40" s="53"/>
      <c r="T40" s="53"/>
      <c r="U40" s="53"/>
      <c r="V40" s="53"/>
      <c r="W40" s="53"/>
      <c r="X40" s="53"/>
      <c r="Y40" s="53"/>
      <c r="Z40" s="53"/>
    </row>
    <row r="41" spans="1:26" ht="15" customHeight="1">
      <c r="A41" s="599" t="str">
        <f>$A$3</f>
        <v>Effective and Implementation Date January 1, 2029</v>
      </c>
      <c r="B41" s="595"/>
      <c r="C41" s="595"/>
      <c r="D41" s="596"/>
      <c r="E41" s="53"/>
      <c r="F41" s="53"/>
      <c r="G41" s="53"/>
      <c r="H41" s="53"/>
      <c r="I41" s="53"/>
      <c r="J41" s="53"/>
      <c r="K41" s="53"/>
      <c r="L41" s="53"/>
      <c r="M41" s="53"/>
      <c r="N41" s="53"/>
      <c r="O41" s="53"/>
      <c r="P41" s="53"/>
      <c r="Q41" s="53"/>
      <c r="R41" s="53"/>
      <c r="S41" s="53"/>
      <c r="T41" s="53"/>
      <c r="U41" s="53"/>
      <c r="V41" s="53"/>
      <c r="W41" s="53"/>
      <c r="X41" s="53"/>
      <c r="Y41" s="53"/>
      <c r="Z41" s="53"/>
    </row>
    <row r="42" spans="1:26" ht="15" customHeight="1">
      <c r="A42" s="600" t="str">
        <f>$A$4</f>
        <v>This schedule supersedes and replaces all previously</v>
      </c>
      <c r="B42" s="595"/>
      <c r="C42" s="595"/>
      <c r="D42" s="596"/>
      <c r="E42" s="53"/>
      <c r="F42" s="53"/>
      <c r="G42" s="53"/>
      <c r="H42" s="53"/>
      <c r="I42" s="53"/>
      <c r="J42" s="53"/>
      <c r="K42" s="53"/>
      <c r="L42" s="53"/>
      <c r="M42" s="53"/>
      <c r="N42" s="53"/>
      <c r="O42" s="53"/>
      <c r="P42" s="53"/>
      <c r="Q42" s="53"/>
      <c r="R42" s="53"/>
      <c r="S42" s="53"/>
      <c r="T42" s="53"/>
      <c r="U42" s="53"/>
      <c r="V42" s="53"/>
      <c r="W42" s="53"/>
      <c r="X42" s="53"/>
      <c r="Y42" s="53"/>
      <c r="Z42" s="53"/>
    </row>
    <row r="43" spans="1:26" ht="15" customHeight="1">
      <c r="A43" s="600" t="str">
        <f>$A$5</f>
        <v>approved schedules of Rates, Charges and Loss Factors</v>
      </c>
      <c r="B43" s="595"/>
      <c r="C43" s="595"/>
      <c r="D43" s="596"/>
      <c r="E43" s="53"/>
      <c r="F43" s="53"/>
      <c r="G43" s="53"/>
      <c r="H43" s="53"/>
      <c r="I43" s="53"/>
      <c r="J43" s="53"/>
      <c r="K43" s="53"/>
      <c r="L43" s="53"/>
      <c r="M43" s="53"/>
      <c r="N43" s="53"/>
      <c r="O43" s="53"/>
      <c r="P43" s="53"/>
      <c r="Q43" s="53"/>
      <c r="R43" s="53"/>
      <c r="S43" s="53"/>
      <c r="T43" s="53"/>
      <c r="U43" s="53"/>
      <c r="V43" s="53"/>
      <c r="W43" s="53"/>
      <c r="X43" s="53"/>
      <c r="Y43" s="53"/>
      <c r="Z43" s="53"/>
    </row>
    <row r="44" spans="1:26" ht="9" customHeight="1">
      <c r="A44" s="601" t="str">
        <f>$A$6</f>
        <v>EB-2024-0115</v>
      </c>
      <c r="B44" s="595"/>
      <c r="C44" s="595"/>
      <c r="D44" s="596"/>
      <c r="E44" s="53"/>
      <c r="F44" s="53"/>
      <c r="G44" s="53"/>
      <c r="H44" s="53"/>
      <c r="I44" s="53"/>
      <c r="J44" s="53"/>
      <c r="K44" s="53"/>
      <c r="L44" s="53"/>
      <c r="M44" s="53"/>
      <c r="N44" s="53"/>
      <c r="O44" s="53"/>
      <c r="P44" s="53"/>
      <c r="Q44" s="53"/>
      <c r="R44" s="53"/>
      <c r="S44" s="53"/>
      <c r="T44" s="53"/>
      <c r="U44" s="53"/>
      <c r="V44" s="53"/>
      <c r="W44" s="53"/>
      <c r="X44" s="53"/>
      <c r="Y44" s="53"/>
      <c r="Z44" s="53"/>
    </row>
    <row r="45" spans="1:26" ht="18.75" customHeight="1">
      <c r="A45" s="602" t="s">
        <v>56</v>
      </c>
      <c r="B45" s="595"/>
      <c r="C45" s="595"/>
      <c r="D45" s="596"/>
      <c r="E45" s="71"/>
      <c r="F45" s="71"/>
      <c r="G45" s="71"/>
      <c r="H45" s="71"/>
      <c r="I45" s="71"/>
      <c r="J45" s="71"/>
      <c r="K45" s="71"/>
      <c r="L45" s="71"/>
      <c r="M45" s="71"/>
      <c r="N45" s="71"/>
      <c r="O45" s="71"/>
      <c r="P45" s="71"/>
      <c r="Q45" s="71"/>
      <c r="R45" s="71"/>
      <c r="S45" s="71"/>
      <c r="T45" s="71"/>
      <c r="U45" s="71"/>
      <c r="V45" s="71"/>
      <c r="W45" s="71"/>
      <c r="X45" s="71"/>
      <c r="Y45" s="71"/>
      <c r="Z45" s="71"/>
    </row>
    <row r="46" spans="1:26" ht="48" customHeight="1">
      <c r="A46" s="603" t="s">
        <v>57</v>
      </c>
      <c r="B46" s="595"/>
      <c r="C46" s="595"/>
      <c r="D46" s="596"/>
      <c r="E46" s="53"/>
      <c r="F46" s="53"/>
      <c r="G46" s="53"/>
      <c r="H46" s="53"/>
      <c r="I46" s="53"/>
      <c r="J46" s="53"/>
      <c r="K46" s="53"/>
      <c r="L46" s="53"/>
      <c r="M46" s="53"/>
      <c r="N46" s="53"/>
      <c r="O46" s="53"/>
      <c r="P46" s="53"/>
      <c r="Q46" s="53"/>
      <c r="R46" s="53"/>
      <c r="S46" s="53"/>
      <c r="T46" s="53"/>
      <c r="U46" s="53"/>
      <c r="V46" s="53"/>
      <c r="W46" s="53"/>
      <c r="X46" s="53"/>
      <c r="Y46" s="53"/>
      <c r="Z46" s="53"/>
    </row>
    <row r="47" spans="1:26" ht="6.75" customHeight="1">
      <c r="A47" s="54"/>
      <c r="B47" s="54"/>
      <c r="C47" s="54"/>
      <c r="D47" s="55"/>
      <c r="E47" s="53"/>
      <c r="F47" s="53"/>
      <c r="G47" s="53"/>
      <c r="H47" s="53"/>
      <c r="I47" s="53"/>
      <c r="J47" s="53"/>
      <c r="K47" s="53"/>
      <c r="L47" s="53"/>
      <c r="M47" s="53"/>
      <c r="N47" s="53"/>
      <c r="O47" s="53"/>
      <c r="P47" s="53"/>
      <c r="Q47" s="53"/>
      <c r="R47" s="53"/>
      <c r="S47" s="53"/>
      <c r="T47" s="53"/>
      <c r="U47" s="53"/>
      <c r="V47" s="53"/>
      <c r="W47" s="53"/>
      <c r="X47" s="53"/>
      <c r="Y47" s="53"/>
      <c r="Z47" s="53"/>
    </row>
    <row r="48" spans="1:26" ht="11.25" customHeight="1">
      <c r="A48" s="604" t="s">
        <v>34</v>
      </c>
      <c r="B48" s="595"/>
      <c r="C48" s="595"/>
      <c r="D48" s="596"/>
      <c r="E48" s="53"/>
      <c r="F48" s="53"/>
      <c r="G48" s="53"/>
      <c r="H48" s="53"/>
      <c r="I48" s="53"/>
      <c r="J48" s="53"/>
      <c r="K48" s="53"/>
      <c r="L48" s="53"/>
      <c r="M48" s="53"/>
      <c r="N48" s="53"/>
      <c r="O48" s="53"/>
      <c r="P48" s="53"/>
      <c r="Q48" s="53"/>
      <c r="R48" s="53"/>
      <c r="S48" s="53"/>
      <c r="T48" s="53"/>
      <c r="U48" s="53"/>
      <c r="V48" s="53"/>
      <c r="W48" s="53"/>
      <c r="X48" s="53"/>
      <c r="Y48" s="53"/>
      <c r="Z48" s="53"/>
    </row>
    <row r="49" spans="1:26" ht="6.75" customHeight="1">
      <c r="A49" s="56"/>
      <c r="B49" s="57"/>
      <c r="C49" s="57"/>
      <c r="D49" s="58"/>
      <c r="E49" s="53"/>
      <c r="F49" s="53"/>
      <c r="G49" s="53"/>
      <c r="H49" s="53"/>
      <c r="I49" s="53"/>
      <c r="J49" s="53"/>
      <c r="K49" s="53"/>
      <c r="L49" s="53"/>
      <c r="M49" s="53"/>
      <c r="N49" s="53"/>
      <c r="O49" s="53"/>
      <c r="P49" s="53"/>
      <c r="Q49" s="53"/>
      <c r="R49" s="53"/>
      <c r="S49" s="53"/>
      <c r="T49" s="53"/>
      <c r="U49" s="53"/>
      <c r="V49" s="53"/>
      <c r="W49" s="53"/>
      <c r="X49" s="53"/>
      <c r="Y49" s="53"/>
      <c r="Z49" s="53"/>
    </row>
    <row r="50" spans="1:26" ht="36" customHeight="1">
      <c r="A50" s="603" t="s">
        <v>35</v>
      </c>
      <c r="B50" s="595"/>
      <c r="C50" s="595"/>
      <c r="D50" s="596"/>
      <c r="E50" s="53"/>
      <c r="F50" s="53"/>
      <c r="G50" s="53"/>
      <c r="H50" s="53"/>
      <c r="I50" s="53"/>
      <c r="J50" s="53"/>
      <c r="K50" s="53"/>
      <c r="L50" s="53"/>
      <c r="M50" s="53"/>
      <c r="N50" s="53"/>
      <c r="O50" s="53"/>
      <c r="P50" s="53"/>
      <c r="Q50" s="53"/>
      <c r="R50" s="53"/>
      <c r="S50" s="53"/>
      <c r="T50" s="53"/>
      <c r="U50" s="53"/>
      <c r="V50" s="53"/>
      <c r="W50" s="53"/>
      <c r="X50" s="53"/>
      <c r="Y50" s="53"/>
      <c r="Z50" s="53"/>
    </row>
    <row r="51" spans="1:26" ht="6.75" customHeight="1">
      <c r="A51" s="54"/>
      <c r="B51" s="54"/>
      <c r="C51" s="54"/>
      <c r="D51" s="55"/>
      <c r="E51" s="53"/>
      <c r="F51" s="53"/>
      <c r="G51" s="53"/>
      <c r="H51" s="53"/>
      <c r="I51" s="53"/>
      <c r="J51" s="53"/>
      <c r="K51" s="53"/>
      <c r="L51" s="53"/>
      <c r="M51" s="53"/>
      <c r="N51" s="53"/>
      <c r="O51" s="53"/>
      <c r="P51" s="53"/>
      <c r="Q51" s="53"/>
      <c r="R51" s="53"/>
      <c r="S51" s="53"/>
      <c r="T51" s="53"/>
      <c r="U51" s="53"/>
      <c r="V51" s="53"/>
      <c r="W51" s="53"/>
      <c r="X51" s="53"/>
      <c r="Y51" s="53"/>
      <c r="Z51" s="53"/>
    </row>
    <row r="52" spans="1:26" ht="48" customHeight="1">
      <c r="A52" s="603" t="s">
        <v>36</v>
      </c>
      <c r="B52" s="595"/>
      <c r="C52" s="595"/>
      <c r="D52" s="596"/>
      <c r="E52" s="53"/>
      <c r="F52" s="53"/>
      <c r="G52" s="53"/>
      <c r="H52" s="53"/>
      <c r="I52" s="53"/>
      <c r="J52" s="53"/>
      <c r="K52" s="53"/>
      <c r="L52" s="53"/>
      <c r="M52" s="53"/>
      <c r="N52" s="53"/>
      <c r="O52" s="53"/>
      <c r="P52" s="53"/>
      <c r="Q52" s="53"/>
      <c r="R52" s="53"/>
      <c r="S52" s="53"/>
      <c r="T52" s="53"/>
      <c r="U52" s="53"/>
      <c r="V52" s="53"/>
      <c r="W52" s="53"/>
      <c r="X52" s="53"/>
      <c r="Y52" s="53"/>
      <c r="Z52" s="53"/>
    </row>
    <row r="53" spans="1:26" ht="6.75" customHeight="1">
      <c r="A53" s="54"/>
      <c r="B53" s="54"/>
      <c r="C53" s="54"/>
      <c r="D53" s="55"/>
      <c r="E53" s="53"/>
      <c r="F53" s="53"/>
      <c r="G53" s="53"/>
      <c r="H53" s="53"/>
      <c r="I53" s="53"/>
      <c r="J53" s="53"/>
      <c r="K53" s="53"/>
      <c r="L53" s="53"/>
      <c r="M53" s="53"/>
      <c r="N53" s="53"/>
      <c r="O53" s="53"/>
      <c r="P53" s="53"/>
      <c r="Q53" s="53"/>
      <c r="R53" s="53"/>
      <c r="S53" s="53"/>
      <c r="T53" s="53"/>
      <c r="U53" s="53"/>
      <c r="V53" s="53"/>
      <c r="W53" s="53"/>
      <c r="X53" s="53"/>
      <c r="Y53" s="53"/>
      <c r="Z53" s="53"/>
    </row>
    <row r="54" spans="1:26" ht="48" customHeight="1">
      <c r="A54" s="603" t="s">
        <v>37</v>
      </c>
      <c r="B54" s="595"/>
      <c r="C54" s="595"/>
      <c r="D54" s="596"/>
      <c r="E54" s="53"/>
      <c r="F54" s="53"/>
      <c r="G54" s="53"/>
      <c r="H54" s="53"/>
      <c r="I54" s="53"/>
      <c r="J54" s="53"/>
      <c r="K54" s="53"/>
      <c r="L54" s="53"/>
      <c r="M54" s="53"/>
      <c r="N54" s="53"/>
      <c r="O54" s="53"/>
      <c r="P54" s="53"/>
      <c r="Q54" s="53"/>
      <c r="R54" s="53"/>
      <c r="S54" s="53"/>
      <c r="T54" s="53"/>
      <c r="U54" s="53"/>
      <c r="V54" s="53"/>
      <c r="W54" s="53"/>
      <c r="X54" s="53"/>
      <c r="Y54" s="53"/>
      <c r="Z54" s="53"/>
    </row>
    <row r="55" spans="1:26" ht="6.75" customHeight="1">
      <c r="A55" s="54"/>
      <c r="B55" s="54"/>
      <c r="C55" s="54"/>
      <c r="D55" s="55"/>
      <c r="E55" s="53"/>
      <c r="F55" s="53"/>
      <c r="G55" s="53"/>
      <c r="H55" s="53"/>
      <c r="I55" s="53"/>
      <c r="J55" s="53"/>
      <c r="K55" s="53"/>
      <c r="L55" s="53"/>
      <c r="M55" s="53"/>
      <c r="N55" s="53"/>
      <c r="O55" s="53"/>
      <c r="P55" s="53"/>
      <c r="Q55" s="53"/>
      <c r="R55" s="53"/>
      <c r="S55" s="53"/>
      <c r="T55" s="53"/>
      <c r="U55" s="53"/>
      <c r="V55" s="53"/>
      <c r="W55" s="53"/>
      <c r="X55" s="53"/>
      <c r="Y55" s="53"/>
      <c r="Z55" s="53"/>
    </row>
    <row r="56" spans="1:26" ht="36" customHeight="1">
      <c r="A56" s="603" t="s">
        <v>58</v>
      </c>
      <c r="B56" s="595"/>
      <c r="C56" s="595"/>
      <c r="D56" s="596"/>
      <c r="E56" s="53"/>
      <c r="F56" s="53"/>
      <c r="G56" s="53"/>
      <c r="H56" s="53"/>
      <c r="I56" s="53"/>
      <c r="J56" s="53"/>
      <c r="K56" s="53"/>
      <c r="L56" s="53"/>
      <c r="M56" s="53"/>
      <c r="N56" s="53"/>
      <c r="O56" s="53"/>
      <c r="P56" s="53"/>
      <c r="Q56" s="53"/>
      <c r="R56" s="53"/>
      <c r="S56" s="53"/>
      <c r="T56" s="53"/>
      <c r="U56" s="53"/>
      <c r="V56" s="53"/>
      <c r="W56" s="53"/>
      <c r="X56" s="53"/>
      <c r="Y56" s="53"/>
      <c r="Z56" s="53"/>
    </row>
    <row r="57" spans="1:26" ht="6.75" customHeight="1">
      <c r="A57" s="54"/>
      <c r="B57" s="54"/>
      <c r="C57" s="54"/>
      <c r="D57" s="55"/>
      <c r="E57" s="53"/>
      <c r="F57" s="53"/>
      <c r="G57" s="53"/>
      <c r="H57" s="53"/>
      <c r="I57" s="53"/>
      <c r="J57" s="53"/>
      <c r="K57" s="53"/>
      <c r="L57" s="53"/>
      <c r="M57" s="53"/>
      <c r="N57" s="53"/>
      <c r="O57" s="53"/>
      <c r="P57" s="53"/>
      <c r="Q57" s="53"/>
      <c r="R57" s="53"/>
      <c r="S57" s="53"/>
      <c r="T57" s="53"/>
      <c r="U57" s="53"/>
      <c r="V57" s="53"/>
      <c r="W57" s="53"/>
      <c r="X57" s="53"/>
      <c r="Y57" s="53"/>
      <c r="Z57" s="53"/>
    </row>
    <row r="58" spans="1:26" ht="15" customHeight="1">
      <c r="A58" s="70" t="s">
        <v>39</v>
      </c>
      <c r="B58" s="63"/>
      <c r="C58" s="63"/>
      <c r="D58" s="63"/>
      <c r="E58" s="53"/>
      <c r="F58" s="53"/>
      <c r="G58" s="53"/>
      <c r="H58" s="53"/>
      <c r="I58" s="53"/>
      <c r="J58" s="53"/>
      <c r="K58" s="53"/>
      <c r="L58" s="53"/>
      <c r="M58" s="53"/>
      <c r="N58" s="53"/>
      <c r="O58" s="53"/>
      <c r="P58" s="53"/>
      <c r="Q58" s="53"/>
      <c r="R58" s="53"/>
      <c r="S58" s="53"/>
      <c r="T58" s="53"/>
      <c r="U58" s="53"/>
      <c r="V58" s="53"/>
      <c r="W58" s="53"/>
      <c r="X58" s="53"/>
      <c r="Y58" s="53"/>
      <c r="Z58" s="53"/>
    </row>
    <row r="59" spans="1:26" ht="6.75" customHeight="1">
      <c r="A59" s="59"/>
      <c r="B59" s="60"/>
      <c r="C59" s="60"/>
      <c r="D59" s="61"/>
      <c r="E59" s="53"/>
      <c r="F59" s="53"/>
      <c r="G59" s="53"/>
      <c r="H59" s="53"/>
      <c r="I59" s="53"/>
      <c r="J59" s="53"/>
      <c r="K59" s="53"/>
      <c r="L59" s="53"/>
      <c r="M59" s="53"/>
      <c r="N59" s="53"/>
      <c r="O59" s="53"/>
      <c r="P59" s="53"/>
      <c r="Q59" s="53"/>
      <c r="R59" s="53"/>
      <c r="S59" s="53"/>
      <c r="T59" s="53"/>
      <c r="U59" s="53"/>
      <c r="V59" s="53"/>
      <c r="W59" s="53"/>
      <c r="X59" s="53"/>
      <c r="Y59" s="53"/>
      <c r="Z59" s="53"/>
    </row>
    <row r="60" spans="1:26" ht="12" customHeight="1">
      <c r="A60" s="62" t="s">
        <v>40</v>
      </c>
      <c r="B60" s="63"/>
      <c r="C60" s="64" t="s">
        <v>41</v>
      </c>
      <c r="D60" s="280">
        <f>'Proposed Rates'!I9</f>
        <v>35</v>
      </c>
      <c r="E60" s="53"/>
      <c r="F60" s="53"/>
      <c r="G60" s="53"/>
      <c r="H60" s="53"/>
      <c r="I60" s="53"/>
      <c r="J60" s="53"/>
      <c r="K60" s="53"/>
      <c r="L60" s="53"/>
      <c r="M60" s="53"/>
      <c r="N60" s="53"/>
      <c r="O60" s="53"/>
      <c r="P60" s="53"/>
      <c r="Q60" s="53"/>
      <c r="R60" s="53"/>
      <c r="S60" s="53"/>
      <c r="T60" s="53"/>
      <c r="U60" s="53"/>
      <c r="V60" s="53"/>
      <c r="W60" s="53"/>
      <c r="X60" s="53"/>
      <c r="Y60" s="53"/>
      <c r="Z60" s="53"/>
    </row>
    <row r="61" spans="1:26" ht="12" customHeight="1">
      <c r="A61" s="62" t="s">
        <v>44</v>
      </c>
      <c r="B61" s="63"/>
      <c r="C61" s="64" t="s">
        <v>41</v>
      </c>
      <c r="D61" s="282">
        <f>'Proposed Rates'!I274</f>
        <v>0.44</v>
      </c>
      <c r="E61" s="53"/>
      <c r="F61" s="53"/>
      <c r="G61" s="53"/>
      <c r="H61" s="53"/>
      <c r="I61" s="53"/>
      <c r="J61" s="53"/>
      <c r="K61" s="53"/>
      <c r="L61" s="53"/>
      <c r="M61" s="53"/>
      <c r="N61" s="53"/>
      <c r="O61" s="53"/>
      <c r="P61" s="53"/>
      <c r="Q61" s="53"/>
      <c r="R61" s="53"/>
      <c r="S61" s="53"/>
      <c r="T61" s="53"/>
      <c r="U61" s="53"/>
      <c r="V61" s="53"/>
      <c r="W61" s="53"/>
      <c r="X61" s="53"/>
      <c r="Y61" s="53"/>
      <c r="Z61" s="53"/>
    </row>
    <row r="62" spans="1:26" ht="12" customHeight="1">
      <c r="A62" s="62" t="s">
        <v>59</v>
      </c>
      <c r="B62" s="63"/>
      <c r="C62" s="64" t="s">
        <v>46</v>
      </c>
      <c r="D62" s="281">
        <f>'Proposed Rates'!I22</f>
        <v>4.53E-2</v>
      </c>
      <c r="E62" s="53"/>
      <c r="F62" s="53"/>
      <c r="G62" s="53"/>
      <c r="H62" s="53"/>
      <c r="I62" s="53"/>
      <c r="J62" s="53"/>
      <c r="K62" s="53"/>
      <c r="L62" s="53"/>
      <c r="M62" s="53"/>
      <c r="N62" s="53"/>
      <c r="O62" s="53"/>
      <c r="P62" s="53"/>
      <c r="Q62" s="53"/>
      <c r="R62" s="53"/>
      <c r="S62" s="53"/>
      <c r="T62" s="53"/>
      <c r="U62" s="53"/>
      <c r="V62" s="53"/>
      <c r="W62" s="53"/>
      <c r="X62" s="53"/>
      <c r="Y62" s="53"/>
      <c r="Z62" s="53"/>
    </row>
    <row r="63" spans="1:26" ht="12" customHeight="1">
      <c r="A63" s="62" t="s">
        <v>45</v>
      </c>
      <c r="B63" s="63"/>
      <c r="C63" s="64" t="s">
        <v>46</v>
      </c>
      <c r="D63" s="283">
        <f>'Proposed Rates'!I261</f>
        <v>6.0000000000000002E-5</v>
      </c>
      <c r="E63" s="53"/>
      <c r="F63" s="53"/>
      <c r="G63" s="53"/>
      <c r="H63" s="53"/>
      <c r="I63" s="53"/>
      <c r="J63" s="53"/>
      <c r="K63" s="53"/>
      <c r="L63" s="53"/>
      <c r="M63" s="53"/>
      <c r="N63" s="53"/>
      <c r="O63" s="53"/>
      <c r="P63" s="53"/>
      <c r="Q63" s="53"/>
      <c r="R63" s="53"/>
      <c r="S63" s="53"/>
      <c r="T63" s="53"/>
      <c r="U63" s="53"/>
      <c r="V63" s="53"/>
      <c r="W63" s="53"/>
      <c r="X63" s="53"/>
      <c r="Y63" s="53"/>
      <c r="Z63" s="53"/>
    </row>
    <row r="64" spans="1:26" ht="12" hidden="1" customHeight="1">
      <c r="A64" s="62" t="s">
        <v>47</v>
      </c>
      <c r="B64" s="63"/>
      <c r="C64" s="64" t="s">
        <v>46</v>
      </c>
      <c r="D64" s="281">
        <f>'Proposed Rates'!I38</f>
        <v>0</v>
      </c>
      <c r="E64" s="53"/>
      <c r="F64" s="53"/>
      <c r="G64" s="53"/>
      <c r="H64" s="53"/>
      <c r="I64" s="53"/>
      <c r="J64" s="53"/>
      <c r="K64" s="53"/>
      <c r="L64" s="53"/>
      <c r="M64" s="53"/>
      <c r="N64" s="53"/>
      <c r="O64" s="53"/>
      <c r="P64" s="53"/>
      <c r="Q64" s="53"/>
      <c r="R64" s="53"/>
      <c r="S64" s="53"/>
      <c r="T64" s="53"/>
      <c r="U64" s="53"/>
      <c r="V64" s="53"/>
      <c r="W64" s="53"/>
      <c r="X64" s="53"/>
      <c r="Y64" s="53"/>
      <c r="Z64" s="53"/>
    </row>
    <row r="65" spans="1:26" ht="12" hidden="1" customHeight="1">
      <c r="A65" s="62" t="s">
        <v>43</v>
      </c>
      <c r="B65" s="63"/>
      <c r="C65" s="64" t="s">
        <v>46</v>
      </c>
      <c r="D65" s="281">
        <f>'Proposed Rates'!I65</f>
        <v>0</v>
      </c>
      <c r="E65" s="53"/>
      <c r="F65" s="53"/>
      <c r="G65" s="53"/>
      <c r="H65" s="53"/>
      <c r="I65" s="53"/>
      <c r="J65" s="53"/>
      <c r="K65" s="53"/>
      <c r="L65" s="53"/>
      <c r="M65" s="53"/>
      <c r="N65" s="53"/>
      <c r="O65" s="53"/>
      <c r="P65" s="53"/>
      <c r="Q65" s="53"/>
      <c r="R65" s="53"/>
      <c r="S65" s="53"/>
      <c r="T65" s="53"/>
      <c r="U65" s="53"/>
      <c r="V65" s="53"/>
      <c r="W65" s="53"/>
      <c r="X65" s="53"/>
      <c r="Y65" s="53"/>
      <c r="Z65" s="53"/>
    </row>
    <row r="66" spans="1:26" ht="12" hidden="1" customHeight="1">
      <c r="A66" s="62" t="s">
        <v>42</v>
      </c>
      <c r="B66" s="63"/>
      <c r="C66" s="64" t="s">
        <v>46</v>
      </c>
      <c r="D66" s="281">
        <f>'Proposed Rates'!I91</f>
        <v>0</v>
      </c>
      <c r="E66" s="53"/>
      <c r="F66" s="53"/>
      <c r="G66" s="53"/>
      <c r="H66" s="53"/>
      <c r="I66" s="53"/>
      <c r="J66" s="53"/>
      <c r="K66" s="53"/>
      <c r="L66" s="53"/>
      <c r="M66" s="53"/>
      <c r="N66" s="53"/>
      <c r="O66" s="53"/>
      <c r="P66" s="53"/>
      <c r="Q66" s="53"/>
      <c r="R66" s="53"/>
      <c r="S66" s="53"/>
      <c r="T66" s="53"/>
      <c r="U66" s="53"/>
      <c r="V66" s="53"/>
      <c r="W66" s="53"/>
      <c r="X66" s="53"/>
      <c r="Y66" s="53"/>
      <c r="Z66" s="53"/>
    </row>
    <row r="67" spans="1:26" ht="12" hidden="1" customHeight="1">
      <c r="A67" s="62" t="s">
        <v>48</v>
      </c>
      <c r="B67" s="63"/>
      <c r="C67" s="64" t="s">
        <v>46</v>
      </c>
      <c r="D67" s="281">
        <f>'Proposed Rates'!I143</f>
        <v>0</v>
      </c>
      <c r="E67" s="53"/>
      <c r="F67" s="53"/>
      <c r="G67" s="53"/>
      <c r="H67" s="53"/>
      <c r="I67" s="53"/>
      <c r="J67" s="53"/>
      <c r="K67" s="53"/>
      <c r="L67" s="53"/>
      <c r="M67" s="53"/>
      <c r="N67" s="53"/>
      <c r="O67" s="53"/>
      <c r="P67" s="53"/>
      <c r="Q67" s="53"/>
      <c r="R67" s="53"/>
      <c r="S67" s="53"/>
      <c r="T67" s="53"/>
      <c r="U67" s="53"/>
      <c r="V67" s="53"/>
      <c r="W67" s="53"/>
      <c r="X67" s="53"/>
      <c r="Y67" s="53"/>
      <c r="Z67" s="53"/>
    </row>
    <row r="68" spans="1:26" ht="12" customHeight="1">
      <c r="A68" s="62" t="s">
        <v>49</v>
      </c>
      <c r="B68" s="63"/>
      <c r="C68" s="64" t="s">
        <v>46</v>
      </c>
      <c r="D68" s="281">
        <f>'Proposed Rates'!I184</f>
        <v>1.0699999999999999E-2</v>
      </c>
      <c r="E68" s="53"/>
      <c r="F68" s="53"/>
      <c r="G68" s="53"/>
      <c r="H68" s="53"/>
      <c r="I68" s="53"/>
      <c r="J68" s="53"/>
      <c r="K68" s="53"/>
      <c r="L68" s="53"/>
      <c r="M68" s="53"/>
      <c r="N68" s="53"/>
      <c r="O68" s="53"/>
      <c r="P68" s="53"/>
      <c r="Q68" s="53"/>
      <c r="R68" s="53"/>
      <c r="S68" s="53"/>
      <c r="T68" s="53"/>
      <c r="U68" s="53"/>
      <c r="V68" s="53"/>
      <c r="W68" s="53"/>
      <c r="X68" s="53"/>
      <c r="Y68" s="53"/>
      <c r="Z68" s="53"/>
    </row>
    <row r="69" spans="1:26" ht="12" customHeight="1">
      <c r="A69" s="62" t="s">
        <v>50</v>
      </c>
      <c r="B69" s="62"/>
      <c r="C69" s="64" t="s">
        <v>46</v>
      </c>
      <c r="D69" s="281">
        <f>'Proposed Rates'!I197</f>
        <v>6.1000000000000004E-3</v>
      </c>
      <c r="E69" s="53"/>
      <c r="F69" s="53"/>
      <c r="G69" s="53"/>
      <c r="H69" s="53"/>
      <c r="I69" s="53"/>
      <c r="J69" s="53"/>
      <c r="K69" s="53"/>
      <c r="L69" s="53"/>
      <c r="M69" s="53"/>
      <c r="N69" s="53"/>
      <c r="O69" s="53"/>
      <c r="P69" s="53"/>
      <c r="Q69" s="53"/>
      <c r="R69" s="53"/>
      <c r="S69" s="53"/>
      <c r="T69" s="53"/>
      <c r="U69" s="53"/>
      <c r="V69" s="53"/>
      <c r="W69" s="53"/>
      <c r="X69" s="53"/>
      <c r="Y69" s="53"/>
      <c r="Z69" s="53"/>
    </row>
    <row r="70" spans="1:26" ht="3.75" customHeight="1">
      <c r="A70" s="62"/>
      <c r="B70" s="63"/>
      <c r="C70" s="64"/>
      <c r="D70" s="284"/>
      <c r="E70" s="53"/>
      <c r="F70" s="53"/>
      <c r="G70" s="53"/>
      <c r="H70" s="53"/>
      <c r="I70" s="53"/>
      <c r="J70" s="53"/>
      <c r="K70" s="53"/>
      <c r="L70" s="53"/>
      <c r="M70" s="53"/>
      <c r="N70" s="53"/>
      <c r="O70" s="53"/>
      <c r="P70" s="53"/>
      <c r="Q70" s="53"/>
      <c r="R70" s="53"/>
      <c r="S70" s="53"/>
      <c r="T70" s="53"/>
      <c r="U70" s="53"/>
      <c r="V70" s="53"/>
      <c r="W70" s="53"/>
      <c r="X70" s="53"/>
      <c r="Y70" s="53"/>
      <c r="Z70" s="53"/>
    </row>
    <row r="71" spans="1:26" ht="11.25" customHeight="1">
      <c r="A71" s="70" t="s">
        <v>51</v>
      </c>
      <c r="B71" s="62"/>
      <c r="C71" s="64"/>
      <c r="D71" s="284"/>
      <c r="E71" s="53"/>
      <c r="F71" s="53"/>
      <c r="G71" s="53"/>
      <c r="H71" s="53"/>
      <c r="I71" s="53"/>
      <c r="J71" s="53"/>
      <c r="K71" s="53"/>
      <c r="L71" s="53"/>
      <c r="M71" s="53"/>
      <c r="N71" s="53"/>
      <c r="O71" s="53"/>
      <c r="P71" s="53"/>
      <c r="Q71" s="53"/>
      <c r="R71" s="53"/>
      <c r="S71" s="53"/>
      <c r="T71" s="53"/>
      <c r="U71" s="53"/>
      <c r="V71" s="53"/>
      <c r="W71" s="53"/>
      <c r="X71" s="53"/>
      <c r="Y71" s="53"/>
      <c r="Z71" s="53"/>
    </row>
    <row r="72" spans="1:26" ht="3" customHeight="1">
      <c r="A72" s="70"/>
      <c r="B72" s="63"/>
      <c r="C72" s="64"/>
      <c r="D72" s="284"/>
      <c r="E72" s="53"/>
      <c r="F72" s="53"/>
      <c r="G72" s="53"/>
      <c r="H72" s="53"/>
      <c r="I72" s="53"/>
      <c r="J72" s="53"/>
      <c r="K72" s="53"/>
      <c r="L72" s="53"/>
      <c r="M72" s="53"/>
      <c r="N72" s="53"/>
      <c r="O72" s="53"/>
      <c r="P72" s="53"/>
      <c r="Q72" s="53"/>
      <c r="R72" s="53"/>
      <c r="S72" s="53"/>
      <c r="T72" s="53"/>
      <c r="U72" s="53"/>
      <c r="V72" s="53"/>
      <c r="W72" s="53"/>
      <c r="X72" s="53"/>
      <c r="Y72" s="53"/>
      <c r="Z72" s="53"/>
    </row>
    <row r="73" spans="1:26" ht="12" customHeight="1">
      <c r="A73" s="62" t="s">
        <v>52</v>
      </c>
      <c r="B73" s="63"/>
      <c r="C73" s="64" t="s">
        <v>46</v>
      </c>
      <c r="D73" s="281">
        <f>$D$34</f>
        <v>4.1000000000000003E-3</v>
      </c>
      <c r="E73" s="53"/>
      <c r="F73" s="53"/>
      <c r="G73" s="53"/>
      <c r="H73" s="53"/>
      <c r="I73" s="53"/>
      <c r="J73" s="53"/>
      <c r="K73" s="53"/>
      <c r="L73" s="53"/>
      <c r="M73" s="53"/>
      <c r="N73" s="53"/>
      <c r="O73" s="53"/>
      <c r="P73" s="53"/>
      <c r="Q73" s="53"/>
      <c r="R73" s="53"/>
      <c r="S73" s="53"/>
      <c r="T73" s="53"/>
      <c r="U73" s="53"/>
      <c r="V73" s="53"/>
      <c r="W73" s="53"/>
      <c r="X73" s="53"/>
      <c r="Y73" s="53"/>
      <c r="Z73" s="53"/>
    </row>
    <row r="74" spans="1:26" ht="12" customHeight="1">
      <c r="A74" s="62" t="s">
        <v>53</v>
      </c>
      <c r="B74" s="63"/>
      <c r="C74" s="64" t="s">
        <v>46</v>
      </c>
      <c r="D74" s="281">
        <f>'Proposed Rates'!I210-'2026'!D73</f>
        <v>3.9999999999999931E-4</v>
      </c>
      <c r="E74" s="53"/>
      <c r="F74" s="53"/>
      <c r="G74" s="53"/>
      <c r="H74" s="53"/>
      <c r="I74" s="53"/>
      <c r="J74" s="53"/>
      <c r="K74" s="53"/>
      <c r="L74" s="53"/>
      <c r="M74" s="53"/>
      <c r="N74" s="53"/>
      <c r="O74" s="53"/>
      <c r="P74" s="53"/>
      <c r="Q74" s="53"/>
      <c r="R74" s="53"/>
      <c r="S74" s="53"/>
      <c r="T74" s="53"/>
      <c r="U74" s="53"/>
      <c r="V74" s="53"/>
      <c r="W74" s="53"/>
      <c r="X74" s="53"/>
      <c r="Y74" s="53"/>
      <c r="Z74" s="53"/>
    </row>
    <row r="75" spans="1:26" ht="12" customHeight="1">
      <c r="A75" s="62" t="s">
        <v>54</v>
      </c>
      <c r="B75" s="63"/>
      <c r="C75" s="64" t="s">
        <v>46</v>
      </c>
      <c r="D75" s="281">
        <f>'Proposed Rates'!I223</f>
        <v>1.5E-3</v>
      </c>
      <c r="E75" s="53"/>
      <c r="F75" s="53"/>
      <c r="G75" s="53"/>
      <c r="H75" s="53"/>
      <c r="I75" s="53"/>
      <c r="J75" s="53"/>
      <c r="K75" s="53"/>
      <c r="L75" s="53"/>
      <c r="M75" s="53"/>
      <c r="N75" s="53"/>
      <c r="O75" s="53"/>
      <c r="P75" s="53"/>
      <c r="Q75" s="53"/>
      <c r="R75" s="53"/>
      <c r="S75" s="53"/>
      <c r="T75" s="53"/>
      <c r="U75" s="53"/>
      <c r="V75" s="53"/>
      <c r="W75" s="53"/>
      <c r="X75" s="53"/>
      <c r="Y75" s="53"/>
      <c r="Z75" s="53"/>
    </row>
    <row r="76" spans="1:26" ht="12" customHeight="1">
      <c r="A76" s="62" t="s">
        <v>55</v>
      </c>
      <c r="B76" s="63"/>
      <c r="C76" s="64" t="s">
        <v>41</v>
      </c>
      <c r="D76" s="281">
        <f>'Proposed Rates'!I237</f>
        <v>1.6</v>
      </c>
      <c r="E76" s="53"/>
      <c r="F76" s="53"/>
      <c r="G76" s="53"/>
      <c r="H76" s="53"/>
      <c r="I76" s="53"/>
      <c r="J76" s="53"/>
      <c r="K76" s="53"/>
      <c r="L76" s="53"/>
      <c r="M76" s="53"/>
      <c r="N76" s="53"/>
      <c r="O76" s="53"/>
      <c r="P76" s="53"/>
      <c r="Q76" s="53"/>
      <c r="R76" s="53"/>
      <c r="S76" s="53"/>
      <c r="T76" s="53"/>
      <c r="U76" s="53"/>
      <c r="V76" s="53"/>
      <c r="W76" s="53"/>
      <c r="X76" s="53"/>
      <c r="Y76" s="53"/>
      <c r="Z76" s="53"/>
    </row>
    <row r="77" spans="1:26" ht="11.25" customHeight="1">
      <c r="A77" s="85"/>
      <c r="B77" s="63"/>
      <c r="C77" s="64"/>
      <c r="D77" s="69"/>
      <c r="E77" s="53"/>
      <c r="F77" s="53"/>
      <c r="G77" s="53"/>
      <c r="H77" s="53"/>
      <c r="I77" s="53"/>
      <c r="J77" s="53"/>
      <c r="K77" s="53"/>
      <c r="L77" s="53"/>
      <c r="M77" s="53"/>
      <c r="N77" s="53"/>
      <c r="O77" s="53"/>
      <c r="P77" s="53"/>
      <c r="Q77" s="53"/>
      <c r="R77" s="53"/>
      <c r="S77" s="53"/>
      <c r="T77" s="53"/>
      <c r="U77" s="53"/>
      <c r="V77" s="53"/>
      <c r="W77" s="53"/>
      <c r="X77" s="53"/>
      <c r="Y77" s="53"/>
      <c r="Z77" s="53"/>
    </row>
    <row r="78" spans="1:26" ht="21.75" customHeight="1">
      <c r="A78" s="597" t="str">
        <f>$A$1</f>
        <v>Hydro Ottawa Limited</v>
      </c>
      <c r="B78" s="595"/>
      <c r="C78" s="595"/>
      <c r="D78" s="596"/>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98" t="str">
        <f>$A$2</f>
        <v>PROPOSED - TARIFF OF RATES AND CHARGES</v>
      </c>
      <c r="B79" s="595"/>
      <c r="C79" s="595"/>
      <c r="D79" s="596"/>
      <c r="E79" s="53"/>
      <c r="F79" s="53"/>
      <c r="G79" s="53"/>
      <c r="H79" s="53"/>
      <c r="I79" s="53"/>
      <c r="J79" s="53"/>
      <c r="K79" s="53"/>
      <c r="L79" s="53"/>
      <c r="M79" s="53"/>
      <c r="N79" s="53"/>
      <c r="O79" s="53"/>
      <c r="P79" s="53"/>
      <c r="Q79" s="53"/>
      <c r="R79" s="53"/>
      <c r="S79" s="53"/>
      <c r="T79" s="53"/>
      <c r="U79" s="53"/>
      <c r="V79" s="53"/>
      <c r="W79" s="53"/>
      <c r="X79" s="53"/>
      <c r="Y79" s="53"/>
      <c r="Z79" s="53"/>
    </row>
    <row r="80" spans="1:26" ht="15" customHeight="1">
      <c r="A80" s="599" t="str">
        <f>$A$3</f>
        <v>Effective and Implementation Date January 1, 2029</v>
      </c>
      <c r="B80" s="595"/>
      <c r="C80" s="595"/>
      <c r="D80" s="596"/>
      <c r="E80" s="53"/>
      <c r="F80" s="53"/>
      <c r="G80" s="53"/>
      <c r="H80" s="53"/>
      <c r="I80" s="53"/>
      <c r="J80" s="53"/>
      <c r="K80" s="53"/>
      <c r="L80" s="53"/>
      <c r="M80" s="53"/>
      <c r="N80" s="53"/>
      <c r="O80" s="53"/>
      <c r="P80" s="53"/>
      <c r="Q80" s="53"/>
      <c r="R80" s="53"/>
      <c r="S80" s="53"/>
      <c r="T80" s="53"/>
      <c r="U80" s="53"/>
      <c r="V80" s="53"/>
      <c r="W80" s="53"/>
      <c r="X80" s="53"/>
      <c r="Y80" s="53"/>
      <c r="Z80" s="53"/>
    </row>
    <row r="81" spans="1:26" ht="15" customHeight="1">
      <c r="A81" s="600" t="str">
        <f>$A$4</f>
        <v>This schedule supersedes and replaces all previously</v>
      </c>
      <c r="B81" s="595"/>
      <c r="C81" s="595"/>
      <c r="D81" s="596"/>
      <c r="E81" s="53"/>
      <c r="F81" s="53"/>
      <c r="G81" s="53"/>
      <c r="H81" s="53"/>
      <c r="I81" s="53"/>
      <c r="J81" s="53"/>
      <c r="K81" s="53"/>
      <c r="L81" s="53"/>
      <c r="M81" s="53"/>
      <c r="N81" s="53"/>
      <c r="O81" s="53"/>
      <c r="P81" s="53"/>
      <c r="Q81" s="53"/>
      <c r="R81" s="53"/>
      <c r="S81" s="53"/>
      <c r="T81" s="53"/>
      <c r="U81" s="53"/>
      <c r="V81" s="53"/>
      <c r="W81" s="53"/>
      <c r="X81" s="53"/>
      <c r="Y81" s="53"/>
      <c r="Z81" s="53"/>
    </row>
    <row r="82" spans="1:26" ht="15" customHeight="1">
      <c r="A82" s="600" t="str">
        <f>$A$5</f>
        <v>approved schedules of Rates, Charges and Loss Factors</v>
      </c>
      <c r="B82" s="595"/>
      <c r="C82" s="595"/>
      <c r="D82" s="596"/>
      <c r="E82" s="53"/>
      <c r="F82" s="53"/>
      <c r="G82" s="53"/>
      <c r="H82" s="53"/>
      <c r="I82" s="53"/>
      <c r="J82" s="53"/>
      <c r="K82" s="53"/>
      <c r="L82" s="53"/>
      <c r="M82" s="53"/>
      <c r="N82" s="53"/>
      <c r="O82" s="53"/>
      <c r="P82" s="53"/>
      <c r="Q82" s="53"/>
      <c r="R82" s="53"/>
      <c r="S82" s="53"/>
      <c r="T82" s="53"/>
      <c r="U82" s="53"/>
      <c r="V82" s="53"/>
      <c r="W82" s="53"/>
      <c r="X82" s="53"/>
      <c r="Y82" s="53"/>
      <c r="Z82" s="53"/>
    </row>
    <row r="83" spans="1:26" ht="9" customHeight="1">
      <c r="A83" s="601" t="str">
        <f>$A$6</f>
        <v>EB-2024-0115</v>
      </c>
      <c r="B83" s="595"/>
      <c r="C83" s="595"/>
      <c r="D83" s="596"/>
      <c r="E83" s="53"/>
      <c r="F83" s="53"/>
      <c r="G83" s="53"/>
      <c r="H83" s="53"/>
      <c r="I83" s="53"/>
      <c r="J83" s="53"/>
      <c r="K83" s="53"/>
      <c r="L83" s="53"/>
      <c r="M83" s="53"/>
      <c r="N83" s="53"/>
      <c r="O83" s="53"/>
      <c r="P83" s="53"/>
      <c r="Q83" s="53"/>
      <c r="R83" s="53"/>
      <c r="S83" s="53"/>
      <c r="T83" s="53"/>
      <c r="U83" s="53"/>
      <c r="V83" s="53"/>
      <c r="W83" s="53"/>
      <c r="X83" s="53"/>
      <c r="Y83" s="53"/>
      <c r="Z83" s="53"/>
    </row>
    <row r="84" spans="1:26" ht="18.75" customHeight="1">
      <c r="A84" s="602" t="s">
        <v>61</v>
      </c>
      <c r="B84" s="595"/>
      <c r="C84" s="595"/>
      <c r="D84" s="596"/>
      <c r="E84" s="71"/>
      <c r="F84" s="71"/>
      <c r="G84" s="71"/>
      <c r="H84" s="71"/>
      <c r="I84" s="71"/>
      <c r="J84" s="71"/>
      <c r="K84" s="71"/>
      <c r="L84" s="71"/>
      <c r="M84" s="71"/>
      <c r="N84" s="71"/>
      <c r="O84" s="71"/>
      <c r="P84" s="71"/>
      <c r="Q84" s="71"/>
      <c r="R84" s="71"/>
      <c r="S84" s="71"/>
      <c r="T84" s="71"/>
      <c r="U84" s="71"/>
      <c r="V84" s="71"/>
      <c r="W84" s="71"/>
      <c r="X84" s="71"/>
      <c r="Y84" s="71"/>
      <c r="Z84" s="71"/>
    </row>
    <row r="85" spans="1:26" ht="48" customHeight="1">
      <c r="A85" s="603" t="s">
        <v>62</v>
      </c>
      <c r="B85" s="595"/>
      <c r="C85" s="595"/>
      <c r="D85" s="596"/>
      <c r="E85" s="53"/>
      <c r="F85" s="53"/>
      <c r="G85" s="53"/>
      <c r="H85" s="53"/>
      <c r="I85" s="53"/>
      <c r="J85" s="53"/>
      <c r="K85" s="53"/>
      <c r="L85" s="53"/>
      <c r="M85" s="53"/>
      <c r="N85" s="53"/>
      <c r="O85" s="53"/>
      <c r="P85" s="53"/>
      <c r="Q85" s="53"/>
      <c r="R85" s="53"/>
      <c r="S85" s="53"/>
      <c r="T85" s="53"/>
      <c r="U85" s="53"/>
      <c r="V85" s="53"/>
      <c r="W85" s="53"/>
      <c r="X85" s="53"/>
      <c r="Y85" s="53"/>
      <c r="Z85" s="53"/>
    </row>
    <row r="86" spans="1:26" ht="6.75" customHeight="1">
      <c r="A86" s="54"/>
      <c r="B86" s="54"/>
      <c r="C86" s="54"/>
      <c r="D86" s="55"/>
      <c r="E86" s="53"/>
      <c r="F86" s="53"/>
      <c r="G86" s="53"/>
      <c r="H86" s="53"/>
      <c r="I86" s="53"/>
      <c r="J86" s="53"/>
      <c r="K86" s="53"/>
      <c r="L86" s="53"/>
      <c r="M86" s="53"/>
      <c r="N86" s="53"/>
      <c r="O86" s="53"/>
      <c r="P86" s="53"/>
      <c r="Q86" s="53"/>
      <c r="R86" s="53"/>
      <c r="S86" s="53"/>
      <c r="T86" s="53"/>
      <c r="U86" s="53"/>
      <c r="V86" s="53"/>
      <c r="W86" s="53"/>
      <c r="X86" s="53"/>
      <c r="Y86" s="53"/>
      <c r="Z86" s="53"/>
    </row>
    <row r="87" spans="1:26" ht="11.25" customHeight="1">
      <c r="A87" s="604" t="s">
        <v>34</v>
      </c>
      <c r="B87" s="595"/>
      <c r="C87" s="595"/>
      <c r="D87" s="596"/>
      <c r="E87" s="53"/>
      <c r="F87" s="53"/>
      <c r="G87" s="53"/>
      <c r="H87" s="53"/>
      <c r="I87" s="53"/>
      <c r="J87" s="53"/>
      <c r="K87" s="53"/>
      <c r="L87" s="53"/>
      <c r="M87" s="53"/>
      <c r="N87" s="53"/>
      <c r="O87" s="53"/>
      <c r="P87" s="53"/>
      <c r="Q87" s="53"/>
      <c r="R87" s="53"/>
      <c r="S87" s="53"/>
      <c r="T87" s="53"/>
      <c r="U87" s="53"/>
      <c r="V87" s="53"/>
      <c r="W87" s="53"/>
      <c r="X87" s="53"/>
      <c r="Y87" s="53"/>
      <c r="Z87" s="53"/>
    </row>
    <row r="88" spans="1:26" ht="6.75" customHeight="1">
      <c r="A88" s="56"/>
      <c r="B88" s="57"/>
      <c r="C88" s="57"/>
      <c r="D88" s="58"/>
      <c r="E88" s="53"/>
      <c r="F88" s="53"/>
      <c r="G88" s="53"/>
      <c r="H88" s="53"/>
      <c r="I88" s="53"/>
      <c r="J88" s="53"/>
      <c r="K88" s="53"/>
      <c r="L88" s="53"/>
      <c r="M88" s="53"/>
      <c r="N88" s="53"/>
      <c r="O88" s="53"/>
      <c r="P88" s="53"/>
      <c r="Q88" s="53"/>
      <c r="R88" s="53"/>
      <c r="S88" s="53"/>
      <c r="T88" s="53"/>
      <c r="U88" s="53"/>
      <c r="V88" s="53"/>
      <c r="W88" s="53"/>
      <c r="X88" s="53"/>
      <c r="Y88" s="53"/>
      <c r="Z88" s="53"/>
    </row>
    <row r="89" spans="1:26" ht="36" customHeight="1">
      <c r="A89" s="603" t="s">
        <v>35</v>
      </c>
      <c r="B89" s="595"/>
      <c r="C89" s="595"/>
      <c r="D89" s="596"/>
      <c r="E89" s="53"/>
      <c r="F89" s="53"/>
      <c r="G89" s="53"/>
      <c r="H89" s="53"/>
      <c r="I89" s="53"/>
      <c r="J89" s="53"/>
      <c r="K89" s="53"/>
      <c r="L89" s="53"/>
      <c r="M89" s="53"/>
      <c r="N89" s="53"/>
      <c r="O89" s="53"/>
      <c r="P89" s="53"/>
      <c r="Q89" s="53"/>
      <c r="R89" s="53"/>
      <c r="S89" s="53"/>
      <c r="T89" s="53"/>
      <c r="U89" s="53"/>
      <c r="V89" s="53"/>
      <c r="W89" s="53"/>
      <c r="X89" s="53"/>
      <c r="Y89" s="53"/>
      <c r="Z89" s="53"/>
    </row>
    <row r="90" spans="1:26" ht="6.75" customHeight="1">
      <c r="A90" s="54"/>
      <c r="B90" s="54"/>
      <c r="C90" s="54"/>
      <c r="D90" s="55"/>
      <c r="E90" s="53"/>
      <c r="F90" s="53"/>
      <c r="G90" s="53"/>
      <c r="H90" s="53"/>
      <c r="I90" s="53"/>
      <c r="J90" s="53"/>
      <c r="K90" s="53"/>
      <c r="L90" s="53"/>
      <c r="M90" s="53"/>
      <c r="N90" s="53"/>
      <c r="O90" s="53"/>
      <c r="P90" s="53"/>
      <c r="Q90" s="53"/>
      <c r="R90" s="53"/>
      <c r="S90" s="53"/>
      <c r="T90" s="53"/>
      <c r="U90" s="53"/>
      <c r="V90" s="53"/>
      <c r="W90" s="53"/>
      <c r="X90" s="53"/>
      <c r="Y90" s="53"/>
      <c r="Z90" s="53"/>
    </row>
    <row r="91" spans="1:26" ht="48" customHeight="1">
      <c r="A91" s="603" t="s">
        <v>36</v>
      </c>
      <c r="B91" s="595"/>
      <c r="C91" s="595"/>
      <c r="D91" s="596"/>
      <c r="E91" s="53"/>
      <c r="F91" s="53"/>
      <c r="G91" s="53"/>
      <c r="H91" s="53"/>
      <c r="I91" s="53"/>
      <c r="J91" s="53"/>
      <c r="K91" s="53"/>
      <c r="L91" s="53"/>
      <c r="M91" s="53"/>
      <c r="N91" s="53"/>
      <c r="O91" s="53"/>
      <c r="P91" s="53"/>
      <c r="Q91" s="53"/>
      <c r="R91" s="53"/>
      <c r="S91" s="53"/>
      <c r="T91" s="53"/>
      <c r="U91" s="53"/>
      <c r="V91" s="53"/>
      <c r="W91" s="53"/>
      <c r="X91" s="53"/>
      <c r="Y91" s="53"/>
      <c r="Z91" s="53"/>
    </row>
    <row r="92" spans="1:26" ht="6.75" customHeight="1">
      <c r="A92" s="54"/>
      <c r="B92" s="54"/>
      <c r="C92" s="54"/>
      <c r="D92" s="55"/>
      <c r="E92" s="53"/>
      <c r="F92" s="53"/>
      <c r="G92" s="53"/>
      <c r="H92" s="53"/>
      <c r="I92" s="53"/>
      <c r="J92" s="53"/>
      <c r="K92" s="53"/>
      <c r="L92" s="53"/>
      <c r="M92" s="53"/>
      <c r="N92" s="53"/>
      <c r="O92" s="53"/>
      <c r="P92" s="53"/>
      <c r="Q92" s="53"/>
      <c r="R92" s="53"/>
      <c r="S92" s="53"/>
      <c r="T92" s="53"/>
      <c r="U92" s="53"/>
      <c r="V92" s="53"/>
      <c r="W92" s="53"/>
      <c r="X92" s="53"/>
      <c r="Y92" s="53"/>
      <c r="Z92" s="53"/>
    </row>
    <row r="93" spans="1:26" ht="48" customHeight="1">
      <c r="A93" s="603" t="s">
        <v>37</v>
      </c>
      <c r="B93" s="595"/>
      <c r="C93" s="595"/>
      <c r="D93" s="596"/>
      <c r="E93" s="53"/>
      <c r="F93" s="53"/>
      <c r="G93" s="53"/>
      <c r="H93" s="53"/>
      <c r="I93" s="53"/>
      <c r="J93" s="53"/>
      <c r="K93" s="53"/>
      <c r="L93" s="53"/>
      <c r="M93" s="53"/>
      <c r="N93" s="53"/>
      <c r="O93" s="53"/>
      <c r="P93" s="53"/>
      <c r="Q93" s="53"/>
      <c r="R93" s="53"/>
      <c r="S93" s="53"/>
      <c r="T93" s="53"/>
      <c r="U93" s="53"/>
      <c r="V93" s="53"/>
      <c r="W93" s="53"/>
      <c r="X93" s="53"/>
      <c r="Y93" s="53"/>
      <c r="Z93" s="53"/>
    </row>
    <row r="94" spans="1:26" ht="6.75" customHeight="1">
      <c r="A94" s="54"/>
      <c r="B94" s="54"/>
      <c r="C94" s="54"/>
      <c r="D94" s="55"/>
      <c r="E94" s="53"/>
      <c r="F94" s="53"/>
      <c r="G94" s="53"/>
      <c r="H94" s="53"/>
      <c r="I94" s="53"/>
      <c r="J94" s="53"/>
      <c r="K94" s="53"/>
      <c r="L94" s="53"/>
      <c r="M94" s="53"/>
      <c r="N94" s="53"/>
      <c r="O94" s="53"/>
      <c r="P94" s="53"/>
      <c r="Q94" s="53"/>
      <c r="R94" s="53"/>
      <c r="S94" s="53"/>
      <c r="T94" s="53"/>
      <c r="U94" s="53"/>
      <c r="V94" s="53"/>
      <c r="W94" s="53"/>
      <c r="X94" s="53"/>
      <c r="Y94" s="53"/>
      <c r="Z94" s="53"/>
    </row>
    <row r="95" spans="1:26" ht="96" customHeight="1">
      <c r="A95" s="603" t="s">
        <v>63</v>
      </c>
      <c r="B95" s="595"/>
      <c r="C95" s="595"/>
      <c r="D95" s="596"/>
      <c r="E95" s="53"/>
      <c r="F95" s="53"/>
      <c r="G95" s="53"/>
      <c r="H95" s="53"/>
      <c r="I95" s="53"/>
      <c r="J95" s="53"/>
      <c r="K95" s="53"/>
      <c r="L95" s="53"/>
      <c r="M95" s="53"/>
      <c r="N95" s="53"/>
      <c r="O95" s="53"/>
      <c r="P95" s="53"/>
      <c r="Q95" s="53"/>
      <c r="R95" s="53"/>
      <c r="S95" s="53"/>
      <c r="T95" s="53"/>
      <c r="U95" s="53"/>
      <c r="V95" s="53"/>
      <c r="W95" s="53"/>
      <c r="X95" s="53"/>
      <c r="Y95" s="53"/>
      <c r="Z95" s="53"/>
    </row>
    <row r="96" spans="1:26" ht="96" customHeight="1">
      <c r="A96" s="603" t="s">
        <v>64</v>
      </c>
      <c r="B96" s="595"/>
      <c r="C96" s="595"/>
      <c r="D96" s="596"/>
      <c r="E96" s="53"/>
      <c r="F96" s="53"/>
      <c r="G96" s="53"/>
      <c r="H96" s="53"/>
      <c r="I96" s="53"/>
      <c r="J96" s="53"/>
      <c r="K96" s="53"/>
      <c r="L96" s="53"/>
      <c r="M96" s="53"/>
      <c r="N96" s="53"/>
      <c r="O96" s="53"/>
      <c r="P96" s="53"/>
      <c r="Q96" s="53"/>
      <c r="R96" s="53"/>
      <c r="S96" s="53"/>
      <c r="T96" s="53"/>
      <c r="U96" s="53"/>
      <c r="V96" s="53"/>
      <c r="W96" s="53"/>
      <c r="X96" s="53"/>
      <c r="Y96" s="53"/>
      <c r="Z96" s="53"/>
    </row>
    <row r="97" spans="1:26" ht="36" customHeight="1">
      <c r="A97" s="603" t="s">
        <v>38</v>
      </c>
      <c r="B97" s="595"/>
      <c r="C97" s="595"/>
      <c r="D97" s="596"/>
      <c r="E97" s="53"/>
      <c r="F97" s="53"/>
      <c r="G97" s="53"/>
      <c r="H97" s="53"/>
      <c r="I97" s="53"/>
      <c r="J97" s="53"/>
      <c r="K97" s="53"/>
      <c r="L97" s="53"/>
      <c r="M97" s="53"/>
      <c r="N97" s="53"/>
      <c r="O97" s="53"/>
      <c r="P97" s="53"/>
      <c r="Q97" s="53"/>
      <c r="R97" s="53"/>
      <c r="S97" s="53"/>
      <c r="T97" s="53"/>
      <c r="U97" s="53"/>
      <c r="V97" s="53"/>
      <c r="W97" s="53"/>
      <c r="X97" s="53"/>
      <c r="Y97" s="53"/>
      <c r="Z97" s="53"/>
    </row>
    <row r="98" spans="1:26" ht="24" customHeight="1">
      <c r="A98" s="608" t="s">
        <v>65</v>
      </c>
      <c r="B98" s="595"/>
      <c r="C98" s="595"/>
      <c r="D98" s="596"/>
      <c r="E98" s="53"/>
      <c r="F98" s="53"/>
      <c r="G98" s="53"/>
      <c r="H98" s="53"/>
      <c r="I98" s="53"/>
      <c r="J98" s="53"/>
      <c r="K98" s="53"/>
      <c r="L98" s="53"/>
      <c r="M98" s="53"/>
      <c r="N98" s="53"/>
      <c r="O98" s="53"/>
      <c r="P98" s="53"/>
      <c r="Q98" s="53"/>
      <c r="R98" s="53"/>
      <c r="S98" s="53"/>
      <c r="T98" s="53"/>
      <c r="U98" s="53"/>
      <c r="V98" s="53"/>
      <c r="W98" s="53"/>
      <c r="X98" s="53"/>
      <c r="Y98" s="53"/>
      <c r="Z98" s="53"/>
    </row>
    <row r="99" spans="1:26" ht="6.75" customHeight="1">
      <c r="A99" s="74"/>
      <c r="B99" s="74"/>
      <c r="C99" s="74"/>
      <c r="D99" s="75"/>
      <c r="E99" s="53"/>
      <c r="F99" s="53"/>
      <c r="G99" s="53"/>
      <c r="H99" s="53"/>
      <c r="I99" s="53"/>
      <c r="J99" s="53"/>
      <c r="K99" s="53"/>
      <c r="L99" s="53"/>
      <c r="M99" s="53"/>
      <c r="N99" s="53"/>
      <c r="O99" s="53"/>
      <c r="P99" s="53"/>
      <c r="Q99" s="53"/>
      <c r="R99" s="53"/>
      <c r="S99" s="53"/>
      <c r="T99" s="53"/>
      <c r="U99" s="53"/>
      <c r="V99" s="53"/>
      <c r="W99" s="53"/>
      <c r="X99" s="53"/>
      <c r="Y99" s="53"/>
      <c r="Z99" s="53"/>
    </row>
    <row r="100" spans="1:26" ht="15" customHeight="1">
      <c r="A100" s="594" t="s">
        <v>39</v>
      </c>
      <c r="B100" s="595"/>
      <c r="C100" s="595"/>
      <c r="D100" s="596"/>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6.75" customHeight="1">
      <c r="A101" s="59"/>
      <c r="B101" s="60"/>
      <c r="C101" s="60"/>
      <c r="D101" s="61"/>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62" t="s">
        <v>40</v>
      </c>
      <c r="B102" s="63"/>
      <c r="C102" s="64" t="s">
        <v>41</v>
      </c>
      <c r="D102" s="280">
        <f>'Proposed Rates'!I10</f>
        <v>200</v>
      </c>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62" t="s">
        <v>59</v>
      </c>
      <c r="B103" s="63"/>
      <c r="C103" s="64" t="s">
        <v>66</v>
      </c>
      <c r="D103" s="281">
        <f>'Proposed Rates'!I23</f>
        <v>10.3217</v>
      </c>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 customHeight="1">
      <c r="A104" s="62" t="s">
        <v>45</v>
      </c>
      <c r="B104" s="63"/>
      <c r="C104" s="64" t="s">
        <v>66</v>
      </c>
      <c r="D104" s="283">
        <f>'Proposed Rates'!I262</f>
        <v>2.4649999999999998E-2</v>
      </c>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 hidden="1" customHeight="1">
      <c r="A105" s="62" t="s">
        <v>47</v>
      </c>
      <c r="B105" s="63"/>
      <c r="C105" s="64" t="s">
        <v>66</v>
      </c>
      <c r="D105" s="281">
        <f>'Proposed Rates'!I39</f>
        <v>0</v>
      </c>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 hidden="1" customHeight="1">
      <c r="A106" s="62" t="s">
        <v>43</v>
      </c>
      <c r="B106" s="63"/>
      <c r="C106" s="64" t="s">
        <v>66</v>
      </c>
      <c r="D106" s="281">
        <f>'Proposed Rates'!I66</f>
        <v>0</v>
      </c>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 hidden="1" customHeight="1">
      <c r="A107" s="62" t="s">
        <v>42</v>
      </c>
      <c r="B107" s="63"/>
      <c r="C107" s="64" t="s">
        <v>66</v>
      </c>
      <c r="D107" s="281">
        <f>'Proposed Rates'!I92</f>
        <v>0</v>
      </c>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 hidden="1" customHeight="1">
      <c r="A108" s="62" t="s">
        <v>48</v>
      </c>
      <c r="B108" s="63"/>
      <c r="C108" s="64" t="s">
        <v>46</v>
      </c>
      <c r="D108" s="281">
        <f>'Proposed Rates'!I145</f>
        <v>0</v>
      </c>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 hidden="1" customHeight="1">
      <c r="A109" s="62" t="s">
        <v>67</v>
      </c>
      <c r="B109" s="63"/>
      <c r="C109" s="64" t="s">
        <v>46</v>
      </c>
      <c r="D109" s="281">
        <f>'Proposed Rates'!I158</f>
        <v>0</v>
      </c>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62" t="s">
        <v>49</v>
      </c>
      <c r="B110" s="63"/>
      <c r="C110" s="64" t="s">
        <v>66</v>
      </c>
      <c r="D110" s="281">
        <f>'Proposed Rates'!I185</f>
        <v>4.5787000000000004</v>
      </c>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62" t="s">
        <v>50</v>
      </c>
      <c r="B111" s="63"/>
      <c r="C111" s="64" t="s">
        <v>66</v>
      </c>
      <c r="D111" s="281">
        <f>'Proposed Rates'!I198</f>
        <v>2.5918000000000001</v>
      </c>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3" customHeight="1">
      <c r="A112" s="64"/>
      <c r="B112" s="64"/>
      <c r="C112" s="64"/>
      <c r="D112" s="284"/>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1.25" customHeight="1">
      <c r="A113" s="70" t="s">
        <v>51</v>
      </c>
      <c r="B113" s="63"/>
      <c r="C113" s="64"/>
      <c r="D113" s="284"/>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3" customHeight="1">
      <c r="A114" s="59"/>
      <c r="B114" s="64"/>
      <c r="C114" s="64"/>
      <c r="D114" s="284"/>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62" t="s">
        <v>52</v>
      </c>
      <c r="B115" s="63"/>
      <c r="C115" s="64" t="s">
        <v>46</v>
      </c>
      <c r="D115" s="281">
        <f>$D$34</f>
        <v>4.1000000000000003E-3</v>
      </c>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62" t="s">
        <v>53</v>
      </c>
      <c r="B116" s="63"/>
      <c r="C116" s="64" t="s">
        <v>46</v>
      </c>
      <c r="D116" s="281">
        <f>'Proposed Rates'!I211-'2026'!D114</f>
        <v>3.9999999999999931E-4</v>
      </c>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62" t="s">
        <v>54</v>
      </c>
      <c r="B117" s="63"/>
      <c r="C117" s="64" t="s">
        <v>46</v>
      </c>
      <c r="D117" s="281">
        <f>'Proposed Rates'!I224</f>
        <v>1.5E-3</v>
      </c>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62" t="s">
        <v>55</v>
      </c>
      <c r="B118" s="63"/>
      <c r="C118" s="64" t="s">
        <v>41</v>
      </c>
      <c r="D118" s="281">
        <f>'Proposed Rates'!I238</f>
        <v>1.6</v>
      </c>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 customHeight="1">
      <c r="A119" s="85"/>
      <c r="B119" s="63"/>
      <c r="C119" s="64"/>
      <c r="D119" s="69"/>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9.5" customHeight="1">
      <c r="A120" s="597" t="str">
        <f>$A$1</f>
        <v>Hydro Ottawa Limited</v>
      </c>
      <c r="B120" s="595"/>
      <c r="C120" s="595"/>
      <c r="D120" s="596"/>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98" t="str">
        <f>$A$2</f>
        <v>PROPOSED - TARIFF OF RATES AND CHARGES</v>
      </c>
      <c r="B121" s="595"/>
      <c r="C121" s="595"/>
      <c r="D121" s="596"/>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99" t="str">
        <f>$A$3</f>
        <v>Effective and Implementation Date January 1, 2029</v>
      </c>
      <c r="B122" s="595"/>
      <c r="C122" s="595"/>
      <c r="D122" s="596"/>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600" t="str">
        <f>$A$4</f>
        <v>This schedule supersedes and replaces all previously</v>
      </c>
      <c r="B123" s="595"/>
      <c r="C123" s="595"/>
      <c r="D123" s="596"/>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600" t="str">
        <f>$A$5</f>
        <v>approved schedules of Rates, Charges and Loss Factors</v>
      </c>
      <c r="B124" s="595"/>
      <c r="C124" s="595"/>
      <c r="D124" s="596"/>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601" t="str">
        <f>$A$6</f>
        <v>EB-2024-0115</v>
      </c>
      <c r="B125" s="595"/>
      <c r="C125" s="595"/>
      <c r="D125" s="596"/>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8.75" customHeight="1">
      <c r="A126" s="602" t="s">
        <v>68</v>
      </c>
      <c r="B126" s="595"/>
      <c r="C126" s="595"/>
      <c r="D126" s="596"/>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48" customHeight="1">
      <c r="A127" s="603" t="s">
        <v>69</v>
      </c>
      <c r="B127" s="595"/>
      <c r="C127" s="595"/>
      <c r="D127" s="596"/>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6.75" customHeight="1">
      <c r="A128" s="54"/>
      <c r="B128" s="54"/>
      <c r="C128" s="54"/>
      <c r="D128" s="55"/>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1.25" customHeight="1">
      <c r="A129" s="604" t="s">
        <v>34</v>
      </c>
      <c r="B129" s="595"/>
      <c r="C129" s="595"/>
      <c r="D129" s="596"/>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6.75" customHeight="1">
      <c r="A130" s="56"/>
      <c r="B130" s="57"/>
      <c r="C130" s="57"/>
      <c r="D130" s="58"/>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36" customHeight="1">
      <c r="A131" s="603" t="s">
        <v>35</v>
      </c>
      <c r="B131" s="595"/>
      <c r="C131" s="595"/>
      <c r="D131" s="596"/>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6.75" customHeight="1">
      <c r="A132" s="54"/>
      <c r="B132" s="54"/>
      <c r="C132" s="54"/>
      <c r="D132" s="55"/>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48" customHeight="1">
      <c r="A133" s="603" t="s">
        <v>70</v>
      </c>
      <c r="B133" s="595"/>
      <c r="C133" s="595"/>
      <c r="D133" s="596"/>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6.75" customHeight="1">
      <c r="A134" s="54"/>
      <c r="B134" s="54"/>
      <c r="C134" s="54"/>
      <c r="D134" s="55"/>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48" customHeight="1">
      <c r="A135" s="603" t="s">
        <v>37</v>
      </c>
      <c r="B135" s="595"/>
      <c r="C135" s="595"/>
      <c r="D135" s="596"/>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6.75" customHeight="1">
      <c r="A136" s="54"/>
      <c r="B136" s="54"/>
      <c r="C136" s="54"/>
      <c r="D136" s="55"/>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96" customHeight="1">
      <c r="A137" s="603" t="s">
        <v>63</v>
      </c>
      <c r="B137" s="595"/>
      <c r="C137" s="595"/>
      <c r="D137" s="596"/>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96" customHeight="1">
      <c r="A138" s="603" t="s">
        <v>64</v>
      </c>
      <c r="B138" s="595"/>
      <c r="C138" s="595"/>
      <c r="D138" s="596"/>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36" customHeight="1">
      <c r="A139" s="603" t="s">
        <v>38</v>
      </c>
      <c r="B139" s="595"/>
      <c r="C139" s="595"/>
      <c r="D139" s="596"/>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24" customHeight="1">
      <c r="A140" s="608" t="s">
        <v>65</v>
      </c>
      <c r="B140" s="595"/>
      <c r="C140" s="595"/>
      <c r="D140" s="596"/>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6.75" customHeight="1">
      <c r="A141" s="74"/>
      <c r="B141" s="74"/>
      <c r="C141" s="74"/>
      <c r="D141" s="75"/>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 customHeight="1">
      <c r="A142" s="594" t="s">
        <v>39</v>
      </c>
      <c r="B142" s="595"/>
      <c r="C142" s="595"/>
      <c r="D142" s="596"/>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6.75" customHeight="1">
      <c r="A143" s="59"/>
      <c r="B143" s="60"/>
      <c r="C143" s="60"/>
      <c r="D143" s="61"/>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 customHeight="1">
      <c r="A144" s="62" t="s">
        <v>40</v>
      </c>
      <c r="B144" s="63"/>
      <c r="C144" s="64" t="s">
        <v>41</v>
      </c>
      <c r="D144" s="280">
        <f>'Proposed Rates'!I11</f>
        <v>4126.75</v>
      </c>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 customHeight="1">
      <c r="A145" s="62" t="s">
        <v>59</v>
      </c>
      <c r="B145" s="63"/>
      <c r="C145" s="64" t="s">
        <v>66</v>
      </c>
      <c r="D145" s="281">
        <f>'Proposed Rates'!I24</f>
        <v>10.138</v>
      </c>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 customHeight="1">
      <c r="A146" s="62" t="s">
        <v>45</v>
      </c>
      <c r="B146" s="63"/>
      <c r="C146" s="64" t="s">
        <v>66</v>
      </c>
      <c r="D146" s="283">
        <f>'Proposed Rates'!I263</f>
        <v>2.4459999999999999E-2</v>
      </c>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 hidden="1" customHeight="1">
      <c r="A147" s="62" t="s">
        <v>47</v>
      </c>
      <c r="B147" s="63"/>
      <c r="C147" s="64" t="s">
        <v>66</v>
      </c>
      <c r="D147" s="281">
        <f>'Proposed Rates'!I40</f>
        <v>0</v>
      </c>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 hidden="1" customHeight="1">
      <c r="A148" s="62" t="s">
        <v>43</v>
      </c>
      <c r="B148" s="63"/>
      <c r="C148" s="64" t="s">
        <v>66</v>
      </c>
      <c r="D148" s="281">
        <f>'Proposed Rates'!I67</f>
        <v>0</v>
      </c>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 hidden="1" customHeight="1">
      <c r="A149" s="62" t="s">
        <v>42</v>
      </c>
      <c r="B149" s="63"/>
      <c r="C149" s="64" t="s">
        <v>66</v>
      </c>
      <c r="D149" s="281">
        <f>'Proposed Rates'!I93</f>
        <v>0</v>
      </c>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 hidden="1" customHeight="1">
      <c r="A150" s="62" t="s">
        <v>48</v>
      </c>
      <c r="B150" s="63"/>
      <c r="C150" s="64" t="s">
        <v>46</v>
      </c>
      <c r="D150" s="281">
        <f>'Proposed Rates'!I145</f>
        <v>0</v>
      </c>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 hidden="1" customHeight="1">
      <c r="A151" s="62" t="s">
        <v>67</v>
      </c>
      <c r="B151" s="63"/>
      <c r="C151" s="64" t="s">
        <v>46</v>
      </c>
      <c r="D151" s="281">
        <f>'Proposed Rates'!I159</f>
        <v>0</v>
      </c>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 customHeight="1">
      <c r="A152" s="62" t="s">
        <v>49</v>
      </c>
      <c r="B152" s="63"/>
      <c r="C152" s="64" t="s">
        <v>66</v>
      </c>
      <c r="D152" s="281">
        <f>'Proposed Rates'!I186</f>
        <v>4.5423999999999998</v>
      </c>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 customHeight="1">
      <c r="A153" s="62" t="s">
        <v>50</v>
      </c>
      <c r="B153" s="63"/>
      <c r="C153" s="64" t="s">
        <v>66</v>
      </c>
      <c r="D153" s="281">
        <f>'Proposed Rates'!I199</f>
        <v>2.5712000000000002</v>
      </c>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3" customHeight="1">
      <c r="A154" s="64"/>
      <c r="B154" s="64"/>
      <c r="C154" s="64"/>
      <c r="D154" s="284"/>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1.25" customHeight="1">
      <c r="A155" s="70" t="s">
        <v>51</v>
      </c>
      <c r="B155" s="63"/>
      <c r="C155" s="64"/>
      <c r="D155" s="284"/>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6" customHeight="1">
      <c r="A156" s="59"/>
      <c r="B156" s="64"/>
      <c r="C156" s="64"/>
      <c r="D156" s="284"/>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 customHeight="1">
      <c r="A157" s="62" t="s">
        <v>52</v>
      </c>
      <c r="B157" s="63"/>
      <c r="C157" s="64" t="s">
        <v>46</v>
      </c>
      <c r="D157" s="281">
        <f>$D$34</f>
        <v>4.1000000000000003E-3</v>
      </c>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 customHeight="1">
      <c r="A158" s="62" t="s">
        <v>53</v>
      </c>
      <c r="B158" s="63"/>
      <c r="C158" s="64" t="s">
        <v>46</v>
      </c>
      <c r="D158" s="281">
        <f>'Proposed Rates'!I212-'2026'!D155</f>
        <v>3.9999999999999931E-4</v>
      </c>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 customHeight="1">
      <c r="A159" s="62" t="s">
        <v>54</v>
      </c>
      <c r="B159" s="63"/>
      <c r="C159" s="64" t="s">
        <v>46</v>
      </c>
      <c r="D159" s="281">
        <f>'Proposed Rates'!I225</f>
        <v>1.5E-3</v>
      </c>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 customHeight="1">
      <c r="A160" s="62" t="s">
        <v>55</v>
      </c>
      <c r="B160" s="63"/>
      <c r="C160" s="64" t="s">
        <v>41</v>
      </c>
      <c r="D160" s="281">
        <f>'Proposed Rates'!I239</f>
        <v>1.6</v>
      </c>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6" customHeight="1">
      <c r="A161" s="85"/>
      <c r="B161" s="63"/>
      <c r="C161" s="64"/>
      <c r="D161" s="69"/>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21.75" customHeight="1">
      <c r="A162" s="597" t="str">
        <f>$A$1</f>
        <v>Hydro Ottawa Limited</v>
      </c>
      <c r="B162" s="595"/>
      <c r="C162" s="595"/>
      <c r="D162" s="596"/>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98" t="str">
        <f>$A$2</f>
        <v>PROPOSED - TARIFF OF RATES AND CHARGES</v>
      </c>
      <c r="B163" s="595"/>
      <c r="C163" s="595"/>
      <c r="D163" s="596"/>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 customHeight="1">
      <c r="A164" s="599" t="str">
        <f>$A$3</f>
        <v>Effective and Implementation Date January 1, 2029</v>
      </c>
      <c r="B164" s="595"/>
      <c r="C164" s="595"/>
      <c r="D164" s="596"/>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 customHeight="1">
      <c r="A165" s="600" t="str">
        <f>$A$4</f>
        <v>This schedule supersedes and replaces all previously</v>
      </c>
      <c r="B165" s="595"/>
      <c r="C165" s="595"/>
      <c r="D165" s="596"/>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 customHeight="1">
      <c r="A166" s="600" t="str">
        <f>$A$5</f>
        <v>approved schedules of Rates, Charges and Loss Factors</v>
      </c>
      <c r="B166" s="595"/>
      <c r="C166" s="595"/>
      <c r="D166" s="596"/>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9.75" customHeight="1">
      <c r="A167" s="601" t="str">
        <f>$A$6</f>
        <v>EB-2024-0115</v>
      </c>
      <c r="B167" s="595"/>
      <c r="C167" s="595"/>
      <c r="D167" s="596"/>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8.75" customHeight="1">
      <c r="A168" s="602" t="s">
        <v>71</v>
      </c>
      <c r="B168" s="595"/>
      <c r="C168" s="595"/>
      <c r="D168" s="596"/>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48" customHeight="1">
      <c r="A169" s="603" t="s">
        <v>72</v>
      </c>
      <c r="B169" s="595"/>
      <c r="C169" s="595"/>
      <c r="D169" s="596"/>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6.75" customHeight="1">
      <c r="A170" s="54"/>
      <c r="B170" s="54"/>
      <c r="C170" s="54"/>
      <c r="D170" s="55"/>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1.25" customHeight="1">
      <c r="A171" s="604" t="s">
        <v>34</v>
      </c>
      <c r="B171" s="595"/>
      <c r="C171" s="595"/>
      <c r="D171" s="596"/>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6.75" customHeight="1">
      <c r="A172" s="56"/>
      <c r="B172" s="57"/>
      <c r="C172" s="57"/>
      <c r="D172" s="58"/>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36" customHeight="1">
      <c r="A173" s="603" t="s">
        <v>35</v>
      </c>
      <c r="B173" s="595"/>
      <c r="C173" s="595"/>
      <c r="D173" s="596"/>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6.75" customHeight="1">
      <c r="A174" s="54"/>
      <c r="B174" s="54"/>
      <c r="C174" s="54"/>
      <c r="D174" s="55"/>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48" customHeight="1">
      <c r="A175" s="603" t="s">
        <v>73</v>
      </c>
      <c r="B175" s="595"/>
      <c r="C175" s="595"/>
      <c r="D175" s="596"/>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6.75" customHeight="1">
      <c r="A176" s="54"/>
      <c r="B176" s="54"/>
      <c r="C176" s="54"/>
      <c r="D176" s="55"/>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48" customHeight="1">
      <c r="A177" s="603" t="s">
        <v>37</v>
      </c>
      <c r="B177" s="595"/>
      <c r="C177" s="595"/>
      <c r="D177" s="596"/>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6.75" customHeight="1">
      <c r="A178" s="54"/>
      <c r="B178" s="54"/>
      <c r="C178" s="54"/>
      <c r="D178" s="55"/>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96" customHeight="1">
      <c r="A179" s="603" t="s">
        <v>63</v>
      </c>
      <c r="B179" s="595"/>
      <c r="C179" s="595"/>
      <c r="D179" s="596"/>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96" customHeight="1">
      <c r="A180" s="603" t="s">
        <v>64</v>
      </c>
      <c r="B180" s="595"/>
      <c r="C180" s="595"/>
      <c r="D180" s="596"/>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36" customHeight="1">
      <c r="A181" s="603" t="s">
        <v>38</v>
      </c>
      <c r="B181" s="595"/>
      <c r="C181" s="595"/>
      <c r="D181" s="596"/>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24" customHeight="1">
      <c r="A182" s="608" t="s">
        <v>65</v>
      </c>
      <c r="B182" s="595"/>
      <c r="C182" s="595"/>
      <c r="D182" s="596"/>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6.75" customHeight="1">
      <c r="A183" s="74"/>
      <c r="B183" s="74"/>
      <c r="C183" s="74"/>
      <c r="D183" s="75"/>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 customHeight="1">
      <c r="A184" s="594" t="s">
        <v>39</v>
      </c>
      <c r="B184" s="595"/>
      <c r="C184" s="595"/>
      <c r="D184" s="596"/>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6.75" customHeight="1">
      <c r="A185" s="59"/>
      <c r="B185" s="60"/>
      <c r="C185" s="60"/>
      <c r="D185" s="61"/>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1.25" customHeight="1">
      <c r="A186" s="62" t="s">
        <v>40</v>
      </c>
      <c r="B186" s="63"/>
      <c r="C186" s="64" t="s">
        <v>41</v>
      </c>
      <c r="D186" s="280">
        <f>'Proposed Rates'!I12</f>
        <v>14946.93</v>
      </c>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1.25" customHeight="1">
      <c r="A187" s="62" t="s">
        <v>59</v>
      </c>
      <c r="B187" s="63"/>
      <c r="C187" s="64" t="s">
        <v>66</v>
      </c>
      <c r="D187" s="281">
        <f>'Proposed Rates'!I25</f>
        <v>10.6686</v>
      </c>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1.25" customHeight="1">
      <c r="A188" s="62" t="s">
        <v>45</v>
      </c>
      <c r="B188" s="63"/>
      <c r="C188" s="64" t="s">
        <v>66</v>
      </c>
      <c r="D188" s="283">
        <f>'Proposed Rates'!I264</f>
        <v>2.8719999999999999E-2</v>
      </c>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1.25" hidden="1" customHeight="1">
      <c r="A189" s="62" t="s">
        <v>47</v>
      </c>
      <c r="B189" s="63"/>
      <c r="C189" s="64" t="s">
        <v>66</v>
      </c>
      <c r="D189" s="281">
        <f>'Proposed Rates'!I41</f>
        <v>0</v>
      </c>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1.25" hidden="1" customHeight="1">
      <c r="A190" s="62" t="s">
        <v>43</v>
      </c>
      <c r="B190" s="63"/>
      <c r="C190" s="64" t="s">
        <v>66</v>
      </c>
      <c r="D190" s="281">
        <f>'Proposed Rates'!I68</f>
        <v>0</v>
      </c>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1.25" hidden="1" customHeight="1">
      <c r="A191" s="62" t="s">
        <v>42</v>
      </c>
      <c r="B191" s="63"/>
      <c r="C191" s="64" t="s">
        <v>66</v>
      </c>
      <c r="D191" s="281">
        <f>'Proposed Rates'!I94</f>
        <v>0</v>
      </c>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1.25" hidden="1" customHeight="1">
      <c r="A192" s="62" t="s">
        <v>48</v>
      </c>
      <c r="B192" s="63"/>
      <c r="C192" s="64" t="s">
        <v>46</v>
      </c>
      <c r="D192" s="281">
        <f>'Proposed Rates'!I146</f>
        <v>0</v>
      </c>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1.25" customHeight="1">
      <c r="A193" s="62" t="s">
        <v>49</v>
      </c>
      <c r="B193" s="63"/>
      <c r="C193" s="64" t="s">
        <v>66</v>
      </c>
      <c r="D193" s="281">
        <f>'Proposed Rates'!I187</f>
        <v>5.3339999999999996</v>
      </c>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1.25" customHeight="1">
      <c r="A194" s="62" t="s">
        <v>50</v>
      </c>
      <c r="B194" s="63"/>
      <c r="C194" s="64" t="s">
        <v>66</v>
      </c>
      <c r="D194" s="281">
        <f>'Proposed Rates'!I200</f>
        <v>3.0192999999999999</v>
      </c>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3.75" customHeight="1">
      <c r="A195" s="64"/>
      <c r="B195" s="64"/>
      <c r="C195" s="64"/>
      <c r="D195" s="284"/>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1.25" customHeight="1">
      <c r="A196" s="70" t="s">
        <v>51</v>
      </c>
      <c r="B196" s="63"/>
      <c r="C196" s="64"/>
      <c r="D196" s="284"/>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3.75" customHeight="1">
      <c r="A197" s="59"/>
      <c r="B197" s="64"/>
      <c r="C197" s="64"/>
      <c r="D197" s="284"/>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1.25" customHeight="1">
      <c r="A198" s="62" t="s">
        <v>52</v>
      </c>
      <c r="B198" s="63"/>
      <c r="C198" s="64" t="s">
        <v>46</v>
      </c>
      <c r="D198" s="281">
        <f>$D$34</f>
        <v>4.1000000000000003E-3</v>
      </c>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1.25" customHeight="1">
      <c r="A199" s="62" t="s">
        <v>53</v>
      </c>
      <c r="B199" s="63"/>
      <c r="C199" s="64" t="s">
        <v>46</v>
      </c>
      <c r="D199" s="281">
        <f>'Proposed Rates'!I213-'2026'!H196</f>
        <v>4.4999999999999997E-3</v>
      </c>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1.25" customHeight="1">
      <c r="A200" s="62" t="s">
        <v>54</v>
      </c>
      <c r="B200" s="63"/>
      <c r="C200" s="64" t="s">
        <v>46</v>
      </c>
      <c r="D200" s="281">
        <f>'Proposed Rates'!I226</f>
        <v>1.5E-3</v>
      </c>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1.25" customHeight="1">
      <c r="A201" s="62" t="s">
        <v>55</v>
      </c>
      <c r="B201" s="63"/>
      <c r="C201" s="64" t="s">
        <v>41</v>
      </c>
      <c r="D201" s="281">
        <f>'Proposed Rates'!I240</f>
        <v>1.6</v>
      </c>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0.5" customHeight="1">
      <c r="A202" s="85"/>
      <c r="B202" s="63"/>
      <c r="C202" s="64"/>
      <c r="D202" s="69"/>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21.75" customHeight="1">
      <c r="A203" s="597" t="str">
        <f>$A$1</f>
        <v>Hydro Ottawa Limited</v>
      </c>
      <c r="B203" s="595"/>
      <c r="C203" s="595"/>
      <c r="D203" s="596"/>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98" t="str">
        <f>$A$2</f>
        <v>PROPOSED - TARIFF OF RATES AND CHARGES</v>
      </c>
      <c r="B204" s="595"/>
      <c r="C204" s="595"/>
      <c r="D204" s="596"/>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 customHeight="1">
      <c r="A205" s="599" t="str">
        <f>$A$3</f>
        <v>Effective and Implementation Date January 1, 2029</v>
      </c>
      <c r="B205" s="595"/>
      <c r="C205" s="595"/>
      <c r="D205" s="596"/>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 customHeight="1">
      <c r="A206" s="600" t="str">
        <f>$A$4</f>
        <v>This schedule supersedes and replaces all previously</v>
      </c>
      <c r="B206" s="595"/>
      <c r="C206" s="595"/>
      <c r="D206" s="596"/>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 customHeight="1">
      <c r="A207" s="600" t="str">
        <f>$A$5</f>
        <v>approved schedules of Rates, Charges and Loss Factors</v>
      </c>
      <c r="B207" s="595"/>
      <c r="C207" s="595"/>
      <c r="D207" s="596"/>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9.75" customHeight="1">
      <c r="A208" s="601" t="str">
        <f>$A$6</f>
        <v>EB-2024-0115</v>
      </c>
      <c r="B208" s="595"/>
      <c r="C208" s="595"/>
      <c r="D208" s="596"/>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8.75" customHeight="1">
      <c r="A209" s="602" t="s">
        <v>74</v>
      </c>
      <c r="B209" s="595"/>
      <c r="C209" s="595"/>
      <c r="D209" s="596"/>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72" customHeight="1">
      <c r="A210" s="603" t="s">
        <v>75</v>
      </c>
      <c r="B210" s="595"/>
      <c r="C210" s="595"/>
      <c r="D210" s="596"/>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6.75" customHeight="1">
      <c r="A211" s="54"/>
      <c r="B211" s="54"/>
      <c r="C211" s="54"/>
      <c r="D211" s="55"/>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1.25" customHeight="1">
      <c r="A212" s="604" t="s">
        <v>34</v>
      </c>
      <c r="B212" s="595"/>
      <c r="C212" s="595"/>
      <c r="D212" s="596"/>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6.75" customHeight="1">
      <c r="A213" s="56"/>
      <c r="B213" s="57"/>
      <c r="C213" s="57"/>
      <c r="D213" s="58"/>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36" customHeight="1">
      <c r="A214" s="603" t="s">
        <v>35</v>
      </c>
      <c r="B214" s="595"/>
      <c r="C214" s="595"/>
      <c r="D214" s="596"/>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6.75" customHeight="1">
      <c r="A215" s="54"/>
      <c r="B215" s="54"/>
      <c r="C215" s="54"/>
      <c r="D215" s="55"/>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48" customHeight="1">
      <c r="A216" s="603" t="s">
        <v>36</v>
      </c>
      <c r="B216" s="595"/>
      <c r="C216" s="595"/>
      <c r="D216" s="596"/>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6.75" customHeight="1">
      <c r="A217" s="54"/>
      <c r="B217" s="54"/>
      <c r="C217" s="54"/>
      <c r="D217" s="55"/>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48" customHeight="1">
      <c r="A218" s="603" t="s">
        <v>37</v>
      </c>
      <c r="B218" s="595"/>
      <c r="C218" s="595"/>
      <c r="D218" s="596"/>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6.75" customHeight="1">
      <c r="A219" s="54"/>
      <c r="B219" s="54"/>
      <c r="C219" s="54"/>
      <c r="D219" s="55"/>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36" customHeight="1">
      <c r="A220" s="603" t="s">
        <v>38</v>
      </c>
      <c r="B220" s="595"/>
      <c r="C220" s="595"/>
      <c r="D220" s="596"/>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6.75" customHeight="1">
      <c r="A221" s="54"/>
      <c r="B221" s="54"/>
      <c r="C221" s="54"/>
      <c r="D221" s="55"/>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 customHeight="1">
      <c r="A222" s="70" t="s">
        <v>39</v>
      </c>
      <c r="B222" s="63"/>
      <c r="C222" s="63"/>
      <c r="D222" s="6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6.75" customHeight="1">
      <c r="A223" s="59"/>
      <c r="B223" s="60"/>
      <c r="C223" s="60"/>
      <c r="D223" s="61"/>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1.25" customHeight="1">
      <c r="A224" s="62" t="s">
        <v>76</v>
      </c>
      <c r="B224" s="63"/>
      <c r="C224" s="64" t="s">
        <v>41</v>
      </c>
      <c r="D224" s="280">
        <f>'Proposed Rates'!I15</f>
        <v>9.98</v>
      </c>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1.25" customHeight="1">
      <c r="A225" s="62" t="s">
        <v>59</v>
      </c>
      <c r="B225" s="63"/>
      <c r="C225" s="64" t="s">
        <v>46</v>
      </c>
      <c r="D225" s="281">
        <f>'Proposed Rates'!I28</f>
        <v>4.7699999999999999E-2</v>
      </c>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1.25" customHeight="1">
      <c r="A226" s="62" t="s">
        <v>45</v>
      </c>
      <c r="B226" s="63"/>
      <c r="C226" s="64" t="s">
        <v>46</v>
      </c>
      <c r="D226" s="283">
        <f>'Proposed Rates'!I267</f>
        <v>4.0000000000000003E-5</v>
      </c>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1.25" hidden="1" customHeight="1">
      <c r="A227" s="62" t="s">
        <v>47</v>
      </c>
      <c r="B227" s="63"/>
      <c r="C227" s="64" t="s">
        <v>46</v>
      </c>
      <c r="D227" s="281">
        <f>'Proposed Rates'!I44</f>
        <v>0</v>
      </c>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1.25" hidden="1" customHeight="1">
      <c r="A228" s="62" t="s">
        <v>43</v>
      </c>
      <c r="B228" s="63"/>
      <c r="C228" s="64" t="s">
        <v>46</v>
      </c>
      <c r="D228" s="281">
        <f>'Proposed Rates'!I71</f>
        <v>0</v>
      </c>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1.25" hidden="1" customHeight="1">
      <c r="A229" s="62" t="s">
        <v>42</v>
      </c>
      <c r="B229" s="63"/>
      <c r="C229" s="64" t="s">
        <v>46</v>
      </c>
      <c r="D229" s="281">
        <f>'Proposed Rates'!I97</f>
        <v>0</v>
      </c>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1.25" customHeight="1">
      <c r="A230" s="62" t="s">
        <v>49</v>
      </c>
      <c r="B230" s="63"/>
      <c r="C230" s="64" t="s">
        <v>46</v>
      </c>
      <c r="D230" s="281">
        <f>'Proposed Rates'!I190</f>
        <v>7.4999999999999997E-3</v>
      </c>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1.25" customHeight="1">
      <c r="A231" s="62" t="s">
        <v>50</v>
      </c>
      <c r="B231" s="63"/>
      <c r="C231" s="64" t="s">
        <v>46</v>
      </c>
      <c r="D231" s="281">
        <f>'Proposed Rates'!I203</f>
        <v>4.3E-3</v>
      </c>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3" customHeight="1">
      <c r="A232" s="64"/>
      <c r="B232" s="64"/>
      <c r="C232" s="64"/>
      <c r="D232" s="284"/>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1.25" customHeight="1">
      <c r="A233" s="70" t="s">
        <v>51</v>
      </c>
      <c r="B233" s="63"/>
      <c r="C233" s="64"/>
      <c r="D233" s="284"/>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3.75" customHeight="1">
      <c r="A234" s="59"/>
      <c r="B234" s="64"/>
      <c r="C234" s="64"/>
      <c r="D234" s="284"/>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1.25" customHeight="1">
      <c r="A235" s="62" t="s">
        <v>52</v>
      </c>
      <c r="B235" s="63"/>
      <c r="C235" s="64" t="s">
        <v>46</v>
      </c>
      <c r="D235" s="281">
        <f>$D$34</f>
        <v>4.1000000000000003E-3</v>
      </c>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1.25" customHeight="1">
      <c r="A236" s="62" t="s">
        <v>53</v>
      </c>
      <c r="B236" s="63"/>
      <c r="C236" s="64" t="s">
        <v>46</v>
      </c>
      <c r="D236" s="281">
        <f>'Proposed Rates'!I216-'2026'!D233</f>
        <v>3.9999999999999931E-4</v>
      </c>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1.25" customHeight="1">
      <c r="A237" s="62" t="s">
        <v>54</v>
      </c>
      <c r="B237" s="63"/>
      <c r="C237" s="64" t="s">
        <v>46</v>
      </c>
      <c r="D237" s="281">
        <f>'Proposed Rates'!I229</f>
        <v>1.5E-3</v>
      </c>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1.25" customHeight="1">
      <c r="A238" s="62" t="s">
        <v>55</v>
      </c>
      <c r="B238" s="63"/>
      <c r="C238" s="64" t="s">
        <v>41</v>
      </c>
      <c r="D238" s="281">
        <f>'Proposed Rates'!I243</f>
        <v>1.6</v>
      </c>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4.25" customHeight="1">
      <c r="A239" s="85"/>
      <c r="B239" s="63"/>
      <c r="C239" s="64"/>
      <c r="D239" s="69"/>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21.75" customHeight="1">
      <c r="A240" s="597" t="str">
        <f>$A$1</f>
        <v>Hydro Ottawa Limited</v>
      </c>
      <c r="B240" s="595"/>
      <c r="C240" s="595"/>
      <c r="D240" s="596"/>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98" t="str">
        <f>$A$2</f>
        <v>PROPOSED - TARIFF OF RATES AND CHARGES</v>
      </c>
      <c r="B241" s="595"/>
      <c r="C241" s="595"/>
      <c r="D241" s="596"/>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 customHeight="1">
      <c r="A242" s="599" t="str">
        <f>$A$3</f>
        <v>Effective and Implementation Date January 1, 2029</v>
      </c>
      <c r="B242" s="595"/>
      <c r="C242" s="595"/>
      <c r="D242" s="596"/>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 customHeight="1">
      <c r="A243" s="600" t="str">
        <f>$A$4</f>
        <v>This schedule supersedes and replaces all previously</v>
      </c>
      <c r="B243" s="595"/>
      <c r="C243" s="595"/>
      <c r="D243" s="596"/>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 customHeight="1">
      <c r="A244" s="600" t="str">
        <f>$A$5</f>
        <v>approved schedules of Rates, Charges and Loss Factors</v>
      </c>
      <c r="B244" s="595"/>
      <c r="C244" s="595"/>
      <c r="D244" s="596"/>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9.75" customHeight="1">
      <c r="A245" s="601" t="str">
        <f>$A$6</f>
        <v>EB-2024-0115</v>
      </c>
      <c r="B245" s="595"/>
      <c r="C245" s="595"/>
      <c r="D245" s="596"/>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8.75" customHeight="1">
      <c r="A246" s="602" t="s">
        <v>77</v>
      </c>
      <c r="B246" s="595"/>
      <c r="C246" s="595"/>
      <c r="D246" s="596"/>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36" customHeight="1">
      <c r="A247" s="603" t="s">
        <v>78</v>
      </c>
      <c r="B247" s="595"/>
      <c r="C247" s="595"/>
      <c r="D247" s="596"/>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6.75" customHeight="1">
      <c r="A248" s="54"/>
      <c r="B248" s="54"/>
      <c r="C248" s="54"/>
      <c r="D248" s="55"/>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1.25" customHeight="1">
      <c r="A249" s="604" t="s">
        <v>34</v>
      </c>
      <c r="B249" s="595"/>
      <c r="C249" s="595"/>
      <c r="D249" s="596"/>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6.75" customHeight="1">
      <c r="A250" s="56"/>
      <c r="B250" s="57"/>
      <c r="C250" s="57"/>
      <c r="D250" s="58"/>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36" customHeight="1">
      <c r="A251" s="603" t="s">
        <v>35</v>
      </c>
      <c r="B251" s="595"/>
      <c r="C251" s="595"/>
      <c r="D251" s="596"/>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6.75" customHeight="1">
      <c r="A252" s="54"/>
      <c r="B252" s="54"/>
      <c r="C252" s="54"/>
      <c r="D252" s="55"/>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48" customHeight="1">
      <c r="A253" s="603" t="s">
        <v>36</v>
      </c>
      <c r="B253" s="595"/>
      <c r="C253" s="595"/>
      <c r="D253" s="596"/>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6.75" customHeight="1">
      <c r="A254" s="54"/>
      <c r="B254" s="54"/>
      <c r="C254" s="54"/>
      <c r="D254" s="55"/>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24" customHeight="1">
      <c r="A255" s="603" t="s">
        <v>79</v>
      </c>
      <c r="B255" s="595"/>
      <c r="C255" s="595"/>
      <c r="D255" s="596"/>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6.75" customHeight="1">
      <c r="A256" s="54"/>
      <c r="B256" s="54"/>
      <c r="C256" s="54"/>
      <c r="D256" s="55"/>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36" customHeight="1">
      <c r="A257" s="603" t="s">
        <v>80</v>
      </c>
      <c r="B257" s="595"/>
      <c r="C257" s="595"/>
      <c r="D257" s="596"/>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6.75" customHeight="1">
      <c r="A258" s="54"/>
      <c r="B258" s="54"/>
      <c r="C258" s="54"/>
      <c r="D258" s="55"/>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 customHeight="1">
      <c r="A259" s="594" t="s">
        <v>81</v>
      </c>
      <c r="B259" s="595"/>
      <c r="C259" s="595"/>
      <c r="D259" s="596"/>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6.75" customHeight="1">
      <c r="A260" s="59"/>
      <c r="B260" s="60"/>
      <c r="C260" s="60"/>
      <c r="D260" s="61"/>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1.25" customHeight="1">
      <c r="A261" s="607" t="s">
        <v>40</v>
      </c>
      <c r="B261" s="596"/>
      <c r="C261" s="64" t="s">
        <v>41</v>
      </c>
      <c r="D261" s="280">
        <f>'Proposed Rates'!I17</f>
        <v>186.89</v>
      </c>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1.25" customHeight="1">
      <c r="A262" s="607" t="s">
        <v>82</v>
      </c>
      <c r="B262" s="596"/>
      <c r="C262" s="64" t="s">
        <v>66</v>
      </c>
      <c r="D262" s="281">
        <f>'Proposed Rates'!I29</f>
        <v>5.1601999999999997</v>
      </c>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1.25" customHeight="1">
      <c r="A263" s="607" t="s">
        <v>83</v>
      </c>
      <c r="B263" s="596"/>
      <c r="C263" s="64" t="s">
        <v>66</v>
      </c>
      <c r="D263" s="281">
        <f>'Proposed Rates'!I30</f>
        <v>5.0670000000000002</v>
      </c>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1.25" customHeight="1">
      <c r="A264" s="607" t="s">
        <v>84</v>
      </c>
      <c r="B264" s="596"/>
      <c r="C264" s="64" t="s">
        <v>66</v>
      </c>
      <c r="D264" s="281">
        <f>'Proposed Rates'!I31</f>
        <v>5.3339999999999996</v>
      </c>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c r="A265" s="85"/>
      <c r="B265" s="63"/>
      <c r="C265" s="64"/>
      <c r="D265" s="284"/>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24.75" customHeight="1">
      <c r="A266" s="597" t="str">
        <f>$A$1</f>
        <v>Hydro Ottawa Limited</v>
      </c>
      <c r="B266" s="595"/>
      <c r="C266" s="595"/>
      <c r="D266" s="596"/>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98" t="str">
        <f>$A$2</f>
        <v>PROPOSED - TARIFF OF RATES AND CHARGES</v>
      </c>
      <c r="B267" s="595"/>
      <c r="C267" s="595"/>
      <c r="D267" s="596"/>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 customHeight="1">
      <c r="A268" s="599" t="str">
        <f>$A$3</f>
        <v>Effective and Implementation Date January 1, 2029</v>
      </c>
      <c r="B268" s="595"/>
      <c r="C268" s="595"/>
      <c r="D268" s="596"/>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 customHeight="1">
      <c r="A269" s="600" t="str">
        <f>$A$4</f>
        <v>This schedule supersedes and replaces all previously</v>
      </c>
      <c r="B269" s="595"/>
      <c r="C269" s="595"/>
      <c r="D269" s="596"/>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 customHeight="1">
      <c r="A270" s="600" t="str">
        <f>$A$5</f>
        <v>approved schedules of Rates, Charges and Loss Factors</v>
      </c>
      <c r="B270" s="595"/>
      <c r="C270" s="595"/>
      <c r="D270" s="596"/>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9.75" customHeight="1">
      <c r="A271" s="601" t="str">
        <f>$A$6</f>
        <v>EB-2024-0115</v>
      </c>
      <c r="B271" s="595"/>
      <c r="C271" s="595"/>
      <c r="D271" s="596"/>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8.75" customHeight="1">
      <c r="A272" s="602" t="s">
        <v>85</v>
      </c>
      <c r="B272" s="595"/>
      <c r="C272" s="595"/>
      <c r="D272" s="596"/>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36" customHeight="1">
      <c r="A273" s="603" t="s">
        <v>86</v>
      </c>
      <c r="B273" s="595"/>
      <c r="C273" s="595"/>
      <c r="D273" s="596"/>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6.75" customHeight="1">
      <c r="A274" s="54"/>
      <c r="B274" s="54"/>
      <c r="C274" s="54"/>
      <c r="D274" s="55"/>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1.25" customHeight="1">
      <c r="A275" s="604" t="s">
        <v>34</v>
      </c>
      <c r="B275" s="595"/>
      <c r="C275" s="595"/>
      <c r="D275" s="596"/>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6.75" customHeight="1">
      <c r="A276" s="56"/>
      <c r="B276" s="57"/>
      <c r="C276" s="57"/>
      <c r="D276" s="58"/>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36" customHeight="1">
      <c r="A277" s="603" t="s">
        <v>35</v>
      </c>
      <c r="B277" s="595"/>
      <c r="C277" s="595"/>
      <c r="D277" s="596"/>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6.75" customHeight="1">
      <c r="A278" s="54"/>
      <c r="B278" s="54"/>
      <c r="C278" s="54"/>
      <c r="D278" s="55"/>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48" customHeight="1">
      <c r="A279" s="603" t="s">
        <v>36</v>
      </c>
      <c r="B279" s="595"/>
      <c r="C279" s="595"/>
      <c r="D279" s="596"/>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6.75" customHeight="1">
      <c r="A280" s="54"/>
      <c r="B280" s="54"/>
      <c r="C280" s="54"/>
      <c r="D280" s="55"/>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48" customHeight="1">
      <c r="A281" s="603" t="s">
        <v>37</v>
      </c>
      <c r="B281" s="595"/>
      <c r="C281" s="595"/>
      <c r="D281" s="596"/>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6.75" customHeight="1">
      <c r="A282" s="54"/>
      <c r="B282" s="54"/>
      <c r="C282" s="54"/>
      <c r="D282" s="55"/>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36" customHeight="1">
      <c r="A283" s="603" t="s">
        <v>38</v>
      </c>
      <c r="B283" s="595"/>
      <c r="C283" s="595"/>
      <c r="D283" s="596"/>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6.75" customHeight="1">
      <c r="A284" s="54"/>
      <c r="B284" s="54"/>
      <c r="C284" s="54"/>
      <c r="D284" s="55"/>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 customHeight="1">
      <c r="A285" s="594" t="s">
        <v>39</v>
      </c>
      <c r="B285" s="595"/>
      <c r="C285" s="595"/>
      <c r="D285" s="596"/>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6.75" customHeight="1">
      <c r="A286" s="59"/>
      <c r="B286" s="60"/>
      <c r="C286" s="60"/>
      <c r="D286" s="61"/>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0.5" customHeight="1">
      <c r="A287" s="62" t="s">
        <v>76</v>
      </c>
      <c r="B287" s="63"/>
      <c r="C287" s="64" t="s">
        <v>41</v>
      </c>
      <c r="D287" s="280">
        <f>'Proposed Rates'!I14</f>
        <v>10.49</v>
      </c>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0.5" customHeight="1">
      <c r="A288" s="62" t="s">
        <v>59</v>
      </c>
      <c r="B288" s="63"/>
      <c r="C288" s="64" t="s">
        <v>66</v>
      </c>
      <c r="D288" s="281">
        <f>'Proposed Rates'!I27</f>
        <v>49.113</v>
      </c>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0.5" customHeight="1">
      <c r="A289" s="62" t="s">
        <v>45</v>
      </c>
      <c r="B289" s="63"/>
      <c r="C289" s="64" t="s">
        <v>66</v>
      </c>
      <c r="D289" s="283">
        <f>'Proposed Rates'!I266</f>
        <v>4.5999999999999999E-3</v>
      </c>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0.5" hidden="1" customHeight="1">
      <c r="A290" s="62" t="s">
        <v>47</v>
      </c>
      <c r="B290" s="63"/>
      <c r="C290" s="64" t="s">
        <v>66</v>
      </c>
      <c r="D290" s="281">
        <f>'Proposed Rates'!I43</f>
        <v>0</v>
      </c>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0.5" hidden="1" customHeight="1">
      <c r="A291" s="62" t="s">
        <v>43</v>
      </c>
      <c r="B291" s="63"/>
      <c r="C291" s="64" t="s">
        <v>66</v>
      </c>
      <c r="D291" s="281">
        <f>'Proposed Rates'!I70</f>
        <v>0</v>
      </c>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0.5" hidden="1" customHeight="1">
      <c r="A292" s="62" t="s">
        <v>48</v>
      </c>
      <c r="B292" s="63"/>
      <c r="C292" s="64" t="s">
        <v>46</v>
      </c>
      <c r="D292" s="281">
        <f>'Proposed Rates'!I148</f>
        <v>0</v>
      </c>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0.5" customHeight="1">
      <c r="A293" s="62" t="s">
        <v>49</v>
      </c>
      <c r="B293" s="63"/>
      <c r="C293" s="64" t="s">
        <v>66</v>
      </c>
      <c r="D293" s="281">
        <f>'Proposed Rates'!I189</f>
        <v>0.85450000000000004</v>
      </c>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0.5" customHeight="1">
      <c r="A294" s="89" t="s">
        <v>50</v>
      </c>
      <c r="B294" s="63"/>
      <c r="C294" s="90" t="s">
        <v>66</v>
      </c>
      <c r="D294" s="290">
        <f>'Proposed Rates'!I202</f>
        <v>0.48370000000000002</v>
      </c>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2.25" customHeight="1">
      <c r="A295" s="89"/>
      <c r="B295" s="63"/>
      <c r="C295" s="90"/>
      <c r="D295" s="291"/>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1.25" customHeight="1">
      <c r="A296" s="70" t="s">
        <v>51</v>
      </c>
      <c r="B296" s="63"/>
      <c r="C296" s="64"/>
      <c r="D296" s="284"/>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3" customHeight="1">
      <c r="A297" s="59"/>
      <c r="B297" s="64"/>
      <c r="C297" s="64"/>
      <c r="D297" s="284"/>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0.5" customHeight="1">
      <c r="A298" s="62" t="s">
        <v>52</v>
      </c>
      <c r="B298" s="63"/>
      <c r="C298" s="64" t="s">
        <v>46</v>
      </c>
      <c r="D298" s="281">
        <f>$D$34</f>
        <v>4.1000000000000003E-3</v>
      </c>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0.5" customHeight="1">
      <c r="A299" s="62" t="s">
        <v>53</v>
      </c>
      <c r="B299" s="63"/>
      <c r="C299" s="64" t="s">
        <v>46</v>
      </c>
      <c r="D299" s="281">
        <f>'Proposed Rates'!I215-'2026'!D296</f>
        <v>3.9999999999999931E-4</v>
      </c>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0.5" customHeight="1">
      <c r="A300" s="62" t="s">
        <v>54</v>
      </c>
      <c r="B300" s="63"/>
      <c r="C300" s="64" t="s">
        <v>46</v>
      </c>
      <c r="D300" s="281">
        <f>'Proposed Rates'!I228</f>
        <v>1.5E-3</v>
      </c>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0.5" customHeight="1">
      <c r="A301" s="62" t="s">
        <v>55</v>
      </c>
      <c r="B301" s="63"/>
      <c r="C301" s="64" t="s">
        <v>41</v>
      </c>
      <c r="D301" s="281">
        <f>'Proposed Rates'!I242</f>
        <v>1.6</v>
      </c>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 customHeight="1">
      <c r="A302" s="85"/>
      <c r="B302" s="63"/>
      <c r="C302" s="64"/>
      <c r="D302" s="69"/>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21.75" customHeight="1">
      <c r="A303" s="597" t="str">
        <f>$A$1</f>
        <v>Hydro Ottawa Limited</v>
      </c>
      <c r="B303" s="595"/>
      <c r="C303" s="595"/>
      <c r="D303" s="596"/>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98" t="str">
        <f>$A$2</f>
        <v>PROPOSED - TARIFF OF RATES AND CHARGES</v>
      </c>
      <c r="B304" s="595"/>
      <c r="C304" s="595"/>
      <c r="D304" s="596"/>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 customHeight="1">
      <c r="A305" s="599" t="str">
        <f>$A$3</f>
        <v>Effective and Implementation Date January 1, 2029</v>
      </c>
      <c r="B305" s="595"/>
      <c r="C305" s="595"/>
      <c r="D305" s="596"/>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 customHeight="1">
      <c r="A306" s="600" t="str">
        <f>$A$4</f>
        <v>This schedule supersedes and replaces all previously</v>
      </c>
      <c r="B306" s="595"/>
      <c r="C306" s="595"/>
      <c r="D306" s="596"/>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 customHeight="1">
      <c r="A307" s="600" t="str">
        <f>$A$5</f>
        <v>approved schedules of Rates, Charges and Loss Factors</v>
      </c>
      <c r="B307" s="595"/>
      <c r="C307" s="595"/>
      <c r="D307" s="596"/>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9.75" customHeight="1">
      <c r="A308" s="601" t="str">
        <f>$A$6</f>
        <v>EB-2024-0115</v>
      </c>
      <c r="B308" s="595"/>
      <c r="C308" s="595"/>
      <c r="D308" s="596"/>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8.75" customHeight="1">
      <c r="A309" s="602" t="s">
        <v>87</v>
      </c>
      <c r="B309" s="595"/>
      <c r="C309" s="595"/>
      <c r="D309" s="596"/>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60" customHeight="1">
      <c r="A310" s="603" t="s">
        <v>88</v>
      </c>
      <c r="B310" s="595"/>
      <c r="C310" s="595"/>
      <c r="D310" s="596"/>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6.75" customHeight="1">
      <c r="A311" s="54"/>
      <c r="B311" s="54"/>
      <c r="C311" s="54"/>
      <c r="D311" s="55"/>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1.25" customHeight="1">
      <c r="A312" s="604" t="s">
        <v>34</v>
      </c>
      <c r="B312" s="595"/>
      <c r="C312" s="595"/>
      <c r="D312" s="596"/>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6.75" customHeight="1">
      <c r="A313" s="56"/>
      <c r="B313" s="57"/>
      <c r="C313" s="57"/>
      <c r="D313" s="58"/>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36" customHeight="1">
      <c r="A314" s="603" t="s">
        <v>35</v>
      </c>
      <c r="B314" s="595"/>
      <c r="C314" s="595"/>
      <c r="D314" s="596"/>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6.75" customHeight="1">
      <c r="A315" s="54"/>
      <c r="B315" s="54"/>
      <c r="C315" s="54"/>
      <c r="D315" s="55"/>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48" customHeight="1">
      <c r="A316" s="603" t="s">
        <v>36</v>
      </c>
      <c r="B316" s="595"/>
      <c r="C316" s="595"/>
      <c r="D316" s="596"/>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6.75" customHeight="1">
      <c r="A317" s="54"/>
      <c r="B317" s="54"/>
      <c r="C317" s="54"/>
      <c r="D317" s="55"/>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48" customHeight="1">
      <c r="A318" s="603" t="s">
        <v>37</v>
      </c>
      <c r="B318" s="595"/>
      <c r="C318" s="595"/>
      <c r="D318" s="596"/>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6.75" customHeight="1">
      <c r="A319" s="54"/>
      <c r="B319" s="54"/>
      <c r="C319" s="54"/>
      <c r="D319" s="55"/>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36" customHeight="1">
      <c r="A320" s="603" t="s">
        <v>89</v>
      </c>
      <c r="B320" s="595"/>
      <c r="C320" s="595"/>
      <c r="D320" s="596"/>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6.75" customHeight="1">
      <c r="A321" s="54"/>
      <c r="B321" s="54"/>
      <c r="C321" s="54"/>
      <c r="D321" s="55"/>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 customHeight="1">
      <c r="A322" s="594" t="s">
        <v>39</v>
      </c>
      <c r="B322" s="595"/>
      <c r="C322" s="595"/>
      <c r="D322" s="596"/>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6.75" customHeight="1">
      <c r="A323" s="59"/>
      <c r="B323" s="60"/>
      <c r="C323" s="60"/>
      <c r="D323" s="61"/>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0.5" customHeight="1">
      <c r="A324" s="62" t="s">
        <v>76</v>
      </c>
      <c r="B324" s="63"/>
      <c r="C324" s="64" t="s">
        <v>41</v>
      </c>
      <c r="D324" s="280">
        <f>'Proposed Rates'!I13</f>
        <v>1.29</v>
      </c>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0.5" customHeight="1">
      <c r="A325" s="62" t="s">
        <v>59</v>
      </c>
      <c r="B325" s="63"/>
      <c r="C325" s="64" t="s">
        <v>66</v>
      </c>
      <c r="D325" s="281">
        <f>'Proposed Rates'!I26</f>
        <v>9.0349000000000004</v>
      </c>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0.5" customHeight="1">
      <c r="A326" s="62" t="s">
        <v>45</v>
      </c>
      <c r="B326" s="63"/>
      <c r="C326" s="64" t="s">
        <v>66</v>
      </c>
      <c r="D326" s="283">
        <f>'Proposed Rates'!I265</f>
        <v>1.162E-2</v>
      </c>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0.5" hidden="1" customHeight="1">
      <c r="A327" s="62" t="s">
        <v>47</v>
      </c>
      <c r="B327" s="63"/>
      <c r="C327" s="64" t="s">
        <v>66</v>
      </c>
      <c r="D327" s="281">
        <f>'Proposed Rates'!I42</f>
        <v>0</v>
      </c>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0.5" hidden="1" customHeight="1">
      <c r="A328" s="62" t="s">
        <v>43</v>
      </c>
      <c r="B328" s="63"/>
      <c r="C328" s="64" t="s">
        <v>66</v>
      </c>
      <c r="D328" s="281">
        <f>'Proposed Rates'!I69</f>
        <v>0</v>
      </c>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0.5" hidden="1" customHeight="1">
      <c r="A329" s="62" t="s">
        <v>42</v>
      </c>
      <c r="B329" s="63"/>
      <c r="C329" s="64" t="s">
        <v>66</v>
      </c>
      <c r="D329" s="281">
        <f>'Proposed Rates'!I95</f>
        <v>0</v>
      </c>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0.5" hidden="1" customHeight="1">
      <c r="A330" s="62" t="s">
        <v>48</v>
      </c>
      <c r="B330" s="63"/>
      <c r="C330" s="64" t="s">
        <v>46</v>
      </c>
      <c r="D330" s="281">
        <f>'Proposed Rates'!I147</f>
        <v>0</v>
      </c>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0.5" customHeight="1">
      <c r="A331" s="62" t="s">
        <v>49</v>
      </c>
      <c r="B331" s="63"/>
      <c r="C331" s="64" t="s">
        <v>66</v>
      </c>
      <c r="D331" s="281">
        <f>'Proposed Rates'!I188</f>
        <v>2.1576</v>
      </c>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0.5" customHeight="1">
      <c r="A332" s="62" t="s">
        <v>50</v>
      </c>
      <c r="B332" s="63"/>
      <c r="C332" s="64" t="s">
        <v>66</v>
      </c>
      <c r="D332" s="281">
        <f>'Proposed Rates'!I201</f>
        <v>1.2213000000000001</v>
      </c>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5.25" customHeight="1">
      <c r="A333" s="64"/>
      <c r="B333" s="64"/>
      <c r="C333" s="64"/>
      <c r="D333" s="284"/>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1.25" customHeight="1">
      <c r="A334" s="70" t="s">
        <v>51</v>
      </c>
      <c r="B334" s="63"/>
      <c r="C334" s="64"/>
      <c r="D334" s="284"/>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5.25" customHeight="1">
      <c r="A335" s="59"/>
      <c r="B335" s="64"/>
      <c r="C335" s="64"/>
      <c r="D335" s="284"/>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0.5" customHeight="1">
      <c r="A336" s="62" t="s">
        <v>52</v>
      </c>
      <c r="B336" s="63"/>
      <c r="C336" s="64" t="s">
        <v>46</v>
      </c>
      <c r="D336" s="281">
        <f>$D$34</f>
        <v>4.1000000000000003E-3</v>
      </c>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0.5" customHeight="1">
      <c r="A337" s="62" t="s">
        <v>53</v>
      </c>
      <c r="B337" s="63"/>
      <c r="C337" s="64" t="s">
        <v>46</v>
      </c>
      <c r="D337" s="281">
        <f>'Proposed Rates'!I214-'2026'!D335</f>
        <v>3.9999999999999931E-4</v>
      </c>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0.5" customHeight="1">
      <c r="A338" s="62" t="s">
        <v>54</v>
      </c>
      <c r="B338" s="63"/>
      <c r="C338" s="64" t="s">
        <v>46</v>
      </c>
      <c r="D338" s="281">
        <f>'Proposed Rates'!I227</f>
        <v>1.5E-3</v>
      </c>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0.5" customHeight="1">
      <c r="A339" s="62" t="s">
        <v>55</v>
      </c>
      <c r="B339" s="63"/>
      <c r="C339" s="64" t="s">
        <v>41</v>
      </c>
      <c r="D339" s="281">
        <f>'Proposed Rates'!I241</f>
        <v>1.6</v>
      </c>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9.75" customHeight="1">
      <c r="A340" s="85"/>
      <c r="B340" s="63"/>
      <c r="C340" s="64"/>
      <c r="D340" s="69"/>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21.75" customHeight="1">
      <c r="A341" s="597" t="str">
        <f>$A$1</f>
        <v>Hydro Ottawa Limited</v>
      </c>
      <c r="B341" s="595"/>
      <c r="C341" s="595"/>
      <c r="D341" s="596"/>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98" t="str">
        <f>$A$2</f>
        <v>PROPOSED - TARIFF OF RATES AND CHARGES</v>
      </c>
      <c r="B342" s="595"/>
      <c r="C342" s="595"/>
      <c r="D342" s="596"/>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 customHeight="1">
      <c r="A343" s="599" t="str">
        <f>$A$3</f>
        <v>Effective and Implementation Date January 1, 2029</v>
      </c>
      <c r="B343" s="595"/>
      <c r="C343" s="595"/>
      <c r="D343" s="596"/>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 customHeight="1">
      <c r="A344" s="600" t="str">
        <f>$A$4</f>
        <v>This schedule supersedes and replaces all previously</v>
      </c>
      <c r="B344" s="595"/>
      <c r="C344" s="595"/>
      <c r="D344" s="596"/>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 customHeight="1">
      <c r="A345" s="600" t="str">
        <f>$A$5</f>
        <v>approved schedules of Rates, Charges and Loss Factors</v>
      </c>
      <c r="B345" s="595"/>
      <c r="C345" s="595"/>
      <c r="D345" s="596"/>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9.75" customHeight="1">
      <c r="A346" s="601" t="str">
        <f>$A$6</f>
        <v>EB-2024-0115</v>
      </c>
      <c r="B346" s="595"/>
      <c r="C346" s="595"/>
      <c r="D346" s="596"/>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8.75" customHeight="1">
      <c r="A347" s="602" t="s">
        <v>209</v>
      </c>
      <c r="B347" s="595"/>
      <c r="C347" s="595"/>
      <c r="D347" s="596"/>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36" customHeight="1">
      <c r="A348" s="603" t="s">
        <v>210</v>
      </c>
      <c r="B348" s="595"/>
      <c r="C348" s="595"/>
      <c r="D348" s="596"/>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6.75" customHeight="1">
      <c r="A349" s="54"/>
      <c r="B349" s="54"/>
      <c r="C349" s="54"/>
      <c r="D349" s="55"/>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1.25" customHeight="1">
      <c r="A350" s="604" t="s">
        <v>34</v>
      </c>
      <c r="B350" s="595"/>
      <c r="C350" s="595"/>
      <c r="D350" s="596"/>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6.75" customHeight="1">
      <c r="A351" s="56"/>
      <c r="B351" s="57"/>
      <c r="C351" s="57"/>
      <c r="D351" s="58"/>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36" customHeight="1">
      <c r="A352" s="603" t="s">
        <v>35</v>
      </c>
      <c r="B352" s="595"/>
      <c r="C352" s="595"/>
      <c r="D352" s="596"/>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6.75" customHeight="1">
      <c r="A353" s="54"/>
      <c r="B353" s="54"/>
      <c r="C353" s="54"/>
      <c r="D353" s="55"/>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48" customHeight="1">
      <c r="A354" s="603" t="s">
        <v>36</v>
      </c>
      <c r="B354" s="595"/>
      <c r="C354" s="595"/>
      <c r="D354" s="596"/>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6.75" customHeight="1">
      <c r="A355" s="54"/>
      <c r="B355" s="54"/>
      <c r="C355" s="54"/>
      <c r="D355" s="55"/>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24" customHeight="1">
      <c r="A356" s="603" t="s">
        <v>93</v>
      </c>
      <c r="B356" s="595"/>
      <c r="C356" s="595"/>
      <c r="D356" s="596"/>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6.75" customHeight="1">
      <c r="A357" s="54"/>
      <c r="B357" s="54"/>
      <c r="C357" s="54"/>
      <c r="D357" s="55"/>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36" customHeight="1">
      <c r="A358" s="603" t="s">
        <v>89</v>
      </c>
      <c r="B358" s="595"/>
      <c r="C358" s="595"/>
      <c r="D358" s="596"/>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6.75" customHeight="1">
      <c r="A359" s="54"/>
      <c r="B359" s="54"/>
      <c r="C359" s="54"/>
      <c r="D359" s="55"/>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 customHeight="1">
      <c r="A360" s="594" t="s">
        <v>39</v>
      </c>
      <c r="B360" s="595"/>
      <c r="C360" s="595"/>
      <c r="D360" s="596"/>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6.75" customHeight="1">
      <c r="A361" s="59"/>
      <c r="B361" s="60"/>
      <c r="C361" s="60"/>
      <c r="D361" s="61"/>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1.25" customHeight="1">
      <c r="A362" s="607" t="s">
        <v>40</v>
      </c>
      <c r="B362" s="596"/>
      <c r="C362" s="64" t="s">
        <v>41</v>
      </c>
      <c r="D362" s="296">
        <f>'Proposed Rates'!I372</f>
        <v>0</v>
      </c>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8.25" customHeight="1">
      <c r="A363" s="85"/>
      <c r="B363" s="63"/>
      <c r="C363" s="64"/>
      <c r="D363" s="69"/>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21.75" customHeight="1">
      <c r="A364" s="597" t="str">
        <f>$A$1</f>
        <v>Hydro Ottawa Limited</v>
      </c>
      <c r="B364" s="595"/>
      <c r="C364" s="595"/>
      <c r="D364" s="596"/>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98" t="str">
        <f>$A$2</f>
        <v>PROPOSED - TARIFF OF RATES AND CHARGES</v>
      </c>
      <c r="B365" s="595"/>
      <c r="C365" s="595"/>
      <c r="D365" s="596"/>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 customHeight="1">
      <c r="A366" s="599" t="str">
        <f>$A$3</f>
        <v>Effective and Implementation Date January 1, 2029</v>
      </c>
      <c r="B366" s="595"/>
      <c r="C366" s="595"/>
      <c r="D366" s="596"/>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 customHeight="1">
      <c r="A367" s="600" t="str">
        <f>$A$4</f>
        <v>This schedule supersedes and replaces all previously</v>
      </c>
      <c r="B367" s="595"/>
      <c r="C367" s="595"/>
      <c r="D367" s="596"/>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 customHeight="1">
      <c r="A368" s="600" t="str">
        <f>$A$5</f>
        <v>approved schedules of Rates, Charges and Loss Factors</v>
      </c>
      <c r="B368" s="595"/>
      <c r="C368" s="595"/>
      <c r="D368" s="596"/>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9.75" customHeight="1">
      <c r="A369" s="601" t="str">
        <f>$A$6</f>
        <v>EB-2024-0115</v>
      </c>
      <c r="B369" s="595"/>
      <c r="C369" s="595"/>
      <c r="D369" s="596"/>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8.75" customHeight="1">
      <c r="A370" s="602" t="s">
        <v>91</v>
      </c>
      <c r="B370" s="595"/>
      <c r="C370" s="595"/>
      <c r="D370" s="596"/>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36" customHeight="1">
      <c r="A371" s="603" t="s">
        <v>92</v>
      </c>
      <c r="B371" s="595"/>
      <c r="C371" s="595"/>
      <c r="D371" s="596"/>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6.75" customHeight="1">
      <c r="A372" s="54"/>
      <c r="B372" s="54"/>
      <c r="C372" s="54"/>
      <c r="D372" s="55"/>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1.25" customHeight="1">
      <c r="A373" s="604" t="s">
        <v>34</v>
      </c>
      <c r="B373" s="595"/>
      <c r="C373" s="595"/>
      <c r="D373" s="596"/>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6.75" customHeight="1">
      <c r="A374" s="56"/>
      <c r="B374" s="57"/>
      <c r="C374" s="57"/>
      <c r="D374" s="58"/>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36" customHeight="1">
      <c r="A375" s="603" t="s">
        <v>35</v>
      </c>
      <c r="B375" s="595"/>
      <c r="C375" s="595"/>
      <c r="D375" s="596"/>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6.75" customHeight="1">
      <c r="A376" s="54"/>
      <c r="B376" s="54"/>
      <c r="C376" s="54"/>
      <c r="D376" s="55"/>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48" customHeight="1">
      <c r="A377" s="603" t="s">
        <v>36</v>
      </c>
      <c r="B377" s="595"/>
      <c r="C377" s="595"/>
      <c r="D377" s="596"/>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6.75" customHeight="1">
      <c r="A378" s="54"/>
      <c r="B378" s="54"/>
      <c r="C378" s="54"/>
      <c r="D378" s="55"/>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24" customHeight="1">
      <c r="A379" s="603" t="s">
        <v>93</v>
      </c>
      <c r="B379" s="595"/>
      <c r="C379" s="595"/>
      <c r="D379" s="596"/>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6.75" customHeight="1">
      <c r="A380" s="54"/>
      <c r="B380" s="54"/>
      <c r="C380" s="54"/>
      <c r="D380" s="55"/>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36" customHeight="1">
      <c r="A381" s="603" t="s">
        <v>89</v>
      </c>
      <c r="B381" s="595"/>
      <c r="C381" s="595"/>
      <c r="D381" s="596"/>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6.75" customHeight="1">
      <c r="A382" s="54"/>
      <c r="B382" s="54"/>
      <c r="C382" s="54"/>
      <c r="D382" s="55"/>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 customHeight="1">
      <c r="A383" s="594" t="s">
        <v>39</v>
      </c>
      <c r="B383" s="595"/>
      <c r="C383" s="595"/>
      <c r="D383" s="596"/>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6.75" customHeight="1">
      <c r="A384" s="59"/>
      <c r="B384" s="60"/>
      <c r="C384" s="60"/>
      <c r="D384" s="61"/>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1.25" customHeight="1">
      <c r="A385" s="607" t="s">
        <v>40</v>
      </c>
      <c r="B385" s="596"/>
      <c r="C385" s="64" t="s">
        <v>41</v>
      </c>
      <c r="D385" s="296">
        <f>'Proposed Rates'!I369</f>
        <v>12</v>
      </c>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3" customHeight="1">
      <c r="A386" s="85"/>
      <c r="B386" s="63"/>
      <c r="C386" s="64"/>
      <c r="D386" s="69"/>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3" customHeight="1">
      <c r="A387" s="292"/>
      <c r="B387" s="293"/>
      <c r="C387" s="294"/>
      <c r="D387" s="295"/>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3" customHeight="1">
      <c r="A388" s="292"/>
      <c r="B388" s="293"/>
      <c r="C388" s="294"/>
      <c r="D388" s="295"/>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3" customHeight="1">
      <c r="A389" s="292"/>
      <c r="B389" s="293"/>
      <c r="C389" s="294"/>
      <c r="D389" s="295"/>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3" customHeight="1">
      <c r="A390" s="292"/>
      <c r="B390" s="293"/>
      <c r="C390" s="294"/>
      <c r="D390" s="295"/>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3" customHeight="1">
      <c r="A391" s="292"/>
      <c r="B391" s="293"/>
      <c r="C391" s="294"/>
      <c r="D391" s="295"/>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3" customHeight="1">
      <c r="A392" s="292"/>
      <c r="B392" s="293"/>
      <c r="C392" s="294"/>
      <c r="D392" s="295"/>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8.75" customHeight="1">
      <c r="A393" s="602" t="s">
        <v>94</v>
      </c>
      <c r="B393" s="595"/>
      <c r="C393" s="595"/>
      <c r="D393" s="596"/>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36" customHeight="1">
      <c r="A394" s="603" t="s">
        <v>95</v>
      </c>
      <c r="B394" s="595"/>
      <c r="C394" s="595"/>
      <c r="D394" s="596"/>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6.75" customHeight="1">
      <c r="A395" s="54"/>
      <c r="B395" s="54"/>
      <c r="C395" s="54"/>
      <c r="D395" s="55"/>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1.25" customHeight="1">
      <c r="A396" s="604" t="s">
        <v>34</v>
      </c>
      <c r="B396" s="595"/>
      <c r="C396" s="595"/>
      <c r="D396" s="596"/>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6.75" customHeight="1">
      <c r="A397" s="56"/>
      <c r="B397" s="57"/>
      <c r="C397" s="57"/>
      <c r="D397" s="58"/>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36" customHeight="1">
      <c r="A398" s="603" t="s">
        <v>35</v>
      </c>
      <c r="B398" s="595"/>
      <c r="C398" s="595"/>
      <c r="D398" s="596"/>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6.75" customHeight="1">
      <c r="A399" s="54"/>
      <c r="B399" s="54"/>
      <c r="C399" s="54"/>
      <c r="D399" s="55"/>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48" customHeight="1">
      <c r="A400" s="603" t="s">
        <v>36</v>
      </c>
      <c r="B400" s="595"/>
      <c r="C400" s="595"/>
      <c r="D400" s="596"/>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6.75" customHeight="1">
      <c r="A401" s="54"/>
      <c r="B401" s="54"/>
      <c r="C401" s="54"/>
      <c r="D401" s="55"/>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24" customHeight="1">
      <c r="A402" s="603" t="s">
        <v>93</v>
      </c>
      <c r="B402" s="595"/>
      <c r="C402" s="595"/>
      <c r="D402" s="596"/>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6.75" customHeight="1">
      <c r="A403" s="54"/>
      <c r="B403" s="54"/>
      <c r="C403" s="54"/>
      <c r="D403" s="55"/>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36" customHeight="1">
      <c r="A404" s="603" t="s">
        <v>89</v>
      </c>
      <c r="B404" s="595"/>
      <c r="C404" s="595"/>
      <c r="D404" s="596"/>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6.75" customHeight="1">
      <c r="A405" s="54"/>
      <c r="B405" s="54"/>
      <c r="C405" s="54"/>
      <c r="D405" s="55"/>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 customHeight="1">
      <c r="A406" s="594" t="s">
        <v>39</v>
      </c>
      <c r="B406" s="595"/>
      <c r="C406" s="595"/>
      <c r="D406" s="596"/>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6.75" customHeight="1">
      <c r="A407" s="59"/>
      <c r="B407" s="60"/>
      <c r="C407" s="60"/>
      <c r="D407" s="61"/>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1.25" customHeight="1">
      <c r="A408" s="607" t="s">
        <v>40</v>
      </c>
      <c r="B408" s="596"/>
      <c r="C408" s="64" t="s">
        <v>41</v>
      </c>
      <c r="D408" s="296">
        <f>'Proposed Rates'!I370</f>
        <v>93</v>
      </c>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4.25" customHeight="1">
      <c r="A409" s="85"/>
      <c r="B409" s="63"/>
      <c r="C409" s="64"/>
      <c r="D409" s="69"/>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21.75" customHeight="1">
      <c r="A410" s="597" t="str">
        <f>$A$1</f>
        <v>Hydro Ottawa Limited</v>
      </c>
      <c r="B410" s="595"/>
      <c r="C410" s="595"/>
      <c r="D410" s="596"/>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98" t="str">
        <f>$A$2</f>
        <v>PROPOSED - TARIFF OF RATES AND CHARGES</v>
      </c>
      <c r="B411" s="595"/>
      <c r="C411" s="595"/>
      <c r="D411" s="596"/>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 customHeight="1">
      <c r="A412" s="599" t="str">
        <f>$A$3</f>
        <v>Effective and Implementation Date January 1, 2029</v>
      </c>
      <c r="B412" s="595"/>
      <c r="C412" s="595"/>
      <c r="D412" s="596"/>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 customHeight="1">
      <c r="A413" s="600" t="str">
        <f>$A$4</f>
        <v>This schedule supersedes and replaces all previously</v>
      </c>
      <c r="B413" s="595"/>
      <c r="C413" s="595"/>
      <c r="D413" s="596"/>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 customHeight="1">
      <c r="A414" s="600" t="str">
        <f>$A$5</f>
        <v>approved schedules of Rates, Charges and Loss Factors</v>
      </c>
      <c r="B414" s="595"/>
      <c r="C414" s="595"/>
      <c r="D414" s="596"/>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9.75" customHeight="1">
      <c r="A415" s="601" t="str">
        <f>$A$6</f>
        <v>EB-2024-0115</v>
      </c>
      <c r="B415" s="595"/>
      <c r="C415" s="595"/>
      <c r="D415" s="596"/>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8.75" customHeight="1">
      <c r="A416" s="602" t="s">
        <v>96</v>
      </c>
      <c r="B416" s="595"/>
      <c r="C416" s="595"/>
      <c r="D416" s="596"/>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36" customHeight="1">
      <c r="A417" s="603" t="s">
        <v>97</v>
      </c>
      <c r="B417" s="595"/>
      <c r="C417" s="595"/>
      <c r="D417" s="596"/>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6.75" customHeight="1">
      <c r="A418" s="54"/>
      <c r="B418" s="54"/>
      <c r="C418" s="54"/>
      <c r="D418" s="55"/>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1.25" customHeight="1">
      <c r="A419" s="604" t="s">
        <v>34</v>
      </c>
      <c r="B419" s="595"/>
      <c r="C419" s="595"/>
      <c r="D419" s="596"/>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6.75" customHeight="1">
      <c r="A420" s="56"/>
      <c r="B420" s="57"/>
      <c r="C420" s="57"/>
      <c r="D420" s="58"/>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36" customHeight="1">
      <c r="A421" s="603" t="s">
        <v>35</v>
      </c>
      <c r="B421" s="595"/>
      <c r="C421" s="595"/>
      <c r="D421" s="596"/>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6.75" customHeight="1">
      <c r="A422" s="54"/>
      <c r="B422" s="54"/>
      <c r="C422" s="54"/>
      <c r="D422" s="55"/>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48" customHeight="1">
      <c r="A423" s="603" t="s">
        <v>36</v>
      </c>
      <c r="B423" s="595"/>
      <c r="C423" s="595"/>
      <c r="D423" s="596"/>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6.75" customHeight="1">
      <c r="A424" s="54"/>
      <c r="B424" s="54"/>
      <c r="C424" s="54"/>
      <c r="D424" s="55"/>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24" customHeight="1">
      <c r="A425" s="603" t="s">
        <v>93</v>
      </c>
      <c r="B425" s="595"/>
      <c r="C425" s="595"/>
      <c r="D425" s="596"/>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6.75" customHeight="1">
      <c r="A426" s="54"/>
      <c r="B426" s="54"/>
      <c r="C426" s="54"/>
      <c r="D426" s="55"/>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36" customHeight="1">
      <c r="A427" s="603" t="s">
        <v>89</v>
      </c>
      <c r="B427" s="595"/>
      <c r="C427" s="595"/>
      <c r="D427" s="596"/>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6.75" customHeight="1">
      <c r="A428" s="54"/>
      <c r="B428" s="54"/>
      <c r="C428" s="54"/>
      <c r="D428" s="55"/>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 customHeight="1">
      <c r="A429" s="594" t="s">
        <v>39</v>
      </c>
      <c r="B429" s="595"/>
      <c r="C429" s="595"/>
      <c r="D429" s="596"/>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6.75" customHeight="1">
      <c r="A430" s="59"/>
      <c r="B430" s="60"/>
      <c r="C430" s="60"/>
      <c r="D430" s="61"/>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1.25" customHeight="1">
      <c r="A431" s="607" t="s">
        <v>40</v>
      </c>
      <c r="B431" s="596"/>
      <c r="C431" s="64" t="s">
        <v>41</v>
      </c>
      <c r="D431" s="296">
        <f>'Proposed Rates'!I371</f>
        <v>283</v>
      </c>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6.75" customHeight="1">
      <c r="A432" s="94"/>
      <c r="B432" s="85"/>
      <c r="C432" s="64"/>
      <c r="D432" s="284"/>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8" customHeight="1">
      <c r="A433" s="95" t="s">
        <v>98</v>
      </c>
      <c r="B433" s="96"/>
      <c r="C433" s="96"/>
      <c r="D433" s="297"/>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1.25" customHeight="1">
      <c r="A434" s="607" t="s">
        <v>99</v>
      </c>
      <c r="B434" s="596"/>
      <c r="C434" s="97" t="s">
        <v>100</v>
      </c>
      <c r="D434" s="284">
        <v>-1</v>
      </c>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85"/>
      <c r="B435" s="63"/>
      <c r="C435" s="97"/>
      <c r="D435" s="69"/>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21.75" customHeight="1">
      <c r="A436" s="597" t="str">
        <f>$A$1</f>
        <v>Hydro Ottawa Limited</v>
      </c>
      <c r="B436" s="595"/>
      <c r="C436" s="595"/>
      <c r="D436" s="596"/>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98" t="str">
        <f>$A$2</f>
        <v>PROPOSED - TARIFF OF RATES AND CHARGES</v>
      </c>
      <c r="B437" s="595"/>
      <c r="C437" s="595"/>
      <c r="D437" s="596"/>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 customHeight="1">
      <c r="A438" s="599" t="str">
        <f>$A$3</f>
        <v>Effective and Implementation Date January 1, 2029</v>
      </c>
      <c r="B438" s="595"/>
      <c r="C438" s="595"/>
      <c r="D438" s="596"/>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 customHeight="1">
      <c r="A439" s="600" t="str">
        <f>$A$4</f>
        <v>This schedule supersedes and replaces all previously</v>
      </c>
      <c r="B439" s="595"/>
      <c r="C439" s="595"/>
      <c r="D439" s="596"/>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 customHeight="1">
      <c r="A440" s="600" t="str">
        <f>$A$5</f>
        <v>approved schedules of Rates, Charges and Loss Factors</v>
      </c>
      <c r="B440" s="595"/>
      <c r="C440" s="595"/>
      <c r="D440" s="596"/>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9.75" customHeight="1">
      <c r="A441" s="601" t="str">
        <f>$A$6</f>
        <v>EB-2024-0115</v>
      </c>
      <c r="B441" s="595"/>
      <c r="C441" s="595"/>
      <c r="D441" s="596"/>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8" customHeight="1">
      <c r="A442" s="95" t="s">
        <v>101</v>
      </c>
      <c r="B442" s="96"/>
      <c r="C442" s="96"/>
      <c r="D442" s="72"/>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6.75" customHeight="1">
      <c r="A443" s="95"/>
      <c r="B443" s="96"/>
      <c r="C443" s="96"/>
      <c r="D443" s="72"/>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1.25" customHeight="1">
      <c r="A444" s="606" t="s">
        <v>34</v>
      </c>
      <c r="B444" s="595"/>
      <c r="C444" s="595"/>
      <c r="D444" s="596"/>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6.75" customHeight="1">
      <c r="A445" s="98"/>
      <c r="B445" s="54"/>
      <c r="C445" s="54"/>
      <c r="D445" s="55"/>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36" customHeight="1">
      <c r="A446" s="603" t="s">
        <v>35</v>
      </c>
      <c r="B446" s="595"/>
      <c r="C446" s="595"/>
      <c r="D446" s="596"/>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6.75" customHeight="1">
      <c r="A447" s="54"/>
      <c r="B447" s="54"/>
      <c r="C447" s="54"/>
      <c r="D447" s="55"/>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48" customHeight="1">
      <c r="A448" s="603" t="s">
        <v>102</v>
      </c>
      <c r="B448" s="595"/>
      <c r="C448" s="595"/>
      <c r="D448" s="596"/>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6.75" customHeight="1">
      <c r="A449" s="54"/>
      <c r="B449" s="54"/>
      <c r="C449" s="54"/>
      <c r="D449" s="55"/>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36" customHeight="1">
      <c r="A450" s="603" t="s">
        <v>38</v>
      </c>
      <c r="B450" s="595"/>
      <c r="C450" s="595"/>
      <c r="D450" s="596"/>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6.75" customHeight="1">
      <c r="A451" s="54"/>
      <c r="B451" s="54"/>
      <c r="C451" s="54"/>
      <c r="D451" s="55"/>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 customHeight="1">
      <c r="A452" s="99" t="s">
        <v>103</v>
      </c>
      <c r="B452" s="96"/>
      <c r="C452" s="96"/>
      <c r="D452" s="72"/>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 customHeight="1">
      <c r="A453" s="62" t="s">
        <v>104</v>
      </c>
      <c r="B453" s="62"/>
      <c r="C453" s="64" t="s">
        <v>41</v>
      </c>
      <c r="D453" s="100">
        <f>'Proposed Rates'!I319</f>
        <v>0</v>
      </c>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 customHeight="1">
      <c r="A454" s="64" t="s">
        <v>105</v>
      </c>
      <c r="B454" s="64"/>
      <c r="C454" s="64" t="s">
        <v>41</v>
      </c>
      <c r="D454" s="100">
        <f>'Proposed Rates'!I320</f>
        <v>30</v>
      </c>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 customHeight="1">
      <c r="A455" s="62" t="s">
        <v>106</v>
      </c>
      <c r="B455" s="62"/>
      <c r="C455" s="64" t="s">
        <v>41</v>
      </c>
      <c r="D455" s="100">
        <f>'Proposed Rates'!I321</f>
        <v>7</v>
      </c>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 customHeight="1">
      <c r="A456" s="62" t="s">
        <v>107</v>
      </c>
      <c r="B456" s="62"/>
      <c r="C456" s="64" t="s">
        <v>41</v>
      </c>
      <c r="D456" s="100">
        <f>'Proposed Rates'!I322</f>
        <v>151</v>
      </c>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 customHeight="1">
      <c r="A457" s="62" t="s">
        <v>108</v>
      </c>
      <c r="B457" s="62"/>
      <c r="C457" s="64" t="s">
        <v>41</v>
      </c>
      <c r="D457" s="100">
        <f>'Proposed Rates'!I323</f>
        <v>20</v>
      </c>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 customHeight="1">
      <c r="A458" s="62" t="s">
        <v>109</v>
      </c>
      <c r="B458" s="62"/>
      <c r="C458" s="64" t="s">
        <v>41</v>
      </c>
      <c r="D458" s="100">
        <f>'Proposed Rates'!I324</f>
        <v>25</v>
      </c>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 customHeight="1">
      <c r="A459" s="62" t="s">
        <v>110</v>
      </c>
      <c r="B459" s="62"/>
      <c r="C459" s="64" t="s">
        <v>41</v>
      </c>
      <c r="D459" s="100">
        <f>'Proposed Rates'!I325</f>
        <v>10</v>
      </c>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 customHeight="1">
      <c r="A460" s="62" t="s">
        <v>111</v>
      </c>
      <c r="B460" s="62"/>
      <c r="C460" s="64" t="s">
        <v>41</v>
      </c>
      <c r="D460" s="100">
        <f>'Proposed Rates'!I328</f>
        <v>390</v>
      </c>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 customHeight="1">
      <c r="A461" s="62" t="s">
        <v>112</v>
      </c>
      <c r="B461" s="62"/>
      <c r="C461" s="64" t="s">
        <v>41</v>
      </c>
      <c r="D461" s="100">
        <f>'Proposed Rates'!I329</f>
        <v>342</v>
      </c>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6.75" customHeight="1">
      <c r="A462" s="64"/>
      <c r="B462" s="64"/>
      <c r="C462" s="64"/>
      <c r="D462" s="69"/>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 customHeight="1">
      <c r="A463" s="99" t="s">
        <v>113</v>
      </c>
      <c r="B463" s="99"/>
      <c r="C463" s="90"/>
      <c r="D463" s="92"/>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 customHeight="1">
      <c r="A464" s="62" t="s">
        <v>114</v>
      </c>
      <c r="B464" s="62"/>
      <c r="C464" s="64" t="s">
        <v>100</v>
      </c>
      <c r="D464" s="93">
        <f>'Proposed Rates'!I332</f>
        <v>1.4999999999999999E-2</v>
      </c>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 customHeight="1">
      <c r="A465" s="62" t="s">
        <v>115</v>
      </c>
      <c r="B465" s="62"/>
      <c r="C465" s="64" t="s">
        <v>41</v>
      </c>
      <c r="D465" s="100">
        <f>'Proposed Rates'!I333</f>
        <v>74</v>
      </c>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 customHeight="1">
      <c r="A466" s="62" t="s">
        <v>116</v>
      </c>
      <c r="B466" s="62"/>
      <c r="C466" s="64" t="s">
        <v>41</v>
      </c>
      <c r="D466" s="100">
        <f>'Proposed Rates'!I334</f>
        <v>100</v>
      </c>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 customHeight="1">
      <c r="A467" s="62" t="s">
        <v>117</v>
      </c>
      <c r="B467" s="62"/>
      <c r="C467" s="64" t="s">
        <v>41</v>
      </c>
      <c r="D467" s="100">
        <f>'Proposed Rates'!I335</f>
        <v>338</v>
      </c>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 customHeight="1">
      <c r="A468" s="62" t="s">
        <v>118</v>
      </c>
      <c r="B468" s="62"/>
      <c r="C468" s="64" t="s">
        <v>41</v>
      </c>
      <c r="D468" s="100">
        <f>'Proposed Rates'!I336</f>
        <v>510</v>
      </c>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6.75" customHeight="1">
      <c r="A469" s="64"/>
      <c r="B469" s="64"/>
      <c r="C469" s="64"/>
      <c r="D469" s="69"/>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 customHeight="1">
      <c r="A470" s="99" t="s">
        <v>119</v>
      </c>
      <c r="B470" s="99"/>
      <c r="C470" s="90"/>
      <c r="D470" s="69"/>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 customHeight="1">
      <c r="A471" s="62" t="s">
        <v>120</v>
      </c>
      <c r="B471" s="62"/>
      <c r="C471" s="64" t="s">
        <v>41</v>
      </c>
      <c r="D471" s="100">
        <f>'Proposed Rates'!I339</f>
        <v>1148</v>
      </c>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 customHeight="1">
      <c r="A472" s="62" t="s">
        <v>121</v>
      </c>
      <c r="B472" s="62"/>
      <c r="C472" s="64" t="s">
        <v>41</v>
      </c>
      <c r="D472" s="100">
        <f>'Proposed Rates'!I340</f>
        <v>1514</v>
      </c>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 customHeight="1">
      <c r="A473" s="62" t="s">
        <v>122</v>
      </c>
      <c r="B473" s="62"/>
      <c r="C473" s="64" t="s">
        <v>41</v>
      </c>
      <c r="D473" s="100">
        <f>'Proposed Rates'!I341</f>
        <v>5333</v>
      </c>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 customHeight="1">
      <c r="A474" s="62" t="s">
        <v>123</v>
      </c>
      <c r="B474" s="62"/>
      <c r="C474" s="64" t="s">
        <v>41</v>
      </c>
      <c r="D474" s="93">
        <f>'Proposed Rates'!I342</f>
        <v>39.14</v>
      </c>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 customHeight="1">
      <c r="A475" s="62" t="s">
        <v>124</v>
      </c>
      <c r="B475" s="62"/>
      <c r="C475" s="64"/>
      <c r="D475" s="69" t="str">
        <f>'Proposed Rates'!I343</f>
        <v>Per Attached Table</v>
      </c>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 customHeight="1">
      <c r="A476" s="62" t="s">
        <v>125</v>
      </c>
      <c r="B476" s="62"/>
      <c r="C476" s="64" t="s">
        <v>41</v>
      </c>
      <c r="D476" s="100">
        <f>'Proposed Rates'!I344</f>
        <v>176</v>
      </c>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6.75" customHeight="1">
      <c r="A477" s="607"/>
      <c r="B477" s="596"/>
      <c r="C477" s="64"/>
      <c r="D477" s="69"/>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21.75" customHeight="1">
      <c r="A478" s="597" t="str">
        <f>$A$1</f>
        <v>Hydro Ottawa Limited</v>
      </c>
      <c r="B478" s="595"/>
      <c r="C478" s="595"/>
      <c r="D478" s="596"/>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98" t="str">
        <f>$A$2</f>
        <v>PROPOSED - TARIFF OF RATES AND CHARGES</v>
      </c>
      <c r="B479" s="595"/>
      <c r="C479" s="595"/>
      <c r="D479" s="596"/>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 customHeight="1">
      <c r="A480" s="599" t="str">
        <f>$A$3</f>
        <v>Effective and Implementation Date January 1, 2029</v>
      </c>
      <c r="B480" s="595"/>
      <c r="C480" s="595"/>
      <c r="D480" s="596"/>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 customHeight="1">
      <c r="A481" s="600" t="str">
        <f>$A$4</f>
        <v>This schedule supersedes and replaces all previously</v>
      </c>
      <c r="B481" s="595"/>
      <c r="C481" s="595"/>
      <c r="D481" s="596"/>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 customHeight="1">
      <c r="A482" s="600" t="str">
        <f>$A$5</f>
        <v>approved schedules of Rates, Charges and Loss Factors</v>
      </c>
      <c r="B482" s="595"/>
      <c r="C482" s="595"/>
      <c r="D482" s="596"/>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9.75" customHeight="1">
      <c r="A483" s="601" t="str">
        <f>$A$6</f>
        <v>EB-2024-0115</v>
      </c>
      <c r="B483" s="595"/>
      <c r="C483" s="595"/>
      <c r="D483" s="596"/>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8" customHeight="1">
      <c r="A484" s="95" t="s">
        <v>126</v>
      </c>
      <c r="B484" s="96"/>
      <c r="C484" s="96"/>
      <c r="D484" s="72"/>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6.75" customHeight="1">
      <c r="A485" s="95"/>
      <c r="B485" s="96"/>
      <c r="C485" s="96"/>
      <c r="D485" s="72"/>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36" customHeight="1">
      <c r="A486" s="603" t="s">
        <v>127</v>
      </c>
      <c r="B486" s="595"/>
      <c r="C486" s="595"/>
      <c r="D486" s="596"/>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6.75" customHeight="1">
      <c r="A487" s="54"/>
      <c r="B487" s="54"/>
      <c r="C487" s="54"/>
      <c r="D487" s="55"/>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48" customHeight="1">
      <c r="A488" s="603" t="s">
        <v>36</v>
      </c>
      <c r="B488" s="595"/>
      <c r="C488" s="595"/>
      <c r="D488" s="596"/>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6.75" customHeight="1">
      <c r="A489" s="54"/>
      <c r="B489" s="54"/>
      <c r="C489" s="54"/>
      <c r="D489" s="55"/>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24" customHeight="1">
      <c r="A490" s="603" t="s">
        <v>79</v>
      </c>
      <c r="B490" s="595"/>
      <c r="C490" s="595"/>
      <c r="D490" s="596"/>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6.75" customHeight="1">
      <c r="A491" s="54"/>
      <c r="B491" s="54"/>
      <c r="C491" s="54"/>
      <c r="D491" s="55"/>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36" customHeight="1">
      <c r="A492" s="603" t="s">
        <v>38</v>
      </c>
      <c r="B492" s="595"/>
      <c r="C492" s="595"/>
      <c r="D492" s="596"/>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6.75" customHeight="1">
      <c r="A493" s="54"/>
      <c r="B493" s="54"/>
      <c r="C493" s="54"/>
      <c r="D493" s="55"/>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603" t="s">
        <v>128</v>
      </c>
      <c r="B494" s="595"/>
      <c r="C494" s="595"/>
      <c r="D494" s="596"/>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6" customHeight="1">
      <c r="A495" s="54"/>
      <c r="B495" s="63"/>
      <c r="C495" s="63"/>
      <c r="D495" s="6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1.25" customHeight="1">
      <c r="A496" s="62" t="s">
        <v>129</v>
      </c>
      <c r="B496" s="63"/>
      <c r="C496" s="102" t="s">
        <v>41</v>
      </c>
      <c r="D496" s="300">
        <f>'Proposed Rates'!I347</f>
        <v>125.72</v>
      </c>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1.25" customHeight="1">
      <c r="A497" s="62" t="s">
        <v>130</v>
      </c>
      <c r="B497" s="63"/>
      <c r="C497" s="102" t="s">
        <v>41</v>
      </c>
      <c r="D497" s="300">
        <f>'Proposed Rates'!I348</f>
        <v>50.29</v>
      </c>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1.25" customHeight="1">
      <c r="A498" s="62" t="s">
        <v>131</v>
      </c>
      <c r="B498" s="63"/>
      <c r="C498" s="102" t="s">
        <v>132</v>
      </c>
      <c r="D498" s="300">
        <f>'Proposed Rates'!I349</f>
        <v>1.24</v>
      </c>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1.25" customHeight="1">
      <c r="A499" s="62" t="s">
        <v>133</v>
      </c>
      <c r="B499" s="63"/>
      <c r="C499" s="102" t="s">
        <v>132</v>
      </c>
      <c r="D499" s="300">
        <f>'Proposed Rates'!I350</f>
        <v>0.74</v>
      </c>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1.25" customHeight="1">
      <c r="A500" s="62" t="s">
        <v>134</v>
      </c>
      <c r="B500" s="63"/>
      <c r="C500" s="102" t="s">
        <v>132</v>
      </c>
      <c r="D500" s="300">
        <f>'Proposed Rates'!I351</f>
        <v>-0.74</v>
      </c>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1.25" customHeight="1">
      <c r="A501" s="62" t="s">
        <v>135</v>
      </c>
      <c r="B501" s="63"/>
      <c r="C501" s="62"/>
      <c r="D501" s="300"/>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1.25" customHeight="1">
      <c r="A502" s="62" t="s">
        <v>136</v>
      </c>
      <c r="B502" s="63"/>
      <c r="C502" s="102" t="s">
        <v>41</v>
      </c>
      <c r="D502" s="300">
        <f>'Proposed Rates'!I353</f>
        <v>0.63</v>
      </c>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1.25" customHeight="1">
      <c r="A503" s="62" t="s">
        <v>137</v>
      </c>
      <c r="B503" s="63"/>
      <c r="C503" s="102" t="s">
        <v>41</v>
      </c>
      <c r="D503" s="300">
        <f>'Proposed Rates'!I354</f>
        <v>1.24</v>
      </c>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3.75" customHeight="1">
      <c r="A504" s="62"/>
      <c r="B504" s="63"/>
      <c r="C504" s="102"/>
      <c r="D504" s="300"/>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1.25" customHeight="1">
      <c r="A505" s="62" t="s">
        <v>138</v>
      </c>
      <c r="B505" s="63"/>
      <c r="C505" s="105"/>
      <c r="D505" s="300"/>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1.25" customHeight="1">
      <c r="A506" s="62" t="s">
        <v>139</v>
      </c>
      <c r="B506" s="63"/>
      <c r="C506" s="105"/>
      <c r="D506" s="300"/>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1.25" customHeight="1">
      <c r="A507" s="62" t="s">
        <v>140</v>
      </c>
      <c r="B507" s="63"/>
      <c r="C507" s="105"/>
      <c r="D507" s="300"/>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1.25" customHeight="1">
      <c r="A508" s="62" t="s">
        <v>141</v>
      </c>
      <c r="B508" s="63"/>
      <c r="C508" s="102" t="s">
        <v>41</v>
      </c>
      <c r="D508" s="300" t="str">
        <f>'Proposed Rates'!I358</f>
        <v>no charge</v>
      </c>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1.25" customHeight="1">
      <c r="A509" s="62" t="s">
        <v>142</v>
      </c>
      <c r="B509" s="63"/>
      <c r="C509" s="102" t="s">
        <v>41</v>
      </c>
      <c r="D509" s="300">
        <f>'Proposed Rates'!I359</f>
        <v>5.03</v>
      </c>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4.5" customHeight="1">
      <c r="A510" s="62"/>
      <c r="B510" s="63"/>
      <c r="C510" s="102"/>
      <c r="D510" s="300"/>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1.25" customHeight="1">
      <c r="A511" s="62" t="s">
        <v>143</v>
      </c>
      <c r="B511" s="63"/>
      <c r="C511" s="105"/>
      <c r="D511" s="300"/>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1.25" customHeight="1">
      <c r="A512" s="62" t="s">
        <v>144</v>
      </c>
      <c r="B512" s="63"/>
      <c r="C512" s="102" t="s">
        <v>41</v>
      </c>
      <c r="D512" s="300">
        <f>'Proposed Rates'!I361</f>
        <v>2.5099999999999998</v>
      </c>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6.75" customHeight="1">
      <c r="A513" s="73"/>
      <c r="B513" s="73"/>
      <c r="C513" s="102"/>
      <c r="D513" s="92"/>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21.75" customHeight="1">
      <c r="A514" s="597" t="str">
        <f>$A$1</f>
        <v>Hydro Ottawa Limited</v>
      </c>
      <c r="B514" s="595"/>
      <c r="C514" s="595"/>
      <c r="D514" s="596"/>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98" t="str">
        <f>$A$2</f>
        <v>PROPOSED - TARIFF OF RATES AND CHARGES</v>
      </c>
      <c r="B515" s="595"/>
      <c r="C515" s="595"/>
      <c r="D515" s="596"/>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 customHeight="1">
      <c r="A516" s="599" t="str">
        <f>$A$3</f>
        <v>Effective and Implementation Date January 1, 2029</v>
      </c>
      <c r="B516" s="595"/>
      <c r="C516" s="595"/>
      <c r="D516" s="596"/>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 customHeight="1">
      <c r="A517" s="600" t="str">
        <f>$A$4</f>
        <v>This schedule supersedes and replaces all previously</v>
      </c>
      <c r="B517" s="595"/>
      <c r="C517" s="595"/>
      <c r="D517" s="596"/>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 customHeight="1">
      <c r="A518" s="600" t="str">
        <f>$A$5</f>
        <v>approved schedules of Rates, Charges and Loss Factors</v>
      </c>
      <c r="B518" s="595"/>
      <c r="C518" s="595"/>
      <c r="D518" s="596"/>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9.75" customHeight="1">
      <c r="A519" s="601" t="str">
        <f>$A$6</f>
        <v>EB-2024-0115</v>
      </c>
      <c r="B519" s="595"/>
      <c r="C519" s="595"/>
      <c r="D519" s="596"/>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 customHeight="1">
      <c r="A520" s="106" t="s">
        <v>145</v>
      </c>
      <c r="B520" s="106"/>
      <c r="C520" s="107"/>
      <c r="D520" s="108"/>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6.75" customHeight="1">
      <c r="A521" s="106"/>
      <c r="B521" s="106"/>
      <c r="C521" s="107"/>
      <c r="D521" s="108"/>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22.5" customHeight="1">
      <c r="A522" s="605" t="s">
        <v>146</v>
      </c>
      <c r="B522" s="595"/>
      <c r="C522" s="595"/>
      <c r="D522" s="596"/>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1.25" customHeight="1">
      <c r="A523" s="607" t="s">
        <v>147</v>
      </c>
      <c r="B523" s="595"/>
      <c r="C523" s="596"/>
      <c r="D523" s="284">
        <f>'Proposed Rates'!I312</f>
        <v>1.0331999999999999</v>
      </c>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1.25" customHeight="1">
      <c r="A524" s="607" t="s">
        <v>148</v>
      </c>
      <c r="B524" s="595"/>
      <c r="C524" s="596"/>
      <c r="D524" s="284">
        <f>'Proposed Rates'!I313</f>
        <v>1.0149999999999999</v>
      </c>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1.25" customHeight="1">
      <c r="A525" s="607" t="s">
        <v>149</v>
      </c>
      <c r="B525" s="595"/>
      <c r="C525" s="596"/>
      <c r="D525" s="284">
        <f>'Proposed Rates'!I314</f>
        <v>1.0230999999999999</v>
      </c>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1.25" customHeight="1">
      <c r="A526" s="607" t="s">
        <v>150</v>
      </c>
      <c r="B526" s="595"/>
      <c r="C526" s="596"/>
      <c r="D526" s="284">
        <f>'Proposed Rates'!I315</f>
        <v>1.0047999999999999</v>
      </c>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109"/>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109"/>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109"/>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109"/>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109"/>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109"/>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109"/>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109"/>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109"/>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109"/>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109"/>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109"/>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109"/>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109"/>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109"/>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109"/>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109"/>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109"/>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109"/>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109"/>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109"/>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109"/>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109"/>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109"/>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109"/>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109"/>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109"/>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109"/>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109"/>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109"/>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109"/>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109"/>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109"/>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109"/>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109"/>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109"/>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109"/>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109"/>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109"/>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109"/>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109"/>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109"/>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109"/>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109"/>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109"/>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109"/>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109"/>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109"/>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109"/>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109"/>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109"/>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109"/>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109"/>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109"/>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109"/>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109"/>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109"/>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109"/>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109"/>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109"/>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109"/>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109"/>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109"/>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109"/>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109"/>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109"/>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109"/>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109"/>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109"/>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109"/>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109"/>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109"/>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109"/>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109"/>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109"/>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109"/>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109"/>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109"/>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109"/>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109"/>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109"/>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109"/>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109"/>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109"/>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109"/>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109"/>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109"/>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109"/>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109"/>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109"/>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109"/>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109"/>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109"/>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109"/>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109"/>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109"/>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109"/>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109"/>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109"/>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109"/>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109"/>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109"/>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109"/>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109"/>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109"/>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109"/>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109"/>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109"/>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109"/>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109"/>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109"/>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109"/>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109"/>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109"/>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109"/>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109"/>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109"/>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109"/>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109"/>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109"/>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109"/>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109"/>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109"/>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c r="A650" s="53"/>
      <c r="B650" s="53"/>
      <c r="C650" s="53"/>
      <c r="D650" s="109"/>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c r="A651" s="53"/>
      <c r="B651" s="53"/>
      <c r="C651" s="53"/>
      <c r="D651" s="109"/>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c r="A652" s="53"/>
      <c r="B652" s="53"/>
      <c r="C652" s="53"/>
      <c r="D652" s="109"/>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109"/>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109"/>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109"/>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109"/>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109"/>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109"/>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109"/>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109"/>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109"/>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109"/>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109"/>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109"/>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109"/>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109"/>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109"/>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109"/>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109"/>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109"/>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109"/>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109"/>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109"/>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109"/>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109"/>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109"/>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109"/>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109"/>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109"/>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109"/>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109"/>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109"/>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109"/>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109"/>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109"/>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109"/>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109"/>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109"/>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109"/>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109"/>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109"/>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109"/>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109"/>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109"/>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109"/>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109"/>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109"/>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109"/>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109"/>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109"/>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109"/>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109"/>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109"/>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109"/>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109"/>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109"/>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109"/>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109"/>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109"/>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109"/>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109"/>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109"/>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109"/>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109"/>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109"/>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109"/>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109"/>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109"/>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109"/>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109"/>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109"/>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109"/>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109"/>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109"/>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109"/>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109"/>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row r="728" spans="1:26" ht="15.75" customHeight="1"/>
    <row r="729" spans="1:26" ht="15.75" customHeight="1"/>
    <row r="730" spans="1:26" ht="15.75" customHeight="1"/>
    <row r="731" spans="1:26" ht="15.75" customHeight="1"/>
    <row r="732" spans="1:26" ht="15.75" customHeight="1"/>
    <row r="733" spans="1:26" ht="15.75" customHeight="1"/>
    <row r="734" spans="1:26" ht="15.75" customHeight="1"/>
    <row r="735" spans="1:26" ht="15.75" customHeight="1"/>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4">
    <mergeCell ref="A1:D1"/>
    <mergeCell ref="A2:D2"/>
    <mergeCell ref="A3:D3"/>
    <mergeCell ref="A4:D4"/>
    <mergeCell ref="A5:D5"/>
    <mergeCell ref="A6:D6"/>
    <mergeCell ref="A7:D7"/>
    <mergeCell ref="A8:D8"/>
    <mergeCell ref="A10:D10"/>
    <mergeCell ref="A12:D12"/>
    <mergeCell ref="A14:D14"/>
    <mergeCell ref="A16:D16"/>
    <mergeCell ref="A18:D18"/>
    <mergeCell ref="A39:D39"/>
    <mergeCell ref="A40:D40"/>
    <mergeCell ref="A41:D41"/>
    <mergeCell ref="A42:D42"/>
    <mergeCell ref="A43:D43"/>
    <mergeCell ref="A44:D44"/>
    <mergeCell ref="A45:D45"/>
    <mergeCell ref="A46:D46"/>
    <mergeCell ref="A48:D48"/>
    <mergeCell ref="A50:D50"/>
    <mergeCell ref="A52:D52"/>
    <mergeCell ref="A54:D54"/>
    <mergeCell ref="A56:D56"/>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98:D98"/>
    <mergeCell ref="A100:D100"/>
    <mergeCell ref="A120:D120"/>
    <mergeCell ref="A121:D121"/>
    <mergeCell ref="A122:D122"/>
    <mergeCell ref="A123:D123"/>
    <mergeCell ref="A124:D124"/>
    <mergeCell ref="A125:D125"/>
    <mergeCell ref="A126:D126"/>
    <mergeCell ref="A127:D127"/>
    <mergeCell ref="A129:D129"/>
    <mergeCell ref="A131:D131"/>
    <mergeCell ref="A133:D133"/>
    <mergeCell ref="A135:D135"/>
    <mergeCell ref="A137:D137"/>
    <mergeCell ref="A138:D138"/>
    <mergeCell ref="A139:D139"/>
    <mergeCell ref="A140:D140"/>
    <mergeCell ref="A142:D142"/>
    <mergeCell ref="A162:D162"/>
    <mergeCell ref="A163:D163"/>
    <mergeCell ref="A164:D164"/>
    <mergeCell ref="A165:D165"/>
    <mergeCell ref="A166:D166"/>
    <mergeCell ref="A167:D167"/>
    <mergeCell ref="A168:D168"/>
    <mergeCell ref="A169:D169"/>
    <mergeCell ref="A171:D171"/>
    <mergeCell ref="A173:D173"/>
    <mergeCell ref="A175:D175"/>
    <mergeCell ref="A177:D177"/>
    <mergeCell ref="A179:D179"/>
    <mergeCell ref="A180:D180"/>
    <mergeCell ref="A181:D181"/>
    <mergeCell ref="A182:D182"/>
    <mergeCell ref="A184:D184"/>
    <mergeCell ref="A203:D203"/>
    <mergeCell ref="A204:D204"/>
    <mergeCell ref="A205:D205"/>
    <mergeCell ref="A206:D206"/>
    <mergeCell ref="A207:D207"/>
    <mergeCell ref="A208:D208"/>
    <mergeCell ref="A209:D209"/>
    <mergeCell ref="A210:D210"/>
    <mergeCell ref="A212:D212"/>
    <mergeCell ref="A214:D214"/>
    <mergeCell ref="A216:D216"/>
    <mergeCell ref="A218:D218"/>
    <mergeCell ref="A220:D220"/>
    <mergeCell ref="A240:D240"/>
    <mergeCell ref="A241:D241"/>
    <mergeCell ref="A242:D242"/>
    <mergeCell ref="A243:D243"/>
    <mergeCell ref="A244:D244"/>
    <mergeCell ref="A245:D245"/>
    <mergeCell ref="A246:D246"/>
    <mergeCell ref="A247:D247"/>
    <mergeCell ref="A249:D249"/>
    <mergeCell ref="A251:D251"/>
    <mergeCell ref="A253:D253"/>
    <mergeCell ref="A255:D255"/>
    <mergeCell ref="A257:D257"/>
    <mergeCell ref="A259:D259"/>
    <mergeCell ref="A261:B261"/>
    <mergeCell ref="A262:B262"/>
    <mergeCell ref="A263:B263"/>
    <mergeCell ref="A264:B264"/>
    <mergeCell ref="A266:D266"/>
    <mergeCell ref="A267:D267"/>
    <mergeCell ref="A268:D268"/>
    <mergeCell ref="A269:D269"/>
    <mergeCell ref="A270:D270"/>
    <mergeCell ref="A271:D271"/>
    <mergeCell ref="A272:D272"/>
    <mergeCell ref="A273:D273"/>
    <mergeCell ref="A275:D275"/>
    <mergeCell ref="A277:D277"/>
    <mergeCell ref="A279:D279"/>
    <mergeCell ref="A281:D281"/>
    <mergeCell ref="A283:D283"/>
    <mergeCell ref="A285:D285"/>
    <mergeCell ref="A303:D303"/>
    <mergeCell ref="A304:D304"/>
    <mergeCell ref="A305:D305"/>
    <mergeCell ref="A306:D306"/>
    <mergeCell ref="A307:D307"/>
    <mergeCell ref="A308:D308"/>
    <mergeCell ref="A309:D309"/>
    <mergeCell ref="A310:D310"/>
    <mergeCell ref="A312:D312"/>
    <mergeCell ref="A314:D314"/>
    <mergeCell ref="A316:D316"/>
    <mergeCell ref="A318:D318"/>
    <mergeCell ref="A320:D320"/>
    <mergeCell ref="A322:D322"/>
    <mergeCell ref="A341:D341"/>
    <mergeCell ref="A342:D342"/>
    <mergeCell ref="A343:D343"/>
    <mergeCell ref="A344:D344"/>
    <mergeCell ref="A345:D345"/>
    <mergeCell ref="A346:D346"/>
    <mergeCell ref="A347:D347"/>
    <mergeCell ref="A348:D348"/>
    <mergeCell ref="A350:D350"/>
    <mergeCell ref="A352:D352"/>
    <mergeCell ref="A354:D354"/>
    <mergeCell ref="A441:D441"/>
    <mergeCell ref="A444:D444"/>
    <mergeCell ref="A446:D446"/>
    <mergeCell ref="A448:D448"/>
    <mergeCell ref="A450:D450"/>
    <mergeCell ref="A477:B477"/>
    <mergeCell ref="A356:D356"/>
    <mergeCell ref="A358:D358"/>
    <mergeCell ref="A360:D360"/>
    <mergeCell ref="A362:B362"/>
    <mergeCell ref="A364:D364"/>
    <mergeCell ref="A365:D365"/>
    <mergeCell ref="A366:D366"/>
    <mergeCell ref="A367:D367"/>
    <mergeCell ref="A368:D368"/>
    <mergeCell ref="A369:D369"/>
    <mergeCell ref="A370:D370"/>
    <mergeCell ref="A371:D371"/>
    <mergeCell ref="A373:D373"/>
    <mergeCell ref="A375:D375"/>
    <mergeCell ref="A377:D377"/>
    <mergeCell ref="A478:D478"/>
    <mergeCell ref="A479:D479"/>
    <mergeCell ref="A480:D480"/>
    <mergeCell ref="A481:D481"/>
    <mergeCell ref="A482:D482"/>
    <mergeCell ref="A483:D483"/>
    <mergeCell ref="A486:D486"/>
    <mergeCell ref="A488:D488"/>
    <mergeCell ref="A518:D518"/>
    <mergeCell ref="A519:D519"/>
    <mergeCell ref="A522:D522"/>
    <mergeCell ref="A523:C523"/>
    <mergeCell ref="A524:C524"/>
    <mergeCell ref="A525:C525"/>
    <mergeCell ref="A526:C526"/>
    <mergeCell ref="A490:D490"/>
    <mergeCell ref="A492:D492"/>
    <mergeCell ref="A494:D494"/>
    <mergeCell ref="A514:D514"/>
    <mergeCell ref="A515:D515"/>
    <mergeCell ref="A516:D516"/>
    <mergeCell ref="A517:D517"/>
    <mergeCell ref="A379:D379"/>
    <mergeCell ref="A381:D381"/>
    <mergeCell ref="A383:D383"/>
    <mergeCell ref="A385:B385"/>
    <mergeCell ref="A393:D393"/>
    <mergeCell ref="A394:D394"/>
    <mergeCell ref="A396:D396"/>
    <mergeCell ref="A398:D398"/>
    <mergeCell ref="A400:D400"/>
    <mergeCell ref="A402:D402"/>
    <mergeCell ref="A404:D404"/>
    <mergeCell ref="A406:D406"/>
    <mergeCell ref="A408:B408"/>
    <mergeCell ref="A410:D410"/>
    <mergeCell ref="A411:D411"/>
    <mergeCell ref="A412:D412"/>
    <mergeCell ref="A413:D413"/>
    <mergeCell ref="A414:D414"/>
    <mergeCell ref="A431:B431"/>
    <mergeCell ref="A434:B434"/>
    <mergeCell ref="A436:D436"/>
    <mergeCell ref="A437:D437"/>
    <mergeCell ref="A438:D438"/>
    <mergeCell ref="A439:D439"/>
    <mergeCell ref="A440:D440"/>
    <mergeCell ref="A415:D415"/>
    <mergeCell ref="A416:D416"/>
    <mergeCell ref="A417:D417"/>
    <mergeCell ref="A419:D419"/>
    <mergeCell ref="A421:D421"/>
    <mergeCell ref="A423:D423"/>
    <mergeCell ref="A425:D425"/>
    <mergeCell ref="A427:D427"/>
    <mergeCell ref="A429:D429"/>
  </mergeCells>
  <pageMargins left="0.7" right="0.7" top="0.75" bottom="0.75" header="0" footer="0"/>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sqref="A1:D1"/>
    </sheetView>
  </sheetViews>
  <sheetFormatPr defaultColWidth="12.5703125" defaultRowHeight="15" customHeight="1"/>
  <cols>
    <col min="1" max="1" width="54" customWidth="1"/>
    <col min="2" max="2" width="16.42578125" customWidth="1"/>
    <col min="3" max="3" width="10.42578125" customWidth="1"/>
    <col min="4" max="4" width="9.42578125" customWidth="1"/>
    <col min="5" max="24" width="9.140625" customWidth="1"/>
  </cols>
  <sheetData>
    <row r="1" spans="1:26" ht="23.25" customHeight="1">
      <c r="A1" s="597" t="s">
        <v>26</v>
      </c>
      <c r="B1" s="595"/>
      <c r="C1" s="595"/>
      <c r="D1" s="596"/>
      <c r="E1" s="53"/>
      <c r="F1" s="53"/>
      <c r="G1" s="53"/>
      <c r="H1" s="53"/>
      <c r="I1" s="53"/>
      <c r="J1" s="53"/>
      <c r="K1" s="53"/>
      <c r="L1" s="53"/>
      <c r="M1" s="53"/>
      <c r="N1" s="53"/>
      <c r="O1" s="53"/>
      <c r="P1" s="53"/>
      <c r="Q1" s="53"/>
      <c r="R1" s="53"/>
      <c r="S1" s="53"/>
      <c r="T1" s="53"/>
      <c r="U1" s="53"/>
      <c r="V1" s="53"/>
      <c r="W1" s="53"/>
      <c r="X1" s="53"/>
      <c r="Y1" s="53"/>
      <c r="Z1" s="53"/>
    </row>
    <row r="2" spans="1:26" ht="18" customHeight="1">
      <c r="A2" s="598" t="s">
        <v>27</v>
      </c>
      <c r="B2" s="595"/>
      <c r="C2" s="595"/>
      <c r="D2" s="596"/>
      <c r="E2" s="53"/>
      <c r="F2" s="53"/>
      <c r="G2" s="53"/>
      <c r="H2" s="53"/>
      <c r="I2" s="53"/>
      <c r="J2" s="53"/>
      <c r="K2" s="53"/>
      <c r="L2" s="53"/>
      <c r="M2" s="53"/>
      <c r="N2" s="53"/>
      <c r="O2" s="53"/>
      <c r="P2" s="53"/>
      <c r="Q2" s="53"/>
      <c r="R2" s="53"/>
      <c r="S2" s="53"/>
      <c r="T2" s="53"/>
      <c r="U2" s="53"/>
      <c r="V2" s="53"/>
      <c r="W2" s="53"/>
      <c r="X2" s="53"/>
      <c r="Y2" s="53"/>
      <c r="Z2" s="53"/>
    </row>
    <row r="3" spans="1:26" ht="15.75" customHeight="1">
      <c r="A3" s="599" t="s">
        <v>213</v>
      </c>
      <c r="B3" s="595"/>
      <c r="C3" s="595"/>
      <c r="D3" s="596"/>
      <c r="E3" s="53"/>
      <c r="F3" s="53"/>
      <c r="G3" s="53"/>
      <c r="H3" s="53"/>
      <c r="I3" s="53"/>
      <c r="J3" s="53"/>
      <c r="K3" s="53"/>
      <c r="L3" s="53"/>
      <c r="M3" s="53"/>
      <c r="N3" s="53"/>
      <c r="O3" s="53"/>
      <c r="P3" s="53"/>
      <c r="Q3" s="53"/>
      <c r="R3" s="53"/>
      <c r="S3" s="53"/>
      <c r="T3" s="53"/>
      <c r="U3" s="53"/>
      <c r="V3" s="53"/>
      <c r="W3" s="53"/>
      <c r="X3" s="53"/>
      <c r="Y3" s="53"/>
      <c r="Z3" s="53"/>
    </row>
    <row r="4" spans="1:26" ht="11.25" customHeight="1">
      <c r="A4" s="600" t="s">
        <v>29</v>
      </c>
      <c r="B4" s="595"/>
      <c r="C4" s="595"/>
      <c r="D4" s="596"/>
      <c r="E4" s="53"/>
      <c r="F4" s="53"/>
      <c r="G4" s="53"/>
      <c r="H4" s="53"/>
      <c r="I4" s="53"/>
      <c r="J4" s="53"/>
      <c r="K4" s="53"/>
      <c r="L4" s="53"/>
      <c r="M4" s="53"/>
      <c r="N4" s="53"/>
      <c r="O4" s="53"/>
      <c r="P4" s="53"/>
      <c r="Q4" s="53"/>
      <c r="R4" s="53"/>
      <c r="S4" s="53"/>
      <c r="T4" s="53"/>
      <c r="U4" s="53"/>
      <c r="V4" s="53"/>
      <c r="W4" s="53"/>
      <c r="X4" s="53"/>
      <c r="Y4" s="53"/>
      <c r="Z4" s="53"/>
    </row>
    <row r="5" spans="1:26" ht="11.25" customHeight="1">
      <c r="A5" s="600" t="s">
        <v>30</v>
      </c>
      <c r="B5" s="595"/>
      <c r="C5" s="595"/>
      <c r="D5" s="596"/>
      <c r="E5" s="53"/>
      <c r="F5" s="53"/>
      <c r="G5" s="53"/>
      <c r="H5" s="53"/>
      <c r="I5" s="53"/>
      <c r="J5" s="53"/>
      <c r="K5" s="53"/>
      <c r="L5" s="53"/>
      <c r="M5" s="53"/>
      <c r="N5" s="53"/>
      <c r="O5" s="53"/>
      <c r="P5" s="53"/>
      <c r="Q5" s="53"/>
      <c r="R5" s="53"/>
      <c r="S5" s="53"/>
      <c r="T5" s="53"/>
      <c r="U5" s="53"/>
      <c r="V5" s="53"/>
      <c r="W5" s="53"/>
      <c r="X5" s="53"/>
      <c r="Y5" s="53"/>
      <c r="Z5" s="53"/>
    </row>
    <row r="6" spans="1:26" ht="11.25" customHeight="1">
      <c r="A6" s="601" t="s">
        <v>31</v>
      </c>
      <c r="B6" s="595"/>
      <c r="C6" s="595"/>
      <c r="D6" s="596"/>
      <c r="E6" s="53"/>
      <c r="F6" s="53"/>
      <c r="G6" s="53"/>
      <c r="H6" s="53"/>
      <c r="I6" s="53"/>
      <c r="J6" s="53"/>
      <c r="K6" s="53"/>
      <c r="L6" s="53"/>
      <c r="M6" s="53"/>
      <c r="N6" s="53"/>
      <c r="O6" s="53"/>
      <c r="P6" s="53"/>
      <c r="Q6" s="53"/>
      <c r="R6" s="53"/>
      <c r="S6" s="53"/>
      <c r="T6" s="53"/>
      <c r="U6" s="53"/>
      <c r="V6" s="53"/>
      <c r="W6" s="53"/>
      <c r="X6" s="53"/>
      <c r="Y6" s="53"/>
      <c r="Z6" s="53"/>
    </row>
    <row r="7" spans="1:26" ht="18.75" customHeight="1">
      <c r="A7" s="602" t="s">
        <v>32</v>
      </c>
      <c r="B7" s="595"/>
      <c r="C7" s="595"/>
      <c r="D7" s="596"/>
      <c r="E7" s="53"/>
      <c r="F7" s="53"/>
      <c r="G7" s="53"/>
      <c r="H7" s="53"/>
      <c r="I7" s="53"/>
      <c r="J7" s="53"/>
      <c r="K7" s="53"/>
      <c r="L7" s="53"/>
      <c r="M7" s="53"/>
      <c r="N7" s="53"/>
      <c r="O7" s="53"/>
      <c r="P7" s="53"/>
      <c r="Q7" s="53"/>
      <c r="R7" s="53"/>
      <c r="S7" s="53"/>
      <c r="T7" s="53"/>
      <c r="U7" s="53"/>
      <c r="V7" s="53"/>
      <c r="W7" s="53"/>
      <c r="X7" s="53"/>
      <c r="Y7" s="53"/>
      <c r="Z7" s="53"/>
    </row>
    <row r="8" spans="1:26" ht="72" customHeight="1">
      <c r="A8" s="603" t="s">
        <v>33</v>
      </c>
      <c r="B8" s="595"/>
      <c r="C8" s="595"/>
      <c r="D8" s="596"/>
      <c r="E8" s="53"/>
      <c r="F8" s="53"/>
      <c r="G8" s="53"/>
      <c r="H8" s="53"/>
      <c r="I8" s="53"/>
      <c r="J8" s="53"/>
      <c r="K8" s="53"/>
      <c r="L8" s="53"/>
      <c r="M8" s="53"/>
      <c r="N8" s="53"/>
      <c r="O8" s="53"/>
      <c r="P8" s="53"/>
      <c r="Q8" s="53"/>
      <c r="R8" s="53"/>
      <c r="S8" s="53"/>
      <c r="T8" s="53"/>
      <c r="U8" s="53"/>
      <c r="V8" s="53"/>
      <c r="W8" s="53"/>
      <c r="X8" s="53"/>
      <c r="Y8" s="53"/>
      <c r="Z8" s="53"/>
    </row>
    <row r="9" spans="1:26" ht="6.75" customHeight="1">
      <c r="A9" s="54"/>
      <c r="B9" s="54"/>
      <c r="C9" s="54"/>
      <c r="D9" s="55"/>
      <c r="E9" s="53"/>
      <c r="F9" s="53"/>
      <c r="G9" s="53"/>
      <c r="H9" s="53"/>
      <c r="I9" s="53"/>
      <c r="J9" s="53"/>
      <c r="K9" s="53"/>
      <c r="L9" s="53"/>
      <c r="M9" s="53"/>
      <c r="N9" s="53"/>
      <c r="O9" s="53"/>
      <c r="P9" s="53"/>
      <c r="Q9" s="53"/>
      <c r="R9" s="53"/>
      <c r="S9" s="53"/>
      <c r="T9" s="53"/>
      <c r="U9" s="53"/>
      <c r="V9" s="53"/>
      <c r="W9" s="53"/>
      <c r="X9" s="53"/>
      <c r="Y9" s="53"/>
      <c r="Z9" s="53"/>
    </row>
    <row r="10" spans="1:26" ht="11.25" customHeight="1">
      <c r="A10" s="604" t="s">
        <v>34</v>
      </c>
      <c r="B10" s="595"/>
      <c r="C10" s="595"/>
      <c r="D10" s="596"/>
      <c r="E10" s="53"/>
      <c r="F10" s="53"/>
      <c r="G10" s="53"/>
      <c r="H10" s="53"/>
      <c r="I10" s="53"/>
      <c r="J10" s="53"/>
      <c r="K10" s="53"/>
      <c r="L10" s="53"/>
      <c r="M10" s="53"/>
      <c r="N10" s="53"/>
      <c r="O10" s="53"/>
      <c r="P10" s="53"/>
      <c r="Q10" s="53"/>
      <c r="R10" s="53"/>
      <c r="S10" s="53"/>
      <c r="T10" s="53"/>
      <c r="U10" s="53"/>
      <c r="V10" s="53"/>
      <c r="W10" s="53"/>
      <c r="X10" s="53"/>
      <c r="Y10" s="53"/>
      <c r="Z10" s="53"/>
    </row>
    <row r="11" spans="1:26" ht="6.75" customHeight="1">
      <c r="A11" s="56"/>
      <c r="B11" s="57"/>
      <c r="C11" s="57"/>
      <c r="D11" s="58"/>
      <c r="E11" s="53"/>
      <c r="F11" s="53"/>
      <c r="G11" s="53"/>
      <c r="H11" s="53"/>
      <c r="I11" s="53"/>
      <c r="J11" s="53"/>
      <c r="K11" s="53"/>
      <c r="L11" s="53"/>
      <c r="M11" s="53"/>
      <c r="N11" s="53"/>
      <c r="O11" s="53"/>
      <c r="P11" s="53"/>
      <c r="Q11" s="53"/>
      <c r="R11" s="53"/>
      <c r="S11" s="53"/>
      <c r="T11" s="53"/>
      <c r="U11" s="53"/>
      <c r="V11" s="53"/>
      <c r="W11" s="53"/>
      <c r="X11" s="53"/>
      <c r="Y11" s="53"/>
      <c r="Z11" s="53"/>
    </row>
    <row r="12" spans="1:26" ht="36" customHeight="1">
      <c r="A12" s="603" t="s">
        <v>35</v>
      </c>
      <c r="B12" s="595"/>
      <c r="C12" s="595"/>
      <c r="D12" s="596"/>
      <c r="E12" s="53"/>
      <c r="F12" s="53"/>
      <c r="G12" s="53"/>
      <c r="H12" s="53"/>
      <c r="I12" s="53"/>
      <c r="J12" s="53"/>
      <c r="K12" s="53"/>
      <c r="L12" s="53"/>
      <c r="M12" s="53"/>
      <c r="N12" s="53"/>
      <c r="O12" s="53"/>
      <c r="P12" s="53"/>
      <c r="Q12" s="53"/>
      <c r="R12" s="53"/>
      <c r="S12" s="53"/>
      <c r="T12" s="53"/>
      <c r="U12" s="53"/>
      <c r="V12" s="53"/>
      <c r="W12" s="53"/>
      <c r="X12" s="53"/>
      <c r="Y12" s="53"/>
      <c r="Z12" s="53"/>
    </row>
    <row r="13" spans="1:26" ht="6.75" customHeight="1">
      <c r="A13" s="54"/>
      <c r="B13" s="54"/>
      <c r="C13" s="54"/>
      <c r="D13" s="55"/>
      <c r="E13" s="53"/>
      <c r="F13" s="53"/>
      <c r="G13" s="53"/>
      <c r="H13" s="53"/>
      <c r="I13" s="53"/>
      <c r="J13" s="53"/>
      <c r="K13" s="53"/>
      <c r="L13" s="53"/>
      <c r="M13" s="53"/>
      <c r="N13" s="53"/>
      <c r="O13" s="53"/>
      <c r="P13" s="53"/>
      <c r="Q13" s="53"/>
      <c r="R13" s="53"/>
      <c r="S13" s="53"/>
      <c r="T13" s="53"/>
      <c r="U13" s="53"/>
      <c r="V13" s="53"/>
      <c r="W13" s="53"/>
      <c r="X13" s="53"/>
      <c r="Y13" s="53"/>
      <c r="Z13" s="53"/>
    </row>
    <row r="14" spans="1:26" ht="48" customHeight="1">
      <c r="A14" s="603" t="s">
        <v>36</v>
      </c>
      <c r="B14" s="595"/>
      <c r="C14" s="595"/>
      <c r="D14" s="596"/>
      <c r="E14" s="53"/>
      <c r="F14" s="53"/>
      <c r="G14" s="53"/>
      <c r="H14" s="53"/>
      <c r="I14" s="53"/>
      <c r="J14" s="53"/>
      <c r="K14" s="53"/>
      <c r="L14" s="53"/>
      <c r="M14" s="53"/>
      <c r="N14" s="53"/>
      <c r="O14" s="53"/>
      <c r="P14" s="53"/>
      <c r="Q14" s="53"/>
      <c r="R14" s="53"/>
      <c r="S14" s="53"/>
      <c r="T14" s="53"/>
      <c r="U14" s="53"/>
      <c r="V14" s="53"/>
      <c r="W14" s="53"/>
      <c r="X14" s="53"/>
      <c r="Y14" s="53"/>
      <c r="Z14" s="53"/>
    </row>
    <row r="15" spans="1:26" ht="6.75" customHeight="1">
      <c r="A15" s="54"/>
      <c r="B15" s="54"/>
      <c r="C15" s="54"/>
      <c r="D15" s="55"/>
      <c r="E15" s="53"/>
      <c r="F15" s="53"/>
      <c r="G15" s="53"/>
      <c r="H15" s="53"/>
      <c r="I15" s="53"/>
      <c r="J15" s="53"/>
      <c r="K15" s="53"/>
      <c r="L15" s="53"/>
      <c r="M15" s="53"/>
      <c r="N15" s="53"/>
      <c r="O15" s="53"/>
      <c r="P15" s="53"/>
      <c r="Q15" s="53"/>
      <c r="R15" s="53"/>
      <c r="S15" s="53"/>
      <c r="T15" s="53"/>
      <c r="U15" s="53"/>
      <c r="V15" s="53"/>
      <c r="W15" s="53"/>
      <c r="X15" s="53"/>
      <c r="Y15" s="53"/>
      <c r="Z15" s="53"/>
    </row>
    <row r="16" spans="1:26" ht="48" customHeight="1">
      <c r="A16" s="603" t="s">
        <v>37</v>
      </c>
      <c r="B16" s="595"/>
      <c r="C16" s="595"/>
      <c r="D16" s="596"/>
      <c r="E16" s="53"/>
      <c r="F16" s="53"/>
      <c r="G16" s="53"/>
      <c r="H16" s="53"/>
      <c r="I16" s="53"/>
      <c r="J16" s="53"/>
      <c r="K16" s="53"/>
      <c r="L16" s="53"/>
      <c r="M16" s="53"/>
      <c r="N16" s="53"/>
      <c r="O16" s="53"/>
      <c r="P16" s="53"/>
      <c r="Q16" s="53"/>
      <c r="R16" s="53"/>
      <c r="S16" s="53"/>
      <c r="T16" s="53"/>
      <c r="U16" s="53"/>
      <c r="V16" s="53"/>
      <c r="W16" s="53"/>
      <c r="X16" s="53"/>
      <c r="Y16" s="53"/>
      <c r="Z16" s="53"/>
    </row>
    <row r="17" spans="1:26" ht="6.75" customHeight="1">
      <c r="A17" s="54"/>
      <c r="B17" s="54"/>
      <c r="C17" s="54"/>
      <c r="D17" s="55"/>
      <c r="E17" s="53"/>
      <c r="F17" s="53"/>
      <c r="G17" s="53"/>
      <c r="H17" s="53"/>
      <c r="I17" s="53"/>
      <c r="J17" s="53"/>
      <c r="K17" s="53"/>
      <c r="L17" s="53"/>
      <c r="M17" s="53"/>
      <c r="N17" s="53"/>
      <c r="O17" s="53"/>
      <c r="P17" s="53"/>
      <c r="Q17" s="53"/>
      <c r="R17" s="53"/>
      <c r="S17" s="53"/>
      <c r="T17" s="53"/>
      <c r="U17" s="53"/>
      <c r="V17" s="53"/>
      <c r="W17" s="53"/>
      <c r="X17" s="53"/>
      <c r="Y17" s="53"/>
      <c r="Z17" s="53"/>
    </row>
    <row r="18" spans="1:26" ht="36" customHeight="1">
      <c r="A18" s="603" t="s">
        <v>38</v>
      </c>
      <c r="B18" s="595"/>
      <c r="C18" s="595"/>
      <c r="D18" s="596"/>
      <c r="E18" s="53"/>
      <c r="F18" s="53"/>
      <c r="G18" s="53"/>
      <c r="H18" s="53"/>
      <c r="I18" s="53"/>
      <c r="J18" s="53"/>
      <c r="K18" s="53"/>
      <c r="L18" s="53"/>
      <c r="M18" s="53"/>
      <c r="N18" s="53"/>
      <c r="O18" s="53"/>
      <c r="P18" s="53"/>
      <c r="Q18" s="53"/>
      <c r="R18" s="53"/>
      <c r="S18" s="53"/>
      <c r="T18" s="53"/>
      <c r="U18" s="53"/>
      <c r="V18" s="53"/>
      <c r="W18" s="53"/>
      <c r="X18" s="53"/>
      <c r="Y18" s="53"/>
      <c r="Z18" s="53"/>
    </row>
    <row r="19" spans="1:26" ht="6.75" customHeight="1">
      <c r="A19" s="54"/>
      <c r="B19" s="54"/>
      <c r="C19" s="54"/>
      <c r="D19" s="55"/>
      <c r="E19" s="53"/>
      <c r="F19" s="53"/>
      <c r="G19" s="53"/>
      <c r="H19" s="53"/>
      <c r="I19" s="53"/>
      <c r="J19" s="53"/>
      <c r="K19" s="53"/>
      <c r="L19" s="53"/>
      <c r="M19" s="53"/>
      <c r="N19" s="53"/>
      <c r="O19" s="53"/>
      <c r="P19" s="53"/>
      <c r="Q19" s="53"/>
      <c r="R19" s="53"/>
      <c r="S19" s="53"/>
      <c r="T19" s="53"/>
      <c r="U19" s="53"/>
      <c r="V19" s="53"/>
      <c r="W19" s="53"/>
      <c r="X19" s="53"/>
      <c r="Y19" s="53"/>
      <c r="Z19" s="53"/>
    </row>
    <row r="20" spans="1:26" ht="15" customHeight="1">
      <c r="A20" s="70" t="s">
        <v>39</v>
      </c>
      <c r="B20" s="63"/>
      <c r="C20" s="63"/>
      <c r="D20" s="63"/>
      <c r="E20" s="53"/>
      <c r="F20" s="53"/>
      <c r="G20" s="53"/>
      <c r="H20" s="53"/>
      <c r="I20" s="53"/>
      <c r="J20" s="53"/>
      <c r="K20" s="53"/>
      <c r="L20" s="53"/>
      <c r="M20" s="53"/>
      <c r="N20" s="53"/>
      <c r="O20" s="53"/>
      <c r="P20" s="53"/>
      <c r="Q20" s="53"/>
      <c r="R20" s="53"/>
      <c r="S20" s="53"/>
      <c r="T20" s="53"/>
      <c r="U20" s="53"/>
      <c r="V20" s="53"/>
      <c r="W20" s="53"/>
      <c r="X20" s="53"/>
      <c r="Y20" s="53"/>
      <c r="Z20" s="53"/>
    </row>
    <row r="21" spans="1:26" ht="6.75" customHeight="1">
      <c r="A21" s="59"/>
      <c r="B21" s="60"/>
      <c r="C21" s="60"/>
      <c r="D21" s="302"/>
      <c r="E21" s="53"/>
      <c r="F21" s="53"/>
      <c r="G21" s="53"/>
      <c r="H21" s="53"/>
      <c r="I21" s="53"/>
      <c r="J21" s="53"/>
      <c r="K21" s="53"/>
      <c r="L21" s="53"/>
      <c r="M21" s="53"/>
      <c r="N21" s="53"/>
      <c r="O21" s="53"/>
      <c r="P21" s="53"/>
      <c r="Q21" s="53"/>
      <c r="R21" s="53"/>
      <c r="S21" s="53"/>
      <c r="T21" s="53"/>
      <c r="U21" s="53"/>
      <c r="V21" s="53"/>
      <c r="W21" s="53"/>
      <c r="X21" s="53"/>
      <c r="Y21" s="53"/>
      <c r="Z21" s="53"/>
    </row>
    <row r="22" spans="1:26" ht="11.25" customHeight="1">
      <c r="A22" s="62" t="s">
        <v>40</v>
      </c>
      <c r="B22" s="63"/>
      <c r="C22" s="64" t="s">
        <v>41</v>
      </c>
      <c r="D22" s="280">
        <f>'Proposed Rates'!J8</f>
        <v>54.07</v>
      </c>
      <c r="E22" s="53"/>
      <c r="F22" s="53"/>
      <c r="G22" s="53"/>
      <c r="H22" s="53"/>
      <c r="I22" s="53"/>
      <c r="J22" s="53"/>
      <c r="K22" s="53"/>
      <c r="L22" s="53"/>
      <c r="M22" s="53"/>
      <c r="N22" s="53"/>
      <c r="O22" s="53"/>
      <c r="P22" s="53"/>
      <c r="Q22" s="53"/>
      <c r="R22" s="53"/>
      <c r="S22" s="53"/>
      <c r="T22" s="53"/>
      <c r="U22" s="53"/>
      <c r="V22" s="53"/>
      <c r="W22" s="53"/>
      <c r="X22" s="53"/>
      <c r="Y22" s="53"/>
      <c r="Z22" s="53"/>
    </row>
    <row r="23" spans="1:26" ht="11.25" hidden="1" customHeight="1">
      <c r="A23" s="62" t="s">
        <v>42</v>
      </c>
      <c r="B23" s="63"/>
      <c r="C23" s="64" t="s">
        <v>41</v>
      </c>
      <c r="D23" s="281">
        <f>'Proposed Rates'!J90</f>
        <v>0</v>
      </c>
      <c r="E23" s="53"/>
      <c r="F23" s="53"/>
      <c r="G23" s="53"/>
      <c r="H23" s="53"/>
      <c r="I23" s="53"/>
      <c r="J23" s="53"/>
      <c r="K23" s="53"/>
      <c r="L23" s="53"/>
      <c r="M23" s="53"/>
      <c r="N23" s="53"/>
      <c r="O23" s="53"/>
      <c r="P23" s="53"/>
      <c r="Q23" s="53"/>
      <c r="R23" s="53"/>
      <c r="S23" s="53"/>
      <c r="T23" s="53"/>
      <c r="U23" s="53"/>
      <c r="V23" s="53"/>
      <c r="W23" s="53"/>
      <c r="X23" s="53"/>
      <c r="Y23" s="53"/>
      <c r="Z23" s="53"/>
    </row>
    <row r="24" spans="1:26" ht="11.25" hidden="1" customHeight="1">
      <c r="A24" s="62" t="s">
        <v>43</v>
      </c>
      <c r="B24" s="63"/>
      <c r="C24" s="64" t="s">
        <v>41</v>
      </c>
      <c r="D24" s="282">
        <f>'Proposed Rates'!J64</f>
        <v>0</v>
      </c>
      <c r="E24" s="53"/>
      <c r="F24" s="53"/>
      <c r="G24" s="53"/>
      <c r="H24" s="53"/>
      <c r="I24" s="53"/>
      <c r="J24" s="53"/>
      <c r="K24" s="53"/>
      <c r="L24" s="53"/>
      <c r="M24" s="53"/>
      <c r="N24" s="53"/>
      <c r="O24" s="53"/>
      <c r="P24" s="53"/>
      <c r="Q24" s="53"/>
      <c r="R24" s="53"/>
      <c r="S24" s="53"/>
      <c r="T24" s="53"/>
      <c r="U24" s="53"/>
      <c r="V24" s="53"/>
      <c r="W24" s="53"/>
      <c r="X24" s="53"/>
      <c r="Y24" s="53"/>
      <c r="Z24" s="53"/>
    </row>
    <row r="25" spans="1:26" ht="11.25" customHeight="1">
      <c r="A25" s="62" t="s">
        <v>44</v>
      </c>
      <c r="B25" s="63"/>
      <c r="C25" s="64" t="s">
        <v>41</v>
      </c>
      <c r="D25" s="282">
        <f>'Proposed Rates'!J273</f>
        <v>0.45</v>
      </c>
      <c r="E25" s="53"/>
      <c r="F25" s="53"/>
      <c r="G25" s="53"/>
      <c r="H25" s="53"/>
      <c r="I25" s="53"/>
      <c r="J25" s="53"/>
      <c r="K25" s="53"/>
      <c r="L25" s="53"/>
      <c r="M25" s="53"/>
      <c r="N25" s="53"/>
      <c r="O25" s="53"/>
      <c r="P25" s="53"/>
      <c r="Q25" s="53"/>
      <c r="R25" s="53"/>
      <c r="S25" s="53"/>
      <c r="T25" s="53"/>
      <c r="U25" s="53"/>
      <c r="V25" s="53"/>
      <c r="W25" s="53"/>
      <c r="X25" s="53"/>
      <c r="Y25" s="53"/>
      <c r="Z25" s="53"/>
    </row>
    <row r="26" spans="1:26" ht="11.25" customHeight="1">
      <c r="A26" s="62" t="s">
        <v>45</v>
      </c>
      <c r="B26" s="63"/>
      <c r="C26" s="64" t="s">
        <v>46</v>
      </c>
      <c r="D26" s="283">
        <f>'Proposed Rates'!J260</f>
        <v>8.0000000000000007E-5</v>
      </c>
      <c r="E26" s="53"/>
      <c r="F26" s="53"/>
      <c r="G26" s="53"/>
      <c r="H26" s="53"/>
      <c r="I26" s="53"/>
      <c r="J26" s="53"/>
      <c r="K26" s="53"/>
      <c r="L26" s="53"/>
      <c r="M26" s="53"/>
      <c r="N26" s="53"/>
      <c r="O26" s="53"/>
      <c r="P26" s="53"/>
      <c r="Q26" s="53"/>
      <c r="R26" s="53"/>
      <c r="S26" s="53"/>
      <c r="T26" s="53"/>
      <c r="U26" s="53"/>
      <c r="V26" s="53"/>
      <c r="W26" s="53"/>
      <c r="X26" s="53"/>
      <c r="Y26" s="53"/>
      <c r="Z26" s="53"/>
    </row>
    <row r="27" spans="1:26" ht="11.25" hidden="1" customHeight="1">
      <c r="A27" s="62" t="s">
        <v>47</v>
      </c>
      <c r="B27" s="63"/>
      <c r="C27" s="64" t="s">
        <v>46</v>
      </c>
      <c r="D27" s="281">
        <f>'Proposed Rates'!J37</f>
        <v>0</v>
      </c>
      <c r="E27" s="53"/>
      <c r="F27" s="53"/>
      <c r="G27" s="53"/>
      <c r="H27" s="53"/>
      <c r="I27" s="53"/>
      <c r="J27" s="53"/>
      <c r="K27" s="53"/>
      <c r="L27" s="53"/>
      <c r="M27" s="53"/>
      <c r="N27" s="53"/>
      <c r="O27" s="53"/>
      <c r="P27" s="53"/>
      <c r="Q27" s="53"/>
      <c r="R27" s="53"/>
      <c r="S27" s="53"/>
      <c r="T27" s="53"/>
      <c r="U27" s="53"/>
      <c r="V27" s="53"/>
      <c r="W27" s="53"/>
      <c r="X27" s="53"/>
      <c r="Y27" s="53"/>
      <c r="Z27" s="53"/>
    </row>
    <row r="28" spans="1:26" ht="11.25" hidden="1" customHeight="1">
      <c r="A28" s="62" t="s">
        <v>48</v>
      </c>
      <c r="B28" s="63"/>
      <c r="C28" s="64" t="s">
        <v>46</v>
      </c>
      <c r="D28" s="281">
        <f>'Proposed Rates'!J142</f>
        <v>0</v>
      </c>
      <c r="E28" s="53"/>
      <c r="F28" s="53"/>
      <c r="G28" s="53"/>
      <c r="H28" s="53"/>
      <c r="I28" s="53"/>
      <c r="J28" s="53"/>
      <c r="K28" s="53"/>
      <c r="L28" s="53"/>
      <c r="M28" s="53"/>
      <c r="N28" s="53"/>
      <c r="O28" s="53"/>
      <c r="P28" s="53"/>
      <c r="Q28" s="53"/>
      <c r="R28" s="53"/>
      <c r="S28" s="53"/>
      <c r="T28" s="53"/>
      <c r="U28" s="53"/>
      <c r="V28" s="53"/>
      <c r="W28" s="53"/>
      <c r="X28" s="53"/>
      <c r="Y28" s="53"/>
      <c r="Z28" s="53"/>
    </row>
    <row r="29" spans="1:26" ht="11.25" customHeight="1">
      <c r="A29" s="62" t="s">
        <v>49</v>
      </c>
      <c r="B29" s="63"/>
      <c r="C29" s="64" t="s">
        <v>46</v>
      </c>
      <c r="D29" s="281">
        <f>'Proposed Rates'!J183</f>
        <v>1.38E-2</v>
      </c>
      <c r="E29" s="53"/>
      <c r="F29" s="53"/>
      <c r="G29" s="53"/>
      <c r="H29" s="53"/>
      <c r="I29" s="53"/>
      <c r="J29" s="53"/>
      <c r="K29" s="53"/>
      <c r="L29" s="53"/>
      <c r="M29" s="53"/>
      <c r="N29" s="53"/>
      <c r="O29" s="53"/>
      <c r="P29" s="53"/>
      <c r="Q29" s="53"/>
      <c r="R29" s="53"/>
      <c r="S29" s="53"/>
      <c r="T29" s="53"/>
      <c r="U29" s="53"/>
      <c r="V29" s="53"/>
      <c r="W29" s="53"/>
      <c r="X29" s="53"/>
      <c r="Y29" s="53"/>
      <c r="Z29" s="53"/>
    </row>
    <row r="30" spans="1:26" ht="10.5" customHeight="1">
      <c r="A30" s="62" t="s">
        <v>50</v>
      </c>
      <c r="B30" s="63"/>
      <c r="C30" s="64" t="s">
        <v>46</v>
      </c>
      <c r="D30" s="281">
        <f>'Proposed Rates'!J196</f>
        <v>7.7999999999999996E-3</v>
      </c>
      <c r="E30" s="53"/>
      <c r="F30" s="53"/>
      <c r="G30" s="53"/>
      <c r="H30" s="53"/>
      <c r="I30" s="53"/>
      <c r="J30" s="53"/>
      <c r="K30" s="53"/>
      <c r="L30" s="53"/>
      <c r="M30" s="53"/>
      <c r="N30" s="53"/>
      <c r="O30" s="53"/>
      <c r="P30" s="53"/>
      <c r="Q30" s="53"/>
      <c r="R30" s="53"/>
      <c r="S30" s="53"/>
      <c r="T30" s="53"/>
      <c r="U30" s="53"/>
      <c r="V30" s="53"/>
      <c r="W30" s="53"/>
      <c r="X30" s="53"/>
      <c r="Y30" s="53"/>
      <c r="Z30" s="53"/>
    </row>
    <row r="31" spans="1:26" ht="6.75" customHeight="1">
      <c r="A31" s="64"/>
      <c r="B31" s="64"/>
      <c r="C31" s="64"/>
      <c r="D31" s="69"/>
      <c r="E31" s="53"/>
      <c r="F31" s="53"/>
      <c r="G31" s="53"/>
      <c r="H31" s="53"/>
      <c r="I31" s="53"/>
      <c r="J31" s="53"/>
      <c r="K31" s="53"/>
      <c r="L31" s="53"/>
      <c r="M31" s="53"/>
      <c r="N31" s="53"/>
      <c r="O31" s="53"/>
      <c r="P31" s="53"/>
      <c r="Q31" s="53"/>
      <c r="R31" s="53"/>
      <c r="S31" s="53"/>
      <c r="T31" s="53"/>
      <c r="U31" s="53"/>
      <c r="V31" s="53"/>
      <c r="W31" s="53"/>
      <c r="X31" s="53"/>
      <c r="Y31" s="53"/>
      <c r="Z31" s="53"/>
    </row>
    <row r="32" spans="1:26" ht="15" customHeight="1">
      <c r="A32" s="70" t="s">
        <v>51</v>
      </c>
      <c r="B32" s="63"/>
      <c r="C32" s="64"/>
      <c r="D32" s="69"/>
      <c r="E32" s="53"/>
      <c r="F32" s="53"/>
      <c r="G32" s="53"/>
      <c r="H32" s="53"/>
      <c r="I32" s="53"/>
      <c r="J32" s="53"/>
      <c r="K32" s="53"/>
      <c r="L32" s="53"/>
      <c r="M32" s="53"/>
      <c r="N32" s="53"/>
      <c r="O32" s="53"/>
      <c r="P32" s="53"/>
      <c r="Q32" s="53"/>
      <c r="R32" s="53"/>
      <c r="S32" s="53"/>
      <c r="T32" s="53"/>
      <c r="U32" s="53"/>
      <c r="V32" s="53"/>
      <c r="W32" s="53"/>
      <c r="X32" s="53"/>
      <c r="Y32" s="53"/>
      <c r="Z32" s="53"/>
    </row>
    <row r="33" spans="1:26" ht="6.75" customHeight="1">
      <c r="A33" s="59"/>
      <c r="B33" s="64"/>
      <c r="C33" s="64"/>
      <c r="D33" s="69"/>
      <c r="E33" s="53"/>
      <c r="F33" s="53"/>
      <c r="G33" s="53"/>
      <c r="H33" s="53"/>
      <c r="I33" s="53"/>
      <c r="J33" s="53"/>
      <c r="K33" s="53"/>
      <c r="L33" s="53"/>
      <c r="M33" s="53"/>
      <c r="N33" s="53"/>
      <c r="O33" s="53"/>
      <c r="P33" s="53"/>
      <c r="Q33" s="53"/>
      <c r="R33" s="53"/>
      <c r="S33" s="53"/>
      <c r="T33" s="53"/>
      <c r="U33" s="53"/>
      <c r="V33" s="53"/>
      <c r="W33" s="53"/>
      <c r="X33" s="53"/>
      <c r="Y33" s="53"/>
      <c r="Z33" s="53"/>
    </row>
    <row r="34" spans="1:26" ht="11.25" customHeight="1">
      <c r="A34" s="62" t="s">
        <v>52</v>
      </c>
      <c r="B34" s="63"/>
      <c r="C34" s="64" t="s">
        <v>46</v>
      </c>
      <c r="D34" s="66">
        <v>4.1000000000000003E-3</v>
      </c>
      <c r="E34" s="53"/>
      <c r="F34" s="53"/>
      <c r="G34" s="53"/>
      <c r="H34" s="53"/>
      <c r="I34" s="53"/>
      <c r="J34" s="53"/>
      <c r="K34" s="53"/>
      <c r="L34" s="53"/>
      <c r="M34" s="53"/>
      <c r="N34" s="53"/>
      <c r="O34" s="53"/>
      <c r="P34" s="53"/>
      <c r="Q34" s="53"/>
      <c r="R34" s="53"/>
      <c r="S34" s="53"/>
      <c r="T34" s="53"/>
      <c r="U34" s="53"/>
      <c r="V34" s="53"/>
      <c r="W34" s="53"/>
      <c r="X34" s="53"/>
      <c r="Y34" s="53"/>
      <c r="Z34" s="53"/>
    </row>
    <row r="35" spans="1:26" ht="11.25" customHeight="1">
      <c r="A35" s="62" t="s">
        <v>53</v>
      </c>
      <c r="B35" s="63"/>
      <c r="C35" s="64" t="s">
        <v>46</v>
      </c>
      <c r="D35" s="66">
        <f>'Proposed Rates'!J209-'2026'!D34</f>
        <v>3.9999999999999931E-4</v>
      </c>
      <c r="E35" s="53"/>
      <c r="F35" s="53"/>
      <c r="G35" s="53"/>
      <c r="H35" s="53"/>
      <c r="I35" s="53"/>
      <c r="J35" s="53"/>
      <c r="K35" s="53"/>
      <c r="L35" s="53"/>
      <c r="M35" s="53"/>
      <c r="N35" s="53"/>
      <c r="O35" s="53"/>
      <c r="P35" s="53"/>
      <c r="Q35" s="53"/>
      <c r="R35" s="53"/>
      <c r="S35" s="53"/>
      <c r="T35" s="53"/>
      <c r="U35" s="53"/>
      <c r="V35" s="53"/>
      <c r="W35" s="53"/>
      <c r="X35" s="53"/>
      <c r="Y35" s="53"/>
      <c r="Z35" s="53"/>
    </row>
    <row r="36" spans="1:26" ht="11.25" customHeight="1">
      <c r="A36" s="62" t="s">
        <v>54</v>
      </c>
      <c r="B36" s="63"/>
      <c r="C36" s="64" t="s">
        <v>46</v>
      </c>
      <c r="D36" s="66">
        <f>'Proposed Rates'!J222</f>
        <v>1.5E-3</v>
      </c>
      <c r="E36" s="53"/>
      <c r="F36" s="53"/>
      <c r="G36" s="53"/>
      <c r="H36" s="53"/>
      <c r="I36" s="53"/>
      <c r="J36" s="53"/>
      <c r="K36" s="53"/>
      <c r="L36" s="53"/>
      <c r="M36" s="53"/>
      <c r="N36" s="53"/>
      <c r="O36" s="53"/>
      <c r="P36" s="53"/>
      <c r="Q36" s="53"/>
      <c r="R36" s="53"/>
      <c r="S36" s="53"/>
      <c r="T36" s="53"/>
      <c r="U36" s="53"/>
      <c r="V36" s="53"/>
      <c r="W36" s="53"/>
      <c r="X36" s="53"/>
      <c r="Y36" s="53"/>
      <c r="Z36" s="53"/>
    </row>
    <row r="37" spans="1:26" ht="11.25" customHeight="1">
      <c r="A37" s="62" t="s">
        <v>55</v>
      </c>
      <c r="B37" s="63"/>
      <c r="C37" s="64" t="s">
        <v>41</v>
      </c>
      <c r="D37" s="66">
        <f>'Proposed Rates'!J236</f>
        <v>1.63</v>
      </c>
      <c r="E37" s="53"/>
      <c r="F37" s="53"/>
      <c r="G37" s="53"/>
      <c r="H37" s="53"/>
      <c r="I37" s="53"/>
      <c r="J37" s="53"/>
      <c r="K37" s="53"/>
      <c r="L37" s="53"/>
      <c r="M37" s="53"/>
      <c r="N37" s="53"/>
      <c r="O37" s="53"/>
      <c r="P37" s="53"/>
      <c r="Q37" s="53"/>
      <c r="R37" s="53"/>
      <c r="S37" s="53"/>
      <c r="T37" s="53"/>
      <c r="U37" s="53"/>
      <c r="V37" s="53"/>
      <c r="W37" s="53"/>
      <c r="X37" s="53"/>
      <c r="Y37" s="53"/>
      <c r="Z37" s="53"/>
    </row>
    <row r="38" spans="1:26" ht="11.25" customHeight="1">
      <c r="A38" s="62"/>
      <c r="B38" s="63"/>
      <c r="C38" s="64"/>
      <c r="D38" s="69"/>
      <c r="E38" s="53"/>
      <c r="F38" s="53"/>
      <c r="G38" s="53"/>
      <c r="H38" s="53"/>
      <c r="I38" s="53"/>
      <c r="J38" s="53"/>
      <c r="K38" s="53"/>
      <c r="L38" s="53"/>
      <c r="M38" s="53"/>
      <c r="N38" s="53"/>
      <c r="O38" s="53"/>
      <c r="P38" s="53"/>
      <c r="Q38" s="53"/>
      <c r="R38" s="53"/>
      <c r="S38" s="53"/>
      <c r="T38" s="53"/>
      <c r="U38" s="53"/>
      <c r="V38" s="53"/>
      <c r="W38" s="53"/>
      <c r="X38" s="53"/>
      <c r="Y38" s="53"/>
      <c r="Z38" s="53"/>
    </row>
    <row r="39" spans="1:26" ht="24" customHeight="1">
      <c r="A39" s="597" t="str">
        <f>$A$1</f>
        <v>Hydro Ottawa Limited</v>
      </c>
      <c r="B39" s="595"/>
      <c r="C39" s="595"/>
      <c r="D39" s="596"/>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98" t="str">
        <f>$A$2</f>
        <v>PROPOSED - TARIFF OF RATES AND CHARGES</v>
      </c>
      <c r="B40" s="595"/>
      <c r="C40" s="595"/>
      <c r="D40" s="596"/>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99" t="str">
        <f>$A$3</f>
        <v>Effective and Implementation Date January 1, 2030</v>
      </c>
      <c r="B41" s="595"/>
      <c r="C41" s="595"/>
      <c r="D41" s="596"/>
      <c r="E41" s="53"/>
      <c r="F41" s="53"/>
      <c r="G41" s="53"/>
      <c r="H41" s="53"/>
      <c r="I41" s="53"/>
      <c r="J41" s="53"/>
      <c r="K41" s="53"/>
      <c r="L41" s="53"/>
      <c r="M41" s="53"/>
      <c r="N41" s="53"/>
      <c r="O41" s="53"/>
      <c r="P41" s="53"/>
      <c r="Q41" s="53"/>
      <c r="R41" s="53"/>
      <c r="S41" s="53"/>
      <c r="T41" s="53"/>
      <c r="U41" s="53"/>
      <c r="V41" s="53"/>
      <c r="W41" s="53"/>
      <c r="X41" s="53"/>
      <c r="Y41" s="53"/>
      <c r="Z41" s="53"/>
    </row>
    <row r="42" spans="1:26" ht="12" customHeight="1">
      <c r="A42" s="600" t="str">
        <f>$A$4</f>
        <v>This schedule supersedes and replaces all previously</v>
      </c>
      <c r="B42" s="595"/>
      <c r="C42" s="595"/>
      <c r="D42" s="596"/>
      <c r="E42" s="53"/>
      <c r="F42" s="53"/>
      <c r="G42" s="53"/>
      <c r="H42" s="53"/>
      <c r="I42" s="53"/>
      <c r="J42" s="53"/>
      <c r="K42" s="53"/>
      <c r="L42" s="53"/>
      <c r="M42" s="53"/>
      <c r="N42" s="53"/>
      <c r="O42" s="53"/>
      <c r="P42" s="53"/>
      <c r="Q42" s="53"/>
      <c r="R42" s="53"/>
      <c r="S42" s="53"/>
      <c r="T42" s="53"/>
      <c r="U42" s="53"/>
      <c r="V42" s="53"/>
      <c r="W42" s="53"/>
      <c r="X42" s="53"/>
      <c r="Y42" s="53"/>
      <c r="Z42" s="53"/>
    </row>
    <row r="43" spans="1:26" ht="11.25" customHeight="1">
      <c r="A43" s="600" t="str">
        <f>$A$5</f>
        <v>approved schedules of Rates, Charges and Loss Factors</v>
      </c>
      <c r="B43" s="595"/>
      <c r="C43" s="595"/>
      <c r="D43" s="596"/>
      <c r="E43" s="53"/>
      <c r="F43" s="53"/>
      <c r="G43" s="53"/>
      <c r="H43" s="53"/>
      <c r="I43" s="53"/>
      <c r="J43" s="53"/>
      <c r="K43" s="53"/>
      <c r="L43" s="53"/>
      <c r="M43" s="53"/>
      <c r="N43" s="53"/>
      <c r="O43" s="53"/>
      <c r="P43" s="53"/>
      <c r="Q43" s="53"/>
      <c r="R43" s="53"/>
      <c r="S43" s="53"/>
      <c r="T43" s="53"/>
      <c r="U43" s="53"/>
      <c r="V43" s="53"/>
      <c r="W43" s="53"/>
      <c r="X43" s="53"/>
      <c r="Y43" s="53"/>
      <c r="Z43" s="53"/>
    </row>
    <row r="44" spans="1:26" ht="11.25" customHeight="1">
      <c r="A44" s="601" t="str">
        <f>$A$6</f>
        <v>EB-2024-0115</v>
      </c>
      <c r="B44" s="595"/>
      <c r="C44" s="595"/>
      <c r="D44" s="596"/>
      <c r="E44" s="53"/>
      <c r="F44" s="53"/>
      <c r="G44" s="53"/>
      <c r="H44" s="53"/>
      <c r="I44" s="53"/>
      <c r="J44" s="53"/>
      <c r="K44" s="53"/>
      <c r="L44" s="53"/>
      <c r="M44" s="53"/>
      <c r="N44" s="53"/>
      <c r="O44" s="53"/>
      <c r="P44" s="53"/>
      <c r="Q44" s="53"/>
      <c r="R44" s="53"/>
      <c r="S44" s="53"/>
      <c r="T44" s="53"/>
      <c r="U44" s="53"/>
      <c r="V44" s="53"/>
      <c r="W44" s="53"/>
      <c r="X44" s="53"/>
      <c r="Y44" s="53"/>
      <c r="Z44" s="53"/>
    </row>
    <row r="45" spans="1:26" ht="18.75" customHeight="1">
      <c r="A45" s="602" t="s">
        <v>56</v>
      </c>
      <c r="B45" s="595"/>
      <c r="C45" s="595"/>
      <c r="D45" s="596"/>
      <c r="E45" s="71"/>
      <c r="F45" s="71"/>
      <c r="G45" s="71"/>
      <c r="H45" s="71"/>
      <c r="I45" s="71"/>
      <c r="J45" s="71"/>
      <c r="K45" s="71"/>
      <c r="L45" s="71"/>
      <c r="M45" s="71"/>
      <c r="N45" s="71"/>
      <c r="O45" s="71"/>
      <c r="P45" s="71"/>
      <c r="Q45" s="71"/>
      <c r="R45" s="71"/>
      <c r="S45" s="71"/>
      <c r="T45" s="71"/>
      <c r="U45" s="71"/>
      <c r="V45" s="71"/>
      <c r="W45" s="71"/>
      <c r="X45" s="71"/>
      <c r="Y45" s="71"/>
      <c r="Z45" s="71"/>
    </row>
    <row r="46" spans="1:26" ht="48" customHeight="1">
      <c r="A46" s="603" t="s">
        <v>57</v>
      </c>
      <c r="B46" s="595"/>
      <c r="C46" s="595"/>
      <c r="D46" s="596"/>
      <c r="E46" s="53"/>
      <c r="F46" s="53"/>
      <c r="G46" s="53"/>
      <c r="H46" s="53"/>
      <c r="I46" s="53"/>
      <c r="J46" s="53"/>
      <c r="K46" s="53"/>
      <c r="L46" s="53"/>
      <c r="M46" s="53"/>
      <c r="N46" s="53"/>
      <c r="O46" s="53"/>
      <c r="P46" s="53"/>
      <c r="Q46" s="53"/>
      <c r="R46" s="53"/>
      <c r="S46" s="53"/>
      <c r="T46" s="53"/>
      <c r="U46" s="53"/>
      <c r="V46" s="53"/>
      <c r="W46" s="53"/>
      <c r="X46" s="53"/>
      <c r="Y46" s="53"/>
      <c r="Z46" s="53"/>
    </row>
    <row r="47" spans="1:26" ht="6.75" customHeight="1">
      <c r="A47" s="54"/>
      <c r="B47" s="54"/>
      <c r="C47" s="54"/>
      <c r="D47" s="55"/>
      <c r="E47" s="53"/>
      <c r="F47" s="53"/>
      <c r="G47" s="53"/>
      <c r="H47" s="53"/>
      <c r="I47" s="53"/>
      <c r="J47" s="53"/>
      <c r="K47" s="53"/>
      <c r="L47" s="53"/>
      <c r="M47" s="53"/>
      <c r="N47" s="53"/>
      <c r="O47" s="53"/>
      <c r="P47" s="53"/>
      <c r="Q47" s="53"/>
      <c r="R47" s="53"/>
      <c r="S47" s="53"/>
      <c r="T47" s="53"/>
      <c r="U47" s="53"/>
      <c r="V47" s="53"/>
      <c r="W47" s="53"/>
      <c r="X47" s="53"/>
      <c r="Y47" s="53"/>
      <c r="Z47" s="53"/>
    </row>
    <row r="48" spans="1:26" ht="11.25" customHeight="1">
      <c r="A48" s="604" t="s">
        <v>34</v>
      </c>
      <c r="B48" s="595"/>
      <c r="C48" s="595"/>
      <c r="D48" s="596"/>
      <c r="E48" s="53"/>
      <c r="F48" s="53"/>
      <c r="G48" s="53"/>
      <c r="H48" s="53"/>
      <c r="I48" s="53"/>
      <c r="J48" s="53"/>
      <c r="K48" s="53"/>
      <c r="L48" s="53"/>
      <c r="M48" s="53"/>
      <c r="N48" s="53"/>
      <c r="O48" s="53"/>
      <c r="P48" s="53"/>
      <c r="Q48" s="53"/>
      <c r="R48" s="53"/>
      <c r="S48" s="53"/>
      <c r="T48" s="53"/>
      <c r="U48" s="53"/>
      <c r="V48" s="53"/>
      <c r="W48" s="53"/>
      <c r="X48" s="53"/>
      <c r="Y48" s="53"/>
      <c r="Z48" s="53"/>
    </row>
    <row r="49" spans="1:26" ht="6.75" customHeight="1">
      <c r="A49" s="56"/>
      <c r="B49" s="57"/>
      <c r="C49" s="57"/>
      <c r="D49" s="58"/>
      <c r="E49" s="53"/>
      <c r="F49" s="53"/>
      <c r="G49" s="53"/>
      <c r="H49" s="53"/>
      <c r="I49" s="53"/>
      <c r="J49" s="53"/>
      <c r="K49" s="53"/>
      <c r="L49" s="53"/>
      <c r="M49" s="53"/>
      <c r="N49" s="53"/>
      <c r="O49" s="53"/>
      <c r="P49" s="53"/>
      <c r="Q49" s="53"/>
      <c r="R49" s="53"/>
      <c r="S49" s="53"/>
      <c r="T49" s="53"/>
      <c r="U49" s="53"/>
      <c r="V49" s="53"/>
      <c r="W49" s="53"/>
      <c r="X49" s="53"/>
      <c r="Y49" s="53"/>
      <c r="Z49" s="53"/>
    </row>
    <row r="50" spans="1:26" ht="36" customHeight="1">
      <c r="A50" s="603" t="s">
        <v>35</v>
      </c>
      <c r="B50" s="595"/>
      <c r="C50" s="595"/>
      <c r="D50" s="596"/>
      <c r="E50" s="53"/>
      <c r="F50" s="53"/>
      <c r="G50" s="53"/>
      <c r="H50" s="53"/>
      <c r="I50" s="53"/>
      <c r="J50" s="53"/>
      <c r="K50" s="53"/>
      <c r="L50" s="53"/>
      <c r="M50" s="53"/>
      <c r="N50" s="53"/>
      <c r="O50" s="53"/>
      <c r="P50" s="53"/>
      <c r="Q50" s="53"/>
      <c r="R50" s="53"/>
      <c r="S50" s="53"/>
      <c r="T50" s="53"/>
      <c r="U50" s="53"/>
      <c r="V50" s="53"/>
      <c r="W50" s="53"/>
      <c r="X50" s="53"/>
      <c r="Y50" s="53"/>
      <c r="Z50" s="53"/>
    </row>
    <row r="51" spans="1:26" ht="6.75" customHeight="1">
      <c r="A51" s="54"/>
      <c r="B51" s="54"/>
      <c r="C51" s="54"/>
      <c r="D51" s="55"/>
      <c r="E51" s="53"/>
      <c r="F51" s="53"/>
      <c r="G51" s="53"/>
      <c r="H51" s="53"/>
      <c r="I51" s="53"/>
      <c r="J51" s="53"/>
      <c r="K51" s="53"/>
      <c r="L51" s="53"/>
      <c r="M51" s="53"/>
      <c r="N51" s="53"/>
      <c r="O51" s="53"/>
      <c r="P51" s="53"/>
      <c r="Q51" s="53"/>
      <c r="R51" s="53"/>
      <c r="S51" s="53"/>
      <c r="T51" s="53"/>
      <c r="U51" s="53"/>
      <c r="V51" s="53"/>
      <c r="W51" s="53"/>
      <c r="X51" s="53"/>
      <c r="Y51" s="53"/>
      <c r="Z51" s="53"/>
    </row>
    <row r="52" spans="1:26" ht="48" customHeight="1">
      <c r="A52" s="603" t="s">
        <v>36</v>
      </c>
      <c r="B52" s="595"/>
      <c r="C52" s="595"/>
      <c r="D52" s="596"/>
      <c r="E52" s="53"/>
      <c r="F52" s="53"/>
      <c r="G52" s="53"/>
      <c r="H52" s="53"/>
      <c r="I52" s="53"/>
      <c r="J52" s="53"/>
      <c r="K52" s="53"/>
      <c r="L52" s="53"/>
      <c r="M52" s="53"/>
      <c r="N52" s="53"/>
      <c r="O52" s="53"/>
      <c r="P52" s="53"/>
      <c r="Q52" s="53"/>
      <c r="R52" s="53"/>
      <c r="S52" s="53"/>
      <c r="T52" s="53"/>
      <c r="U52" s="53"/>
      <c r="V52" s="53"/>
      <c r="W52" s="53"/>
      <c r="X52" s="53"/>
      <c r="Y52" s="53"/>
      <c r="Z52" s="53"/>
    </row>
    <row r="53" spans="1:26" ht="6.75" customHeight="1">
      <c r="A53" s="54"/>
      <c r="B53" s="54"/>
      <c r="C53" s="54"/>
      <c r="D53" s="55"/>
      <c r="E53" s="53"/>
      <c r="F53" s="53"/>
      <c r="G53" s="53"/>
      <c r="H53" s="53"/>
      <c r="I53" s="53"/>
      <c r="J53" s="53"/>
      <c r="K53" s="53"/>
      <c r="L53" s="53"/>
      <c r="M53" s="53"/>
      <c r="N53" s="53"/>
      <c r="O53" s="53"/>
      <c r="P53" s="53"/>
      <c r="Q53" s="53"/>
      <c r="R53" s="53"/>
      <c r="S53" s="53"/>
      <c r="T53" s="53"/>
      <c r="U53" s="53"/>
      <c r="V53" s="53"/>
      <c r="W53" s="53"/>
      <c r="X53" s="53"/>
      <c r="Y53" s="53"/>
      <c r="Z53" s="53"/>
    </row>
    <row r="54" spans="1:26" ht="48" customHeight="1">
      <c r="A54" s="603" t="s">
        <v>37</v>
      </c>
      <c r="B54" s="595"/>
      <c r="C54" s="595"/>
      <c r="D54" s="596"/>
      <c r="E54" s="53"/>
      <c r="F54" s="53"/>
      <c r="G54" s="53"/>
      <c r="H54" s="53"/>
      <c r="I54" s="53"/>
      <c r="J54" s="53"/>
      <c r="K54" s="53"/>
      <c r="L54" s="53"/>
      <c r="M54" s="53"/>
      <c r="N54" s="53"/>
      <c r="O54" s="53"/>
      <c r="P54" s="53"/>
      <c r="Q54" s="53"/>
      <c r="R54" s="53"/>
      <c r="S54" s="53"/>
      <c r="T54" s="53"/>
      <c r="U54" s="53"/>
      <c r="V54" s="53"/>
      <c r="W54" s="53"/>
      <c r="X54" s="53"/>
      <c r="Y54" s="53"/>
      <c r="Z54" s="53"/>
    </row>
    <row r="55" spans="1:26" ht="6.75" customHeight="1">
      <c r="A55" s="54"/>
      <c r="B55" s="54"/>
      <c r="C55" s="54"/>
      <c r="D55" s="55"/>
      <c r="E55" s="53"/>
      <c r="F55" s="53"/>
      <c r="G55" s="53"/>
      <c r="H55" s="53"/>
      <c r="I55" s="53"/>
      <c r="J55" s="53"/>
      <c r="K55" s="53"/>
      <c r="L55" s="53"/>
      <c r="M55" s="53"/>
      <c r="N55" s="53"/>
      <c r="O55" s="53"/>
      <c r="P55" s="53"/>
      <c r="Q55" s="53"/>
      <c r="R55" s="53"/>
      <c r="S55" s="53"/>
      <c r="T55" s="53"/>
      <c r="U55" s="53"/>
      <c r="V55" s="53"/>
      <c r="W55" s="53"/>
      <c r="X55" s="53"/>
      <c r="Y55" s="53"/>
      <c r="Z55" s="53"/>
    </row>
    <row r="56" spans="1:26" ht="36" customHeight="1">
      <c r="A56" s="603" t="s">
        <v>58</v>
      </c>
      <c r="B56" s="595"/>
      <c r="C56" s="595"/>
      <c r="D56" s="596"/>
      <c r="E56" s="53"/>
      <c r="F56" s="53"/>
      <c r="G56" s="53"/>
      <c r="H56" s="53"/>
      <c r="I56" s="53"/>
      <c r="J56" s="53"/>
      <c r="K56" s="53"/>
      <c r="L56" s="53"/>
      <c r="M56" s="53"/>
      <c r="N56" s="53"/>
      <c r="O56" s="53"/>
      <c r="P56" s="53"/>
      <c r="Q56" s="53"/>
      <c r="R56" s="53"/>
      <c r="S56" s="53"/>
      <c r="T56" s="53"/>
      <c r="U56" s="53"/>
      <c r="V56" s="53"/>
      <c r="W56" s="53"/>
      <c r="X56" s="53"/>
      <c r="Y56" s="53"/>
      <c r="Z56" s="53"/>
    </row>
    <row r="57" spans="1:26" ht="6.75" customHeight="1">
      <c r="A57" s="54"/>
      <c r="B57" s="54"/>
      <c r="C57" s="54"/>
      <c r="D57" s="55"/>
      <c r="E57" s="53"/>
      <c r="F57" s="53"/>
      <c r="G57" s="53"/>
      <c r="H57" s="53"/>
      <c r="I57" s="53"/>
      <c r="J57" s="53"/>
      <c r="K57" s="53"/>
      <c r="L57" s="53"/>
      <c r="M57" s="53"/>
      <c r="N57" s="53"/>
      <c r="O57" s="53"/>
      <c r="P57" s="53"/>
      <c r="Q57" s="53"/>
      <c r="R57" s="53"/>
      <c r="S57" s="53"/>
      <c r="T57" s="53"/>
      <c r="U57" s="53"/>
      <c r="V57" s="53"/>
      <c r="W57" s="53"/>
      <c r="X57" s="53"/>
      <c r="Y57" s="53"/>
      <c r="Z57" s="53"/>
    </row>
    <row r="58" spans="1:26" ht="15" customHeight="1">
      <c r="A58" s="70" t="s">
        <v>39</v>
      </c>
      <c r="B58" s="63"/>
      <c r="C58" s="63"/>
      <c r="D58" s="63"/>
      <c r="E58" s="53"/>
      <c r="F58" s="53"/>
      <c r="G58" s="53"/>
      <c r="H58" s="53"/>
      <c r="I58" s="53"/>
      <c r="J58" s="53"/>
      <c r="K58" s="53"/>
      <c r="L58" s="53"/>
      <c r="M58" s="53"/>
      <c r="N58" s="53"/>
      <c r="O58" s="53"/>
      <c r="P58" s="53"/>
      <c r="Q58" s="53"/>
      <c r="R58" s="53"/>
      <c r="S58" s="53"/>
      <c r="T58" s="53"/>
      <c r="U58" s="53"/>
      <c r="V58" s="53"/>
      <c r="W58" s="53"/>
      <c r="X58" s="53"/>
      <c r="Y58" s="53"/>
      <c r="Z58" s="53"/>
    </row>
    <row r="59" spans="1:26" ht="6.75" customHeight="1">
      <c r="A59" s="59"/>
      <c r="B59" s="60"/>
      <c r="C59" s="60"/>
      <c r="D59" s="61"/>
      <c r="E59" s="53"/>
      <c r="F59" s="53"/>
      <c r="G59" s="53"/>
      <c r="H59" s="53"/>
      <c r="I59" s="53"/>
      <c r="J59" s="53"/>
      <c r="K59" s="53"/>
      <c r="L59" s="53"/>
      <c r="M59" s="53"/>
      <c r="N59" s="53"/>
      <c r="O59" s="53"/>
      <c r="P59" s="53"/>
      <c r="Q59" s="53"/>
      <c r="R59" s="53"/>
      <c r="S59" s="53"/>
      <c r="T59" s="53"/>
      <c r="U59" s="53"/>
      <c r="V59" s="53"/>
      <c r="W59" s="53"/>
      <c r="X59" s="53"/>
      <c r="Y59" s="53"/>
      <c r="Z59" s="53"/>
    </row>
    <row r="60" spans="1:26" ht="10.5" customHeight="1">
      <c r="A60" s="62" t="s">
        <v>40</v>
      </c>
      <c r="B60" s="63"/>
      <c r="C60" s="64" t="s">
        <v>41</v>
      </c>
      <c r="D60" s="280">
        <f>'Proposed Rates'!J9</f>
        <v>37</v>
      </c>
      <c r="E60" s="53"/>
      <c r="F60" s="53"/>
      <c r="G60" s="53"/>
      <c r="H60" s="53"/>
      <c r="I60" s="53"/>
      <c r="J60" s="53"/>
      <c r="K60" s="53"/>
      <c r="L60" s="53"/>
      <c r="M60" s="53"/>
      <c r="N60" s="53"/>
      <c r="O60" s="53"/>
      <c r="P60" s="53"/>
      <c r="Q60" s="53"/>
      <c r="R60" s="53"/>
      <c r="S60" s="53"/>
      <c r="T60" s="53"/>
      <c r="U60" s="53"/>
      <c r="V60" s="53"/>
      <c r="W60" s="53"/>
      <c r="X60" s="53"/>
      <c r="Y60" s="53"/>
      <c r="Z60" s="53"/>
    </row>
    <row r="61" spans="1:26" ht="10.5" customHeight="1">
      <c r="A61" s="62" t="s">
        <v>44</v>
      </c>
      <c r="B61" s="63"/>
      <c r="C61" s="64" t="s">
        <v>41</v>
      </c>
      <c r="D61" s="282">
        <f>'Proposed Rates'!J274</f>
        <v>0.45</v>
      </c>
      <c r="E61" s="53"/>
      <c r="F61" s="53"/>
      <c r="G61" s="53"/>
      <c r="H61" s="53"/>
      <c r="I61" s="53"/>
      <c r="J61" s="53"/>
      <c r="K61" s="53"/>
      <c r="L61" s="53"/>
      <c r="M61" s="53"/>
      <c r="N61" s="53"/>
      <c r="O61" s="53"/>
      <c r="P61" s="53"/>
      <c r="Q61" s="53"/>
      <c r="R61" s="53"/>
      <c r="S61" s="53"/>
      <c r="T61" s="53"/>
      <c r="U61" s="53"/>
      <c r="V61" s="53"/>
      <c r="W61" s="53"/>
      <c r="X61" s="53"/>
      <c r="Y61" s="53"/>
      <c r="Z61" s="53"/>
    </row>
    <row r="62" spans="1:26" ht="10.5" customHeight="1">
      <c r="A62" s="62" t="s">
        <v>59</v>
      </c>
      <c r="B62" s="63"/>
      <c r="C62" s="64" t="s">
        <v>46</v>
      </c>
      <c r="D62" s="281">
        <f>'Proposed Rates'!J22</f>
        <v>4.7899999999999998E-2</v>
      </c>
      <c r="E62" s="53"/>
      <c r="F62" s="53"/>
      <c r="G62" s="53"/>
      <c r="H62" s="53"/>
      <c r="I62" s="53"/>
      <c r="J62" s="53"/>
      <c r="K62" s="53"/>
      <c r="L62" s="53"/>
      <c r="M62" s="53"/>
      <c r="N62" s="53"/>
      <c r="O62" s="53"/>
      <c r="P62" s="53"/>
      <c r="Q62" s="53"/>
      <c r="R62" s="53"/>
      <c r="S62" s="53"/>
      <c r="T62" s="53"/>
      <c r="U62" s="53"/>
      <c r="V62" s="53"/>
      <c r="W62" s="53"/>
      <c r="X62" s="53"/>
      <c r="Y62" s="53"/>
      <c r="Z62" s="53"/>
    </row>
    <row r="63" spans="1:26" ht="10.5" customHeight="1">
      <c r="A63" s="62" t="s">
        <v>45</v>
      </c>
      <c r="B63" s="63"/>
      <c r="C63" s="64" t="s">
        <v>46</v>
      </c>
      <c r="D63" s="283">
        <f>'Proposed Rates'!J261</f>
        <v>6.0000000000000002E-5</v>
      </c>
      <c r="E63" s="53"/>
      <c r="F63" s="53"/>
      <c r="G63" s="53"/>
      <c r="H63" s="53"/>
      <c r="I63" s="53"/>
      <c r="J63" s="53"/>
      <c r="K63" s="53"/>
      <c r="L63" s="53"/>
      <c r="M63" s="53"/>
      <c r="N63" s="53"/>
      <c r="O63" s="53"/>
      <c r="P63" s="53"/>
      <c r="Q63" s="53"/>
      <c r="R63" s="53"/>
      <c r="S63" s="53"/>
      <c r="T63" s="53"/>
      <c r="U63" s="53"/>
      <c r="V63" s="53"/>
      <c r="W63" s="53"/>
      <c r="X63" s="53"/>
      <c r="Y63" s="53"/>
      <c r="Z63" s="53"/>
    </row>
    <row r="64" spans="1:26" ht="10.5" hidden="1" customHeight="1">
      <c r="A64" s="62" t="s">
        <v>47</v>
      </c>
      <c r="B64" s="63"/>
      <c r="C64" s="64" t="s">
        <v>46</v>
      </c>
      <c r="D64" s="281">
        <f>'Proposed Rates'!J38</f>
        <v>0</v>
      </c>
      <c r="E64" s="53"/>
      <c r="F64" s="53"/>
      <c r="G64" s="53"/>
      <c r="H64" s="53"/>
      <c r="I64" s="53"/>
      <c r="J64" s="53"/>
      <c r="K64" s="53"/>
      <c r="L64" s="53"/>
      <c r="M64" s="53"/>
      <c r="N64" s="53"/>
      <c r="O64" s="53"/>
      <c r="P64" s="53"/>
      <c r="Q64" s="53"/>
      <c r="R64" s="53"/>
      <c r="S64" s="53"/>
      <c r="T64" s="53"/>
      <c r="U64" s="53"/>
      <c r="V64" s="53"/>
      <c r="W64" s="53"/>
      <c r="X64" s="53"/>
      <c r="Y64" s="53"/>
      <c r="Z64" s="53"/>
    </row>
    <row r="65" spans="1:26" ht="10.5" hidden="1" customHeight="1">
      <c r="A65" s="62" t="s">
        <v>43</v>
      </c>
      <c r="B65" s="63"/>
      <c r="C65" s="64" t="s">
        <v>46</v>
      </c>
      <c r="D65" s="281">
        <f>'Proposed Rates'!J65</f>
        <v>0</v>
      </c>
      <c r="E65" s="53"/>
      <c r="F65" s="53"/>
      <c r="G65" s="53"/>
      <c r="H65" s="53"/>
      <c r="I65" s="53"/>
      <c r="J65" s="53"/>
      <c r="K65" s="53"/>
      <c r="L65" s="53"/>
      <c r="M65" s="53"/>
      <c r="N65" s="53"/>
      <c r="O65" s="53"/>
      <c r="P65" s="53"/>
      <c r="Q65" s="53"/>
      <c r="R65" s="53"/>
      <c r="S65" s="53"/>
      <c r="T65" s="53"/>
      <c r="U65" s="53"/>
      <c r="V65" s="53"/>
      <c r="W65" s="53"/>
      <c r="X65" s="53"/>
      <c r="Y65" s="53"/>
      <c r="Z65" s="53"/>
    </row>
    <row r="66" spans="1:26" ht="10.5" hidden="1" customHeight="1">
      <c r="A66" s="62" t="s">
        <v>42</v>
      </c>
      <c r="B66" s="63"/>
      <c r="C66" s="64" t="s">
        <v>46</v>
      </c>
      <c r="D66" s="281">
        <f>'Proposed Rates'!J91</f>
        <v>0</v>
      </c>
      <c r="E66" s="53"/>
      <c r="F66" s="53"/>
      <c r="G66" s="53"/>
      <c r="H66" s="53"/>
      <c r="I66" s="53"/>
      <c r="J66" s="53"/>
      <c r="K66" s="53"/>
      <c r="L66" s="53"/>
      <c r="M66" s="53"/>
      <c r="N66" s="53"/>
      <c r="O66" s="53"/>
      <c r="P66" s="53"/>
      <c r="Q66" s="53"/>
      <c r="R66" s="53"/>
      <c r="S66" s="53"/>
      <c r="T66" s="53"/>
      <c r="U66" s="53"/>
      <c r="V66" s="53"/>
      <c r="W66" s="53"/>
      <c r="X66" s="53"/>
      <c r="Y66" s="53"/>
      <c r="Z66" s="53"/>
    </row>
    <row r="67" spans="1:26" ht="10.5" hidden="1" customHeight="1">
      <c r="A67" s="62" t="s">
        <v>48</v>
      </c>
      <c r="B67" s="63"/>
      <c r="C67" s="64" t="s">
        <v>46</v>
      </c>
      <c r="D67" s="281">
        <f>'Proposed Rates'!J143</f>
        <v>0</v>
      </c>
      <c r="E67" s="53"/>
      <c r="F67" s="53"/>
      <c r="G67" s="53"/>
      <c r="H67" s="53"/>
      <c r="I67" s="53"/>
      <c r="J67" s="53"/>
      <c r="K67" s="53"/>
      <c r="L67" s="53"/>
      <c r="M67" s="53"/>
      <c r="N67" s="53"/>
      <c r="O67" s="53"/>
      <c r="P67" s="53"/>
      <c r="Q67" s="53"/>
      <c r="R67" s="53"/>
      <c r="S67" s="53"/>
      <c r="T67" s="53"/>
      <c r="U67" s="53"/>
      <c r="V67" s="53"/>
      <c r="W67" s="53"/>
      <c r="X67" s="53"/>
      <c r="Y67" s="53"/>
      <c r="Z67" s="53"/>
    </row>
    <row r="68" spans="1:26" ht="10.5" customHeight="1">
      <c r="A68" s="62" t="s">
        <v>49</v>
      </c>
      <c r="B68" s="63"/>
      <c r="C68" s="64" t="s">
        <v>46</v>
      </c>
      <c r="D68" s="281">
        <f>'Proposed Rates'!J184</f>
        <v>1.0699999999999999E-2</v>
      </c>
      <c r="E68" s="53"/>
      <c r="F68" s="53"/>
      <c r="G68" s="53"/>
      <c r="H68" s="53"/>
      <c r="I68" s="53"/>
      <c r="J68" s="53"/>
      <c r="K68" s="53"/>
      <c r="L68" s="53"/>
      <c r="M68" s="53"/>
      <c r="N68" s="53"/>
      <c r="O68" s="53"/>
      <c r="P68" s="53"/>
      <c r="Q68" s="53"/>
      <c r="R68" s="53"/>
      <c r="S68" s="53"/>
      <c r="T68" s="53"/>
      <c r="U68" s="53"/>
      <c r="V68" s="53"/>
      <c r="W68" s="53"/>
      <c r="X68" s="53"/>
      <c r="Y68" s="53"/>
      <c r="Z68" s="53"/>
    </row>
    <row r="69" spans="1:26" ht="10.5" customHeight="1">
      <c r="A69" s="62" t="s">
        <v>50</v>
      </c>
      <c r="B69" s="62"/>
      <c r="C69" s="64" t="s">
        <v>46</v>
      </c>
      <c r="D69" s="281">
        <f>'Proposed Rates'!J197</f>
        <v>6.1000000000000004E-3</v>
      </c>
      <c r="E69" s="53"/>
      <c r="F69" s="53"/>
      <c r="G69" s="53"/>
      <c r="H69" s="53"/>
      <c r="I69" s="53"/>
      <c r="J69" s="53"/>
      <c r="K69" s="53"/>
      <c r="L69" s="53"/>
      <c r="M69" s="53"/>
      <c r="N69" s="53"/>
      <c r="O69" s="53"/>
      <c r="P69" s="53"/>
      <c r="Q69" s="53"/>
      <c r="R69" s="53"/>
      <c r="S69" s="53"/>
      <c r="T69" s="53"/>
      <c r="U69" s="53"/>
      <c r="V69" s="53"/>
      <c r="W69" s="53"/>
      <c r="X69" s="53"/>
      <c r="Y69" s="53"/>
      <c r="Z69" s="53"/>
    </row>
    <row r="70" spans="1:26" ht="3.75" customHeight="1">
      <c r="A70" s="62"/>
      <c r="B70" s="63"/>
      <c r="C70" s="64"/>
      <c r="D70" s="284"/>
      <c r="E70" s="53"/>
      <c r="F70" s="53"/>
      <c r="G70" s="53"/>
      <c r="H70" s="53"/>
      <c r="I70" s="53"/>
      <c r="J70" s="53"/>
      <c r="K70" s="53"/>
      <c r="L70" s="53"/>
      <c r="M70" s="53"/>
      <c r="N70" s="53"/>
      <c r="O70" s="53"/>
      <c r="P70" s="53"/>
      <c r="Q70" s="53"/>
      <c r="R70" s="53"/>
      <c r="S70" s="53"/>
      <c r="T70" s="53"/>
      <c r="U70" s="53"/>
      <c r="V70" s="53"/>
      <c r="W70" s="53"/>
      <c r="X70" s="53"/>
      <c r="Y70" s="53"/>
      <c r="Z70" s="53"/>
    </row>
    <row r="71" spans="1:26" ht="11.25" customHeight="1">
      <c r="A71" s="70" t="s">
        <v>51</v>
      </c>
      <c r="B71" s="62"/>
      <c r="C71" s="64"/>
      <c r="D71" s="284"/>
      <c r="E71" s="53"/>
      <c r="F71" s="53"/>
      <c r="G71" s="53"/>
      <c r="H71" s="53"/>
      <c r="I71" s="53"/>
      <c r="J71" s="53"/>
      <c r="K71" s="53"/>
      <c r="L71" s="53"/>
      <c r="M71" s="53"/>
      <c r="N71" s="53"/>
      <c r="O71" s="53"/>
      <c r="P71" s="53"/>
      <c r="Q71" s="53"/>
      <c r="R71" s="53"/>
      <c r="S71" s="53"/>
      <c r="T71" s="53"/>
      <c r="U71" s="53"/>
      <c r="V71" s="53"/>
      <c r="W71" s="53"/>
      <c r="X71" s="53"/>
      <c r="Y71" s="53"/>
      <c r="Z71" s="53"/>
    </row>
    <row r="72" spans="1:26" ht="3" customHeight="1">
      <c r="A72" s="70"/>
      <c r="B72" s="63"/>
      <c r="C72" s="64"/>
      <c r="D72" s="284"/>
      <c r="E72" s="53"/>
      <c r="F72" s="53"/>
      <c r="G72" s="53"/>
      <c r="H72" s="53"/>
      <c r="I72" s="53"/>
      <c r="J72" s="53"/>
      <c r="K72" s="53"/>
      <c r="L72" s="53"/>
      <c r="M72" s="53"/>
      <c r="N72" s="53"/>
      <c r="O72" s="53"/>
      <c r="P72" s="53"/>
      <c r="Q72" s="53"/>
      <c r="R72" s="53"/>
      <c r="S72" s="53"/>
      <c r="T72" s="53"/>
      <c r="U72" s="53"/>
      <c r="V72" s="53"/>
      <c r="W72" s="53"/>
      <c r="X72" s="53"/>
      <c r="Y72" s="53"/>
      <c r="Z72" s="53"/>
    </row>
    <row r="73" spans="1:26" ht="10.5" customHeight="1">
      <c r="A73" s="62" t="s">
        <v>52</v>
      </c>
      <c r="B73" s="63"/>
      <c r="C73" s="64" t="s">
        <v>46</v>
      </c>
      <c r="D73" s="281">
        <f>$D$34</f>
        <v>4.1000000000000003E-3</v>
      </c>
      <c r="E73" s="53"/>
      <c r="F73" s="53"/>
      <c r="G73" s="53"/>
      <c r="H73" s="53"/>
      <c r="I73" s="53"/>
      <c r="J73" s="53"/>
      <c r="K73" s="53"/>
      <c r="L73" s="53"/>
      <c r="M73" s="53"/>
      <c r="N73" s="53"/>
      <c r="O73" s="53"/>
      <c r="P73" s="53"/>
      <c r="Q73" s="53"/>
      <c r="R73" s="53"/>
      <c r="S73" s="53"/>
      <c r="T73" s="53"/>
      <c r="U73" s="53"/>
      <c r="V73" s="53"/>
      <c r="W73" s="53"/>
      <c r="X73" s="53"/>
      <c r="Y73" s="53"/>
      <c r="Z73" s="53"/>
    </row>
    <row r="74" spans="1:26" ht="10.5" customHeight="1">
      <c r="A74" s="62" t="s">
        <v>53</v>
      </c>
      <c r="B74" s="63"/>
      <c r="C74" s="64" t="s">
        <v>46</v>
      </c>
      <c r="D74" s="281">
        <f>'Proposed Rates'!J210-'2026'!D73</f>
        <v>3.9999999999999931E-4</v>
      </c>
      <c r="E74" s="53"/>
      <c r="F74" s="53"/>
      <c r="G74" s="53"/>
      <c r="H74" s="53"/>
      <c r="I74" s="53"/>
      <c r="J74" s="53"/>
      <c r="K74" s="53"/>
      <c r="L74" s="53"/>
      <c r="M74" s="53"/>
      <c r="N74" s="53"/>
      <c r="O74" s="53"/>
      <c r="P74" s="53"/>
      <c r="Q74" s="53"/>
      <c r="R74" s="53"/>
      <c r="S74" s="53"/>
      <c r="T74" s="53"/>
      <c r="U74" s="53"/>
      <c r="V74" s="53"/>
      <c r="W74" s="53"/>
      <c r="X74" s="53"/>
      <c r="Y74" s="53"/>
      <c r="Z74" s="53"/>
    </row>
    <row r="75" spans="1:26" ht="10.5" customHeight="1">
      <c r="A75" s="62" t="s">
        <v>54</v>
      </c>
      <c r="B75" s="63"/>
      <c r="C75" s="64" t="s">
        <v>46</v>
      </c>
      <c r="D75" s="281">
        <f>'Proposed Rates'!J223</f>
        <v>1.5E-3</v>
      </c>
      <c r="E75" s="53"/>
      <c r="F75" s="53"/>
      <c r="G75" s="53"/>
      <c r="H75" s="53"/>
      <c r="I75" s="53"/>
      <c r="J75" s="53"/>
      <c r="K75" s="53"/>
      <c r="L75" s="53"/>
      <c r="M75" s="53"/>
      <c r="N75" s="53"/>
      <c r="O75" s="53"/>
      <c r="P75" s="53"/>
      <c r="Q75" s="53"/>
      <c r="R75" s="53"/>
      <c r="S75" s="53"/>
      <c r="T75" s="53"/>
      <c r="U75" s="53"/>
      <c r="V75" s="53"/>
      <c r="W75" s="53"/>
      <c r="X75" s="53"/>
      <c r="Y75" s="53"/>
      <c r="Z75" s="53"/>
    </row>
    <row r="76" spans="1:26" ht="10.5" customHeight="1">
      <c r="A76" s="62" t="s">
        <v>55</v>
      </c>
      <c r="B76" s="63"/>
      <c r="C76" s="64" t="s">
        <v>41</v>
      </c>
      <c r="D76" s="281">
        <f>'Proposed Rates'!J237</f>
        <v>1.63</v>
      </c>
      <c r="E76" s="53"/>
      <c r="F76" s="53"/>
      <c r="G76" s="53"/>
      <c r="H76" s="53"/>
      <c r="I76" s="53"/>
      <c r="J76" s="53"/>
      <c r="K76" s="53"/>
      <c r="L76" s="53"/>
      <c r="M76" s="53"/>
      <c r="N76" s="53"/>
      <c r="O76" s="53"/>
      <c r="P76" s="53"/>
      <c r="Q76" s="53"/>
      <c r="R76" s="53"/>
      <c r="S76" s="53"/>
      <c r="T76" s="53"/>
      <c r="U76" s="53"/>
      <c r="V76" s="53"/>
      <c r="W76" s="53"/>
      <c r="X76" s="53"/>
      <c r="Y76" s="53"/>
      <c r="Z76" s="53"/>
    </row>
    <row r="77" spans="1:26" ht="3.75" customHeight="1">
      <c r="A77" s="85"/>
      <c r="B77" s="63"/>
      <c r="C77" s="64"/>
      <c r="D77" s="69"/>
      <c r="E77" s="53"/>
      <c r="F77" s="53"/>
      <c r="G77" s="53"/>
      <c r="H77" s="53"/>
      <c r="I77" s="53"/>
      <c r="J77" s="53"/>
      <c r="K77" s="53"/>
      <c r="L77" s="53"/>
      <c r="M77" s="53"/>
      <c r="N77" s="53"/>
      <c r="O77" s="53"/>
      <c r="P77" s="53"/>
      <c r="Q77" s="53"/>
      <c r="R77" s="53"/>
      <c r="S77" s="53"/>
      <c r="T77" s="53"/>
      <c r="U77" s="53"/>
      <c r="V77" s="53"/>
      <c r="W77" s="53"/>
      <c r="X77" s="53"/>
      <c r="Y77" s="53"/>
      <c r="Z77" s="53"/>
    </row>
    <row r="78" spans="1:26" ht="24" customHeight="1">
      <c r="A78" s="597" t="str">
        <f>$A$1</f>
        <v>Hydro Ottawa Limited</v>
      </c>
      <c r="B78" s="595"/>
      <c r="C78" s="595"/>
      <c r="D78" s="596"/>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98" t="str">
        <f>$A$2</f>
        <v>PROPOSED - TARIFF OF RATES AND CHARGES</v>
      </c>
      <c r="B79" s="595"/>
      <c r="C79" s="595"/>
      <c r="D79" s="596"/>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99" t="str">
        <f>$A$3</f>
        <v>Effective and Implementation Date January 1, 2030</v>
      </c>
      <c r="B80" s="595"/>
      <c r="C80" s="595"/>
      <c r="D80" s="596"/>
      <c r="E80" s="53"/>
      <c r="F80" s="53"/>
      <c r="G80" s="53"/>
      <c r="H80" s="53"/>
      <c r="I80" s="53"/>
      <c r="J80" s="53"/>
      <c r="K80" s="53"/>
      <c r="L80" s="53"/>
      <c r="M80" s="53"/>
      <c r="N80" s="53"/>
      <c r="O80" s="53"/>
      <c r="P80" s="53"/>
      <c r="Q80" s="53"/>
      <c r="R80" s="53"/>
      <c r="S80" s="53"/>
      <c r="T80" s="53"/>
      <c r="U80" s="53"/>
      <c r="V80" s="53"/>
      <c r="W80" s="53"/>
      <c r="X80" s="53"/>
      <c r="Y80" s="53"/>
      <c r="Z80" s="53"/>
    </row>
    <row r="81" spans="1:26" ht="12" customHeight="1">
      <c r="A81" s="600" t="str">
        <f>$A$4</f>
        <v>This schedule supersedes and replaces all previously</v>
      </c>
      <c r="B81" s="595"/>
      <c r="C81" s="595"/>
      <c r="D81" s="596"/>
      <c r="E81" s="53"/>
      <c r="F81" s="53"/>
      <c r="G81" s="53"/>
      <c r="H81" s="53"/>
      <c r="I81" s="53"/>
      <c r="J81" s="53"/>
      <c r="K81" s="53"/>
      <c r="L81" s="53"/>
      <c r="M81" s="53"/>
      <c r="N81" s="53"/>
      <c r="O81" s="53"/>
      <c r="P81" s="53"/>
      <c r="Q81" s="53"/>
      <c r="R81" s="53"/>
      <c r="S81" s="53"/>
      <c r="T81" s="53"/>
      <c r="U81" s="53"/>
      <c r="V81" s="53"/>
      <c r="W81" s="53"/>
      <c r="X81" s="53"/>
      <c r="Y81" s="53"/>
      <c r="Z81" s="53"/>
    </row>
    <row r="82" spans="1:26" ht="11.25" customHeight="1">
      <c r="A82" s="600" t="str">
        <f>$A$5</f>
        <v>approved schedules of Rates, Charges and Loss Factors</v>
      </c>
      <c r="B82" s="595"/>
      <c r="C82" s="595"/>
      <c r="D82" s="596"/>
      <c r="E82" s="53"/>
      <c r="F82" s="53"/>
      <c r="G82" s="53"/>
      <c r="H82" s="53"/>
      <c r="I82" s="53"/>
      <c r="J82" s="53"/>
      <c r="K82" s="53"/>
      <c r="L82" s="53"/>
      <c r="M82" s="53"/>
      <c r="N82" s="53"/>
      <c r="O82" s="53"/>
      <c r="P82" s="53"/>
      <c r="Q82" s="53"/>
      <c r="R82" s="53"/>
      <c r="S82" s="53"/>
      <c r="T82" s="53"/>
      <c r="U82" s="53"/>
      <c r="V82" s="53"/>
      <c r="W82" s="53"/>
      <c r="X82" s="53"/>
      <c r="Y82" s="53"/>
      <c r="Z82" s="53"/>
    </row>
    <row r="83" spans="1:26" ht="11.25" customHeight="1">
      <c r="A83" s="601" t="str">
        <f>$A$6</f>
        <v>EB-2024-0115</v>
      </c>
      <c r="B83" s="595"/>
      <c r="C83" s="595"/>
      <c r="D83" s="596"/>
      <c r="E83" s="53"/>
      <c r="F83" s="53"/>
      <c r="G83" s="53"/>
      <c r="H83" s="53"/>
      <c r="I83" s="53"/>
      <c r="J83" s="53"/>
      <c r="K83" s="53"/>
      <c r="L83" s="53"/>
      <c r="M83" s="53"/>
      <c r="N83" s="53"/>
      <c r="O83" s="53"/>
      <c r="P83" s="53"/>
      <c r="Q83" s="53"/>
      <c r="R83" s="53"/>
      <c r="S83" s="53"/>
      <c r="T83" s="53"/>
      <c r="U83" s="53"/>
      <c r="V83" s="53"/>
      <c r="W83" s="53"/>
      <c r="X83" s="53"/>
      <c r="Y83" s="53"/>
      <c r="Z83" s="53"/>
    </row>
    <row r="84" spans="1:26" ht="18.75" customHeight="1">
      <c r="A84" s="602" t="s">
        <v>61</v>
      </c>
      <c r="B84" s="595"/>
      <c r="C84" s="595"/>
      <c r="D84" s="596"/>
      <c r="E84" s="71"/>
      <c r="F84" s="71"/>
      <c r="G84" s="71"/>
      <c r="H84" s="71"/>
      <c r="I84" s="71"/>
      <c r="J84" s="71"/>
      <c r="K84" s="71"/>
      <c r="L84" s="71"/>
      <c r="M84" s="71"/>
      <c r="N84" s="71"/>
      <c r="O84" s="71"/>
      <c r="P84" s="71"/>
      <c r="Q84" s="71"/>
      <c r="R84" s="71"/>
      <c r="S84" s="71"/>
      <c r="T84" s="71"/>
      <c r="U84" s="71"/>
      <c r="V84" s="71"/>
      <c r="W84" s="71"/>
      <c r="X84" s="71"/>
      <c r="Y84" s="71"/>
      <c r="Z84" s="71"/>
    </row>
    <row r="85" spans="1:26" ht="48" customHeight="1">
      <c r="A85" s="603" t="s">
        <v>62</v>
      </c>
      <c r="B85" s="595"/>
      <c r="C85" s="595"/>
      <c r="D85" s="596"/>
      <c r="E85" s="53"/>
      <c r="F85" s="53"/>
      <c r="G85" s="53"/>
      <c r="H85" s="53"/>
      <c r="I85" s="53"/>
      <c r="J85" s="53"/>
      <c r="K85" s="53"/>
      <c r="L85" s="53"/>
      <c r="M85" s="53"/>
      <c r="N85" s="53"/>
      <c r="O85" s="53"/>
      <c r="P85" s="53"/>
      <c r="Q85" s="53"/>
      <c r="R85" s="53"/>
      <c r="S85" s="53"/>
      <c r="T85" s="53"/>
      <c r="U85" s="53"/>
      <c r="V85" s="53"/>
      <c r="W85" s="53"/>
      <c r="X85" s="53"/>
      <c r="Y85" s="53"/>
      <c r="Z85" s="53"/>
    </row>
    <row r="86" spans="1:26" ht="6.75" customHeight="1">
      <c r="A86" s="54"/>
      <c r="B86" s="54"/>
      <c r="C86" s="54"/>
      <c r="D86" s="55"/>
      <c r="E86" s="53"/>
      <c r="F86" s="53"/>
      <c r="G86" s="53"/>
      <c r="H86" s="53"/>
      <c r="I86" s="53"/>
      <c r="J86" s="53"/>
      <c r="K86" s="53"/>
      <c r="L86" s="53"/>
      <c r="M86" s="53"/>
      <c r="N86" s="53"/>
      <c r="O86" s="53"/>
      <c r="P86" s="53"/>
      <c r="Q86" s="53"/>
      <c r="R86" s="53"/>
      <c r="S86" s="53"/>
      <c r="T86" s="53"/>
      <c r="U86" s="53"/>
      <c r="V86" s="53"/>
      <c r="W86" s="53"/>
      <c r="X86" s="53"/>
      <c r="Y86" s="53"/>
      <c r="Z86" s="53"/>
    </row>
    <row r="87" spans="1:26" ht="11.25" customHeight="1">
      <c r="A87" s="604" t="s">
        <v>34</v>
      </c>
      <c r="B87" s="595"/>
      <c r="C87" s="595"/>
      <c r="D87" s="596"/>
      <c r="E87" s="53"/>
      <c r="F87" s="53"/>
      <c r="G87" s="53"/>
      <c r="H87" s="53"/>
      <c r="I87" s="53"/>
      <c r="J87" s="53"/>
      <c r="K87" s="53"/>
      <c r="L87" s="53"/>
      <c r="M87" s="53"/>
      <c r="N87" s="53"/>
      <c r="O87" s="53"/>
      <c r="P87" s="53"/>
      <c r="Q87" s="53"/>
      <c r="R87" s="53"/>
      <c r="S87" s="53"/>
      <c r="T87" s="53"/>
      <c r="U87" s="53"/>
      <c r="V87" s="53"/>
      <c r="W87" s="53"/>
      <c r="X87" s="53"/>
      <c r="Y87" s="53"/>
      <c r="Z87" s="53"/>
    </row>
    <row r="88" spans="1:26" ht="6.75" customHeight="1">
      <c r="A88" s="56"/>
      <c r="B88" s="57"/>
      <c r="C88" s="57"/>
      <c r="D88" s="58"/>
      <c r="E88" s="53"/>
      <c r="F88" s="53"/>
      <c r="G88" s="53"/>
      <c r="H88" s="53"/>
      <c r="I88" s="53"/>
      <c r="J88" s="53"/>
      <c r="K88" s="53"/>
      <c r="L88" s="53"/>
      <c r="M88" s="53"/>
      <c r="N88" s="53"/>
      <c r="O88" s="53"/>
      <c r="P88" s="53"/>
      <c r="Q88" s="53"/>
      <c r="R88" s="53"/>
      <c r="S88" s="53"/>
      <c r="T88" s="53"/>
      <c r="U88" s="53"/>
      <c r="V88" s="53"/>
      <c r="W88" s="53"/>
      <c r="X88" s="53"/>
      <c r="Y88" s="53"/>
      <c r="Z88" s="53"/>
    </row>
    <row r="89" spans="1:26" ht="36" customHeight="1">
      <c r="A89" s="603" t="s">
        <v>35</v>
      </c>
      <c r="B89" s="595"/>
      <c r="C89" s="595"/>
      <c r="D89" s="596"/>
      <c r="E89" s="53"/>
      <c r="F89" s="53"/>
      <c r="G89" s="53"/>
      <c r="H89" s="53"/>
      <c r="I89" s="53"/>
      <c r="J89" s="53"/>
      <c r="K89" s="53"/>
      <c r="L89" s="53"/>
      <c r="M89" s="53"/>
      <c r="N89" s="53"/>
      <c r="O89" s="53"/>
      <c r="P89" s="53"/>
      <c r="Q89" s="53"/>
      <c r="R89" s="53"/>
      <c r="S89" s="53"/>
      <c r="T89" s="53"/>
      <c r="U89" s="53"/>
      <c r="V89" s="53"/>
      <c r="W89" s="53"/>
      <c r="X89" s="53"/>
      <c r="Y89" s="53"/>
      <c r="Z89" s="53"/>
    </row>
    <row r="90" spans="1:26" ht="6.75" customHeight="1">
      <c r="A90" s="54"/>
      <c r="B90" s="54"/>
      <c r="C90" s="54"/>
      <c r="D90" s="55"/>
      <c r="E90" s="53"/>
      <c r="F90" s="53"/>
      <c r="G90" s="53"/>
      <c r="H90" s="53"/>
      <c r="I90" s="53"/>
      <c r="J90" s="53"/>
      <c r="K90" s="53"/>
      <c r="L90" s="53"/>
      <c r="M90" s="53"/>
      <c r="N90" s="53"/>
      <c r="O90" s="53"/>
      <c r="P90" s="53"/>
      <c r="Q90" s="53"/>
      <c r="R90" s="53"/>
      <c r="S90" s="53"/>
      <c r="T90" s="53"/>
      <c r="U90" s="53"/>
      <c r="V90" s="53"/>
      <c r="W90" s="53"/>
      <c r="X90" s="53"/>
      <c r="Y90" s="53"/>
      <c r="Z90" s="53"/>
    </row>
    <row r="91" spans="1:26" ht="48" customHeight="1">
      <c r="A91" s="603" t="s">
        <v>36</v>
      </c>
      <c r="B91" s="595"/>
      <c r="C91" s="595"/>
      <c r="D91" s="596"/>
      <c r="E91" s="53"/>
      <c r="F91" s="53"/>
      <c r="G91" s="53"/>
      <c r="H91" s="53"/>
      <c r="I91" s="53"/>
      <c r="J91" s="53"/>
      <c r="K91" s="53"/>
      <c r="L91" s="53"/>
      <c r="M91" s="53"/>
      <c r="N91" s="53"/>
      <c r="O91" s="53"/>
      <c r="P91" s="53"/>
      <c r="Q91" s="53"/>
      <c r="R91" s="53"/>
      <c r="S91" s="53"/>
      <c r="T91" s="53"/>
      <c r="U91" s="53"/>
      <c r="V91" s="53"/>
      <c r="W91" s="53"/>
      <c r="X91" s="53"/>
      <c r="Y91" s="53"/>
      <c r="Z91" s="53"/>
    </row>
    <row r="92" spans="1:26" ht="6.75" customHeight="1">
      <c r="A92" s="54"/>
      <c r="B92" s="54"/>
      <c r="C92" s="54"/>
      <c r="D92" s="55"/>
      <c r="E92" s="53"/>
      <c r="F92" s="53"/>
      <c r="G92" s="53"/>
      <c r="H92" s="53"/>
      <c r="I92" s="53"/>
      <c r="J92" s="53"/>
      <c r="K92" s="53"/>
      <c r="L92" s="53"/>
      <c r="M92" s="53"/>
      <c r="N92" s="53"/>
      <c r="O92" s="53"/>
      <c r="P92" s="53"/>
      <c r="Q92" s="53"/>
      <c r="R92" s="53"/>
      <c r="S92" s="53"/>
      <c r="T92" s="53"/>
      <c r="U92" s="53"/>
      <c r="V92" s="53"/>
      <c r="W92" s="53"/>
      <c r="X92" s="53"/>
      <c r="Y92" s="53"/>
      <c r="Z92" s="53"/>
    </row>
    <row r="93" spans="1:26" ht="48" customHeight="1">
      <c r="A93" s="603" t="s">
        <v>37</v>
      </c>
      <c r="B93" s="595"/>
      <c r="C93" s="595"/>
      <c r="D93" s="596"/>
      <c r="E93" s="53"/>
      <c r="F93" s="53"/>
      <c r="G93" s="53"/>
      <c r="H93" s="53"/>
      <c r="I93" s="53"/>
      <c r="J93" s="53"/>
      <c r="K93" s="53"/>
      <c r="L93" s="53"/>
      <c r="M93" s="53"/>
      <c r="N93" s="53"/>
      <c r="O93" s="53"/>
      <c r="P93" s="53"/>
      <c r="Q93" s="53"/>
      <c r="R93" s="53"/>
      <c r="S93" s="53"/>
      <c r="T93" s="53"/>
      <c r="U93" s="53"/>
      <c r="V93" s="53"/>
      <c r="W93" s="53"/>
      <c r="X93" s="53"/>
      <c r="Y93" s="53"/>
      <c r="Z93" s="53"/>
    </row>
    <row r="94" spans="1:26" ht="6.75" customHeight="1">
      <c r="A94" s="54"/>
      <c r="B94" s="54"/>
      <c r="C94" s="54"/>
      <c r="D94" s="55"/>
      <c r="E94" s="53"/>
      <c r="F94" s="53"/>
      <c r="G94" s="53"/>
      <c r="H94" s="53"/>
      <c r="I94" s="53"/>
      <c r="J94" s="53"/>
      <c r="K94" s="53"/>
      <c r="L94" s="53"/>
      <c r="M94" s="53"/>
      <c r="N94" s="53"/>
      <c r="O94" s="53"/>
      <c r="P94" s="53"/>
      <c r="Q94" s="53"/>
      <c r="R94" s="53"/>
      <c r="S94" s="53"/>
      <c r="T94" s="53"/>
      <c r="U94" s="53"/>
      <c r="V94" s="53"/>
      <c r="W94" s="53"/>
      <c r="X94" s="53"/>
      <c r="Y94" s="53"/>
      <c r="Z94" s="53"/>
    </row>
    <row r="95" spans="1:26" ht="96" customHeight="1">
      <c r="A95" s="603" t="s">
        <v>63</v>
      </c>
      <c r="B95" s="595"/>
      <c r="C95" s="595"/>
      <c r="D95" s="596"/>
      <c r="E95" s="53"/>
      <c r="F95" s="53"/>
      <c r="G95" s="53"/>
      <c r="H95" s="53"/>
      <c r="I95" s="53"/>
      <c r="J95" s="53"/>
      <c r="K95" s="53"/>
      <c r="L95" s="53"/>
      <c r="M95" s="53"/>
      <c r="N95" s="53"/>
      <c r="O95" s="53"/>
      <c r="P95" s="53"/>
      <c r="Q95" s="53"/>
      <c r="R95" s="53"/>
      <c r="S95" s="53"/>
      <c r="T95" s="53"/>
      <c r="U95" s="53"/>
      <c r="V95" s="53"/>
      <c r="W95" s="53"/>
      <c r="X95" s="53"/>
      <c r="Y95" s="53"/>
      <c r="Z95" s="53"/>
    </row>
    <row r="96" spans="1:26" ht="96" customHeight="1">
      <c r="A96" s="603" t="s">
        <v>64</v>
      </c>
      <c r="B96" s="595"/>
      <c r="C96" s="595"/>
      <c r="D96" s="596"/>
      <c r="E96" s="53"/>
      <c r="F96" s="53"/>
      <c r="G96" s="53"/>
      <c r="H96" s="53"/>
      <c r="I96" s="53"/>
      <c r="J96" s="53"/>
      <c r="K96" s="53"/>
      <c r="L96" s="53"/>
      <c r="M96" s="53"/>
      <c r="N96" s="53"/>
      <c r="O96" s="53"/>
      <c r="P96" s="53"/>
      <c r="Q96" s="53"/>
      <c r="R96" s="53"/>
      <c r="S96" s="53"/>
      <c r="T96" s="53"/>
      <c r="U96" s="53"/>
      <c r="V96" s="53"/>
      <c r="W96" s="53"/>
      <c r="X96" s="53"/>
      <c r="Y96" s="53"/>
      <c r="Z96" s="53"/>
    </row>
    <row r="97" spans="1:26" ht="36" customHeight="1">
      <c r="A97" s="603" t="s">
        <v>38</v>
      </c>
      <c r="B97" s="595"/>
      <c r="C97" s="595"/>
      <c r="D97" s="596"/>
      <c r="E97" s="53"/>
      <c r="F97" s="53"/>
      <c r="G97" s="53"/>
      <c r="H97" s="53"/>
      <c r="I97" s="53"/>
      <c r="J97" s="53"/>
      <c r="K97" s="53"/>
      <c r="L97" s="53"/>
      <c r="M97" s="53"/>
      <c r="N97" s="53"/>
      <c r="O97" s="53"/>
      <c r="P97" s="53"/>
      <c r="Q97" s="53"/>
      <c r="R97" s="53"/>
      <c r="S97" s="53"/>
      <c r="T97" s="53"/>
      <c r="U97" s="53"/>
      <c r="V97" s="53"/>
      <c r="W97" s="53"/>
      <c r="X97" s="53"/>
      <c r="Y97" s="53"/>
      <c r="Z97" s="53"/>
    </row>
    <row r="98" spans="1:26" ht="24" customHeight="1">
      <c r="A98" s="608" t="s">
        <v>65</v>
      </c>
      <c r="B98" s="595"/>
      <c r="C98" s="595"/>
      <c r="D98" s="596"/>
      <c r="E98" s="53"/>
      <c r="F98" s="53"/>
      <c r="G98" s="53"/>
      <c r="H98" s="53"/>
      <c r="I98" s="53"/>
      <c r="J98" s="53"/>
      <c r="K98" s="53"/>
      <c r="L98" s="53"/>
      <c r="M98" s="53"/>
      <c r="N98" s="53"/>
      <c r="O98" s="53"/>
      <c r="P98" s="53"/>
      <c r="Q98" s="53"/>
      <c r="R98" s="53"/>
      <c r="S98" s="53"/>
      <c r="T98" s="53"/>
      <c r="U98" s="53"/>
      <c r="V98" s="53"/>
      <c r="W98" s="53"/>
      <c r="X98" s="53"/>
      <c r="Y98" s="53"/>
      <c r="Z98" s="53"/>
    </row>
    <row r="99" spans="1:26" ht="6.75" customHeight="1">
      <c r="A99" s="74"/>
      <c r="B99" s="74"/>
      <c r="C99" s="74"/>
      <c r="D99" s="75"/>
      <c r="E99" s="53"/>
      <c r="F99" s="53"/>
      <c r="G99" s="53"/>
      <c r="H99" s="53"/>
      <c r="I99" s="53"/>
      <c r="J99" s="53"/>
      <c r="K99" s="53"/>
      <c r="L99" s="53"/>
      <c r="M99" s="53"/>
      <c r="N99" s="53"/>
      <c r="O99" s="53"/>
      <c r="P99" s="53"/>
      <c r="Q99" s="53"/>
      <c r="R99" s="53"/>
      <c r="S99" s="53"/>
      <c r="T99" s="53"/>
      <c r="U99" s="53"/>
      <c r="V99" s="53"/>
      <c r="W99" s="53"/>
      <c r="X99" s="53"/>
      <c r="Y99" s="53"/>
      <c r="Z99" s="53"/>
    </row>
    <row r="100" spans="1:26" ht="15" customHeight="1">
      <c r="A100" s="594" t="s">
        <v>39</v>
      </c>
      <c r="B100" s="595"/>
      <c r="C100" s="595"/>
      <c r="D100" s="596"/>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6.75" customHeight="1">
      <c r="A101" s="59"/>
      <c r="B101" s="60"/>
      <c r="C101" s="60"/>
      <c r="D101" s="61"/>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62" t="s">
        <v>40</v>
      </c>
      <c r="B102" s="63"/>
      <c r="C102" s="64" t="s">
        <v>41</v>
      </c>
      <c r="D102" s="280">
        <f>'Proposed Rates'!J10</f>
        <v>200</v>
      </c>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62" t="s">
        <v>59</v>
      </c>
      <c r="B103" s="63"/>
      <c r="C103" s="64" t="s">
        <v>66</v>
      </c>
      <c r="D103" s="281">
        <f>'Proposed Rates'!J23</f>
        <v>10.9739</v>
      </c>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 customHeight="1">
      <c r="A104" s="62" t="s">
        <v>45</v>
      </c>
      <c r="B104" s="63"/>
      <c r="C104" s="64" t="s">
        <v>66</v>
      </c>
      <c r="D104" s="283">
        <f>'Proposed Rates'!J262</f>
        <v>2.5080000000000002E-2</v>
      </c>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 hidden="1" customHeight="1">
      <c r="A105" s="62" t="s">
        <v>47</v>
      </c>
      <c r="B105" s="63"/>
      <c r="C105" s="64" t="s">
        <v>66</v>
      </c>
      <c r="D105" s="281">
        <f>'Proposed Rates'!J39</f>
        <v>0</v>
      </c>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 hidden="1" customHeight="1">
      <c r="A106" s="62" t="s">
        <v>43</v>
      </c>
      <c r="B106" s="63"/>
      <c r="C106" s="64" t="s">
        <v>66</v>
      </c>
      <c r="D106" s="281">
        <f>'Proposed Rates'!J66</f>
        <v>0</v>
      </c>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 hidden="1" customHeight="1">
      <c r="A107" s="62" t="s">
        <v>42</v>
      </c>
      <c r="B107" s="63"/>
      <c r="C107" s="64" t="s">
        <v>66</v>
      </c>
      <c r="D107" s="281">
        <f>'Proposed Rates'!J92</f>
        <v>0</v>
      </c>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 hidden="1" customHeight="1">
      <c r="A108" s="62" t="s">
        <v>48</v>
      </c>
      <c r="B108" s="63"/>
      <c r="C108" s="64" t="s">
        <v>46</v>
      </c>
      <c r="D108" s="281">
        <f>'Proposed Rates'!J145</f>
        <v>0</v>
      </c>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 hidden="1" customHeight="1">
      <c r="A109" s="62" t="s">
        <v>67</v>
      </c>
      <c r="B109" s="63"/>
      <c r="C109" s="64" t="s">
        <v>46</v>
      </c>
      <c r="D109" s="281">
        <f>'Proposed Rates'!J158</f>
        <v>0</v>
      </c>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62" t="s">
        <v>49</v>
      </c>
      <c r="B110" s="63"/>
      <c r="C110" s="64" t="s">
        <v>66</v>
      </c>
      <c r="D110" s="281">
        <f>'Proposed Rates'!J185</f>
        <v>4.5787000000000004</v>
      </c>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62" t="s">
        <v>50</v>
      </c>
      <c r="B111" s="63"/>
      <c r="C111" s="64" t="s">
        <v>66</v>
      </c>
      <c r="D111" s="281">
        <f>'Proposed Rates'!J198</f>
        <v>2.5918000000000001</v>
      </c>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3" customHeight="1">
      <c r="A112" s="64"/>
      <c r="B112" s="64"/>
      <c r="C112" s="64"/>
      <c r="D112" s="284"/>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1.25" customHeight="1">
      <c r="A113" s="70" t="s">
        <v>51</v>
      </c>
      <c r="B113" s="63"/>
      <c r="C113" s="64"/>
      <c r="D113" s="284"/>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4.5" customHeight="1">
      <c r="A114" s="59"/>
      <c r="B114" s="64"/>
      <c r="C114" s="64"/>
      <c r="D114" s="284"/>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62" t="s">
        <v>52</v>
      </c>
      <c r="B115" s="63"/>
      <c r="C115" s="64" t="s">
        <v>46</v>
      </c>
      <c r="D115" s="281">
        <f>$D$34</f>
        <v>4.1000000000000003E-3</v>
      </c>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62" t="s">
        <v>53</v>
      </c>
      <c r="B116" s="63"/>
      <c r="C116" s="64" t="s">
        <v>46</v>
      </c>
      <c r="D116" s="281">
        <f>'Proposed Rates'!J211-'2026'!D114</f>
        <v>3.9999999999999931E-4</v>
      </c>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62" t="s">
        <v>54</v>
      </c>
      <c r="B117" s="63"/>
      <c r="C117" s="64" t="s">
        <v>46</v>
      </c>
      <c r="D117" s="281">
        <f>'Proposed Rates'!J224</f>
        <v>1.5E-3</v>
      </c>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62" t="s">
        <v>55</v>
      </c>
      <c r="B118" s="63"/>
      <c r="C118" s="64" t="s">
        <v>41</v>
      </c>
      <c r="D118" s="281">
        <f>'Proposed Rates'!J238</f>
        <v>1.63</v>
      </c>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3.75" customHeight="1">
      <c r="A119" s="85"/>
      <c r="B119" s="63"/>
      <c r="C119" s="64"/>
      <c r="D119" s="69"/>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24" customHeight="1">
      <c r="A120" s="597" t="str">
        <f>$A$1</f>
        <v>Hydro Ottawa Limited</v>
      </c>
      <c r="B120" s="595"/>
      <c r="C120" s="595"/>
      <c r="D120" s="596"/>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98" t="str">
        <f>$A$2</f>
        <v>PROPOSED - TARIFF OF RATES AND CHARGES</v>
      </c>
      <c r="B121" s="595"/>
      <c r="C121" s="595"/>
      <c r="D121" s="596"/>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99" t="str">
        <f>$A$3</f>
        <v>Effective and Implementation Date January 1, 2030</v>
      </c>
      <c r="B122" s="595"/>
      <c r="C122" s="595"/>
      <c r="D122" s="596"/>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 customHeight="1">
      <c r="A123" s="600" t="str">
        <f>$A$4</f>
        <v>This schedule supersedes and replaces all previously</v>
      </c>
      <c r="B123" s="595"/>
      <c r="C123" s="595"/>
      <c r="D123" s="596"/>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1.25" customHeight="1">
      <c r="A124" s="600" t="str">
        <f>$A$5</f>
        <v>approved schedules of Rates, Charges and Loss Factors</v>
      </c>
      <c r="B124" s="595"/>
      <c r="C124" s="595"/>
      <c r="D124" s="596"/>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1.25" customHeight="1">
      <c r="A125" s="601" t="str">
        <f>$A$6</f>
        <v>EB-2024-0115</v>
      </c>
      <c r="B125" s="595"/>
      <c r="C125" s="595"/>
      <c r="D125" s="596"/>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8.75" customHeight="1">
      <c r="A126" s="602" t="s">
        <v>68</v>
      </c>
      <c r="B126" s="595"/>
      <c r="C126" s="595"/>
      <c r="D126" s="596"/>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48" customHeight="1">
      <c r="A127" s="603" t="s">
        <v>69</v>
      </c>
      <c r="B127" s="595"/>
      <c r="C127" s="595"/>
      <c r="D127" s="596"/>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6.75" customHeight="1">
      <c r="A128" s="54"/>
      <c r="B128" s="54"/>
      <c r="C128" s="54"/>
      <c r="D128" s="55"/>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1.25" customHeight="1">
      <c r="A129" s="604" t="s">
        <v>34</v>
      </c>
      <c r="B129" s="595"/>
      <c r="C129" s="595"/>
      <c r="D129" s="596"/>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6.75" customHeight="1">
      <c r="A130" s="56"/>
      <c r="B130" s="57"/>
      <c r="C130" s="57"/>
      <c r="D130" s="58"/>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36" customHeight="1">
      <c r="A131" s="603" t="s">
        <v>35</v>
      </c>
      <c r="B131" s="595"/>
      <c r="C131" s="595"/>
      <c r="D131" s="596"/>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6.75" customHeight="1">
      <c r="A132" s="54"/>
      <c r="B132" s="54"/>
      <c r="C132" s="54"/>
      <c r="D132" s="55"/>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48" customHeight="1">
      <c r="A133" s="603" t="s">
        <v>70</v>
      </c>
      <c r="B133" s="595"/>
      <c r="C133" s="595"/>
      <c r="D133" s="596"/>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6.75" customHeight="1">
      <c r="A134" s="54"/>
      <c r="B134" s="54"/>
      <c r="C134" s="54"/>
      <c r="D134" s="55"/>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48" customHeight="1">
      <c r="A135" s="603" t="s">
        <v>37</v>
      </c>
      <c r="B135" s="595"/>
      <c r="C135" s="595"/>
      <c r="D135" s="596"/>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6.75" customHeight="1">
      <c r="A136" s="54"/>
      <c r="B136" s="54"/>
      <c r="C136" s="54"/>
      <c r="D136" s="55"/>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96" customHeight="1">
      <c r="A137" s="603" t="s">
        <v>63</v>
      </c>
      <c r="B137" s="595"/>
      <c r="C137" s="595"/>
      <c r="D137" s="596"/>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96" customHeight="1">
      <c r="A138" s="603" t="s">
        <v>64</v>
      </c>
      <c r="B138" s="595"/>
      <c r="C138" s="595"/>
      <c r="D138" s="596"/>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36" customHeight="1">
      <c r="A139" s="603" t="s">
        <v>38</v>
      </c>
      <c r="B139" s="595"/>
      <c r="C139" s="595"/>
      <c r="D139" s="596"/>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24" customHeight="1">
      <c r="A140" s="608" t="s">
        <v>65</v>
      </c>
      <c r="B140" s="595"/>
      <c r="C140" s="595"/>
      <c r="D140" s="596"/>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6.75" customHeight="1">
      <c r="A141" s="74"/>
      <c r="B141" s="74"/>
      <c r="C141" s="74"/>
      <c r="D141" s="75"/>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 customHeight="1">
      <c r="A142" s="594" t="s">
        <v>39</v>
      </c>
      <c r="B142" s="595"/>
      <c r="C142" s="595"/>
      <c r="D142" s="596"/>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6.75" customHeight="1">
      <c r="A143" s="59"/>
      <c r="B143" s="60"/>
      <c r="C143" s="60"/>
      <c r="D143" s="61"/>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0.5" customHeight="1">
      <c r="A144" s="62" t="s">
        <v>40</v>
      </c>
      <c r="B144" s="63"/>
      <c r="C144" s="64" t="s">
        <v>41</v>
      </c>
      <c r="D144" s="280">
        <f>'Proposed Rates'!J11</f>
        <v>4126.75</v>
      </c>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0.5" customHeight="1">
      <c r="A145" s="62" t="s">
        <v>59</v>
      </c>
      <c r="B145" s="63"/>
      <c r="C145" s="64" t="s">
        <v>66</v>
      </c>
      <c r="D145" s="281">
        <f>'Proposed Rates'!J24</f>
        <v>10.843</v>
      </c>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0.5" customHeight="1">
      <c r="A146" s="62" t="s">
        <v>45</v>
      </c>
      <c r="B146" s="63"/>
      <c r="C146" s="64" t="s">
        <v>66</v>
      </c>
      <c r="D146" s="283">
        <f>'Proposed Rates'!J263</f>
        <v>2.4879999999999999E-2</v>
      </c>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0.5" hidden="1" customHeight="1">
      <c r="A147" s="62" t="s">
        <v>47</v>
      </c>
      <c r="B147" s="63"/>
      <c r="C147" s="64" t="s">
        <v>66</v>
      </c>
      <c r="D147" s="281">
        <f>'Proposed Rates'!J40</f>
        <v>0</v>
      </c>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0.5" hidden="1" customHeight="1">
      <c r="A148" s="62" t="s">
        <v>43</v>
      </c>
      <c r="B148" s="63"/>
      <c r="C148" s="64" t="s">
        <v>66</v>
      </c>
      <c r="D148" s="281">
        <f>'Proposed Rates'!J67</f>
        <v>0</v>
      </c>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0.5" hidden="1" customHeight="1">
      <c r="A149" s="62" t="s">
        <v>42</v>
      </c>
      <c r="B149" s="63"/>
      <c r="C149" s="64" t="s">
        <v>66</v>
      </c>
      <c r="D149" s="281">
        <f>'Proposed Rates'!J93</f>
        <v>0</v>
      </c>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0.5" hidden="1" customHeight="1">
      <c r="A150" s="62" t="s">
        <v>48</v>
      </c>
      <c r="B150" s="63"/>
      <c r="C150" s="64" t="s">
        <v>46</v>
      </c>
      <c r="D150" s="281">
        <f>'Proposed Rates'!J145</f>
        <v>0</v>
      </c>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0.5" hidden="1" customHeight="1">
      <c r="A151" s="62" t="s">
        <v>67</v>
      </c>
      <c r="B151" s="63"/>
      <c r="C151" s="64" t="s">
        <v>46</v>
      </c>
      <c r="D151" s="281">
        <f>'Proposed Rates'!J159</f>
        <v>0</v>
      </c>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0.5" customHeight="1">
      <c r="A152" s="62" t="s">
        <v>49</v>
      </c>
      <c r="B152" s="63"/>
      <c r="C152" s="64" t="s">
        <v>66</v>
      </c>
      <c r="D152" s="281">
        <f>'Proposed Rates'!J186</f>
        <v>4.5423999999999998</v>
      </c>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0.5" customHeight="1">
      <c r="A153" s="62" t="s">
        <v>50</v>
      </c>
      <c r="B153" s="63"/>
      <c r="C153" s="64" t="s">
        <v>66</v>
      </c>
      <c r="D153" s="281">
        <f>'Proposed Rates'!J199</f>
        <v>2.5712000000000002</v>
      </c>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4.5" customHeight="1">
      <c r="A154" s="64"/>
      <c r="B154" s="64"/>
      <c r="C154" s="64"/>
      <c r="D154" s="284"/>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1.25" customHeight="1">
      <c r="A155" s="70" t="s">
        <v>51</v>
      </c>
      <c r="B155" s="63"/>
      <c r="C155" s="64"/>
      <c r="D155" s="284"/>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4.5" customHeight="1">
      <c r="A156" s="59"/>
      <c r="B156" s="64"/>
      <c r="C156" s="64"/>
      <c r="D156" s="284"/>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0.5" customHeight="1">
      <c r="A157" s="62" t="s">
        <v>52</v>
      </c>
      <c r="B157" s="63"/>
      <c r="C157" s="64" t="s">
        <v>46</v>
      </c>
      <c r="D157" s="281">
        <f>$D$34</f>
        <v>4.1000000000000003E-3</v>
      </c>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0.5" customHeight="1">
      <c r="A158" s="62" t="s">
        <v>53</v>
      </c>
      <c r="B158" s="63"/>
      <c r="C158" s="64" t="s">
        <v>46</v>
      </c>
      <c r="D158" s="281">
        <f>'Proposed Rates'!J212-'2026'!D155</f>
        <v>3.9999999999999931E-4</v>
      </c>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0.5" customHeight="1">
      <c r="A159" s="62" t="s">
        <v>54</v>
      </c>
      <c r="B159" s="63"/>
      <c r="C159" s="64" t="s">
        <v>46</v>
      </c>
      <c r="D159" s="281">
        <f>'Proposed Rates'!J225</f>
        <v>1.5E-3</v>
      </c>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0.5" customHeight="1">
      <c r="A160" s="62" t="s">
        <v>55</v>
      </c>
      <c r="B160" s="63"/>
      <c r="C160" s="64" t="s">
        <v>41</v>
      </c>
      <c r="D160" s="281">
        <f>'Proposed Rates'!J239</f>
        <v>1.63</v>
      </c>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1.25" customHeight="1">
      <c r="A161" s="85"/>
      <c r="B161" s="63"/>
      <c r="C161" s="64"/>
      <c r="D161" s="69"/>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24" customHeight="1">
      <c r="A162" s="597" t="str">
        <f>$A$1</f>
        <v>Hydro Ottawa Limited</v>
      </c>
      <c r="B162" s="595"/>
      <c r="C162" s="595"/>
      <c r="D162" s="596"/>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98" t="str">
        <f>$A$2</f>
        <v>PROPOSED - TARIFF OF RATES AND CHARGES</v>
      </c>
      <c r="B163" s="595"/>
      <c r="C163" s="595"/>
      <c r="D163" s="596"/>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99" t="str">
        <f>$A$3</f>
        <v>Effective and Implementation Date January 1, 2030</v>
      </c>
      <c r="B164" s="595"/>
      <c r="C164" s="595"/>
      <c r="D164" s="596"/>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 customHeight="1">
      <c r="A165" s="600" t="str">
        <f>$A$4</f>
        <v>This schedule supersedes and replaces all previously</v>
      </c>
      <c r="B165" s="595"/>
      <c r="C165" s="595"/>
      <c r="D165" s="596"/>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1.25" customHeight="1">
      <c r="A166" s="600" t="str">
        <f>$A$5</f>
        <v>approved schedules of Rates, Charges and Loss Factors</v>
      </c>
      <c r="B166" s="595"/>
      <c r="C166" s="595"/>
      <c r="D166" s="596"/>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1.25" customHeight="1">
      <c r="A167" s="601" t="str">
        <f>$A$6</f>
        <v>EB-2024-0115</v>
      </c>
      <c r="B167" s="595"/>
      <c r="C167" s="595"/>
      <c r="D167" s="596"/>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8" customHeight="1">
      <c r="A168" s="602" t="s">
        <v>71</v>
      </c>
      <c r="B168" s="595"/>
      <c r="C168" s="595"/>
      <c r="D168" s="596"/>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48" customHeight="1">
      <c r="A169" s="603" t="s">
        <v>72</v>
      </c>
      <c r="B169" s="595"/>
      <c r="C169" s="595"/>
      <c r="D169" s="596"/>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6.75" customHeight="1">
      <c r="A170" s="54"/>
      <c r="B170" s="54"/>
      <c r="C170" s="54"/>
      <c r="D170" s="55"/>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1.25" customHeight="1">
      <c r="A171" s="604" t="s">
        <v>34</v>
      </c>
      <c r="B171" s="595"/>
      <c r="C171" s="595"/>
      <c r="D171" s="596"/>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6.75" customHeight="1">
      <c r="A172" s="56"/>
      <c r="B172" s="57"/>
      <c r="C172" s="57"/>
      <c r="D172" s="58"/>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36" customHeight="1">
      <c r="A173" s="603" t="s">
        <v>35</v>
      </c>
      <c r="B173" s="595"/>
      <c r="C173" s="595"/>
      <c r="D173" s="596"/>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6.75" customHeight="1">
      <c r="A174" s="54"/>
      <c r="B174" s="54"/>
      <c r="C174" s="54"/>
      <c r="D174" s="55"/>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48" customHeight="1">
      <c r="A175" s="603" t="s">
        <v>73</v>
      </c>
      <c r="B175" s="595"/>
      <c r="C175" s="595"/>
      <c r="D175" s="596"/>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6.75" customHeight="1">
      <c r="A176" s="54"/>
      <c r="B176" s="54"/>
      <c r="C176" s="54"/>
      <c r="D176" s="55"/>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48" customHeight="1">
      <c r="A177" s="603" t="s">
        <v>37</v>
      </c>
      <c r="B177" s="595"/>
      <c r="C177" s="595"/>
      <c r="D177" s="596"/>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6.75" customHeight="1">
      <c r="A178" s="54"/>
      <c r="B178" s="54"/>
      <c r="C178" s="54"/>
      <c r="D178" s="55"/>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96" customHeight="1">
      <c r="A179" s="603" t="s">
        <v>63</v>
      </c>
      <c r="B179" s="595"/>
      <c r="C179" s="595"/>
      <c r="D179" s="596"/>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96" customHeight="1">
      <c r="A180" s="603" t="s">
        <v>64</v>
      </c>
      <c r="B180" s="595"/>
      <c r="C180" s="595"/>
      <c r="D180" s="596"/>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36" customHeight="1">
      <c r="A181" s="603" t="s">
        <v>38</v>
      </c>
      <c r="B181" s="595"/>
      <c r="C181" s="595"/>
      <c r="D181" s="596"/>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24" customHeight="1">
      <c r="A182" s="608" t="s">
        <v>65</v>
      </c>
      <c r="B182" s="595"/>
      <c r="C182" s="595"/>
      <c r="D182" s="596"/>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6.75" customHeight="1">
      <c r="A183" s="74"/>
      <c r="B183" s="74"/>
      <c r="C183" s="74"/>
      <c r="D183" s="75"/>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 customHeight="1">
      <c r="A184" s="594" t="s">
        <v>39</v>
      </c>
      <c r="B184" s="595"/>
      <c r="C184" s="595"/>
      <c r="D184" s="596"/>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6.75" customHeight="1">
      <c r="A185" s="59"/>
      <c r="B185" s="60"/>
      <c r="C185" s="60"/>
      <c r="D185" s="61"/>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0.5" customHeight="1">
      <c r="A186" s="62" t="s">
        <v>40</v>
      </c>
      <c r="B186" s="63"/>
      <c r="C186" s="64" t="s">
        <v>41</v>
      </c>
      <c r="D186" s="280">
        <f>'Proposed Rates'!J12</f>
        <v>14946.93</v>
      </c>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0.5" customHeight="1">
      <c r="A187" s="62" t="s">
        <v>59</v>
      </c>
      <c r="B187" s="63"/>
      <c r="C187" s="64" t="s">
        <v>66</v>
      </c>
      <c r="D187" s="281">
        <f>'Proposed Rates'!J25</f>
        <v>11.3901</v>
      </c>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0.5" customHeight="1">
      <c r="A188" s="62" t="s">
        <v>45</v>
      </c>
      <c r="B188" s="63"/>
      <c r="C188" s="64" t="s">
        <v>66</v>
      </c>
      <c r="D188" s="283">
        <f>'Proposed Rates'!J264</f>
        <v>2.9219999999999999E-2</v>
      </c>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0.5" hidden="1" customHeight="1">
      <c r="A189" s="62" t="s">
        <v>47</v>
      </c>
      <c r="B189" s="63"/>
      <c r="C189" s="64" t="s">
        <v>66</v>
      </c>
      <c r="D189" s="281">
        <f>'Proposed Rates'!J41</f>
        <v>0</v>
      </c>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0.5" hidden="1" customHeight="1">
      <c r="A190" s="62" t="s">
        <v>43</v>
      </c>
      <c r="B190" s="63"/>
      <c r="C190" s="64" t="s">
        <v>66</v>
      </c>
      <c r="D190" s="281">
        <f>'Proposed Rates'!J68</f>
        <v>0</v>
      </c>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0.5" hidden="1" customHeight="1">
      <c r="A191" s="62" t="s">
        <v>42</v>
      </c>
      <c r="B191" s="63"/>
      <c r="C191" s="64" t="s">
        <v>66</v>
      </c>
      <c r="D191" s="281">
        <f>'Proposed Rates'!J94</f>
        <v>0</v>
      </c>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0.5" hidden="1" customHeight="1">
      <c r="A192" s="62" t="s">
        <v>48</v>
      </c>
      <c r="B192" s="63"/>
      <c r="C192" s="64" t="s">
        <v>46</v>
      </c>
      <c r="D192" s="281">
        <f>'Proposed Rates'!J146</f>
        <v>0</v>
      </c>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0.5" customHeight="1">
      <c r="A193" s="62" t="s">
        <v>49</v>
      </c>
      <c r="B193" s="63"/>
      <c r="C193" s="64" t="s">
        <v>66</v>
      </c>
      <c r="D193" s="281">
        <f>'Proposed Rates'!J187</f>
        <v>5.3339999999999996</v>
      </c>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0.5" customHeight="1">
      <c r="A194" s="62" t="s">
        <v>50</v>
      </c>
      <c r="B194" s="63"/>
      <c r="C194" s="64" t="s">
        <v>66</v>
      </c>
      <c r="D194" s="281">
        <f>'Proposed Rates'!J200</f>
        <v>3.0192999999999999</v>
      </c>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3.75" customHeight="1">
      <c r="A195" s="64"/>
      <c r="B195" s="64"/>
      <c r="C195" s="64"/>
      <c r="D195" s="284"/>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1.25" customHeight="1">
      <c r="A196" s="70" t="s">
        <v>51</v>
      </c>
      <c r="B196" s="63"/>
      <c r="C196" s="64"/>
      <c r="D196" s="284"/>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3.75" customHeight="1">
      <c r="A197" s="59"/>
      <c r="B197" s="64"/>
      <c r="C197" s="64"/>
      <c r="D197" s="284"/>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0.5" customHeight="1">
      <c r="A198" s="62" t="s">
        <v>52</v>
      </c>
      <c r="B198" s="63"/>
      <c r="C198" s="64" t="s">
        <v>46</v>
      </c>
      <c r="D198" s="281">
        <f>$D$34</f>
        <v>4.1000000000000003E-3</v>
      </c>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0.5" customHeight="1">
      <c r="A199" s="62" t="s">
        <v>53</v>
      </c>
      <c r="B199" s="63"/>
      <c r="C199" s="64" t="s">
        <v>46</v>
      </c>
      <c r="D199" s="281">
        <f>'Proposed Rates'!J213-'2026'!H196</f>
        <v>4.4999999999999997E-3</v>
      </c>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0.5" customHeight="1">
      <c r="A200" s="62" t="s">
        <v>54</v>
      </c>
      <c r="B200" s="63"/>
      <c r="C200" s="64" t="s">
        <v>46</v>
      </c>
      <c r="D200" s="281">
        <f>'Proposed Rates'!J226</f>
        <v>1.5E-3</v>
      </c>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0.5" customHeight="1">
      <c r="A201" s="62" t="s">
        <v>55</v>
      </c>
      <c r="B201" s="63"/>
      <c r="C201" s="64" t="s">
        <v>41</v>
      </c>
      <c r="D201" s="281">
        <f>'Proposed Rates'!J240</f>
        <v>1.63</v>
      </c>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5.25" customHeight="1">
      <c r="A202" s="85"/>
      <c r="B202" s="63"/>
      <c r="C202" s="64"/>
      <c r="D202" s="69"/>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24" customHeight="1">
      <c r="A203" s="597" t="str">
        <f>$A$1</f>
        <v>Hydro Ottawa Limited</v>
      </c>
      <c r="B203" s="595"/>
      <c r="C203" s="595"/>
      <c r="D203" s="596"/>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98" t="str">
        <f>$A$2</f>
        <v>PROPOSED - TARIFF OF RATES AND CHARGES</v>
      </c>
      <c r="B204" s="595"/>
      <c r="C204" s="595"/>
      <c r="D204" s="596"/>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99" t="str">
        <f>$A$3</f>
        <v>Effective and Implementation Date January 1, 2030</v>
      </c>
      <c r="B205" s="595"/>
      <c r="C205" s="595"/>
      <c r="D205" s="596"/>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 customHeight="1">
      <c r="A206" s="600" t="str">
        <f>$A$4</f>
        <v>This schedule supersedes and replaces all previously</v>
      </c>
      <c r="B206" s="595"/>
      <c r="C206" s="595"/>
      <c r="D206" s="596"/>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1.25" customHeight="1">
      <c r="A207" s="600" t="str">
        <f>$A$5</f>
        <v>approved schedules of Rates, Charges and Loss Factors</v>
      </c>
      <c r="B207" s="595"/>
      <c r="C207" s="595"/>
      <c r="D207" s="596"/>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1.25" customHeight="1">
      <c r="A208" s="601" t="str">
        <f>$A$6</f>
        <v>EB-2024-0115</v>
      </c>
      <c r="B208" s="595"/>
      <c r="C208" s="595"/>
      <c r="D208" s="596"/>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8.75" customHeight="1">
      <c r="A209" s="602" t="s">
        <v>74</v>
      </c>
      <c r="B209" s="595"/>
      <c r="C209" s="595"/>
      <c r="D209" s="596"/>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84" customHeight="1">
      <c r="A210" s="603" t="s">
        <v>75</v>
      </c>
      <c r="B210" s="595"/>
      <c r="C210" s="595"/>
      <c r="D210" s="596"/>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6.75" customHeight="1">
      <c r="A211" s="54"/>
      <c r="B211" s="54"/>
      <c r="C211" s="54"/>
      <c r="D211" s="55"/>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1.25" customHeight="1">
      <c r="A212" s="604" t="s">
        <v>34</v>
      </c>
      <c r="B212" s="595"/>
      <c r="C212" s="595"/>
      <c r="D212" s="596"/>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6.75" customHeight="1">
      <c r="A213" s="56"/>
      <c r="B213" s="57"/>
      <c r="C213" s="57"/>
      <c r="D213" s="58"/>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36" customHeight="1">
      <c r="A214" s="603" t="s">
        <v>35</v>
      </c>
      <c r="B214" s="595"/>
      <c r="C214" s="595"/>
      <c r="D214" s="596"/>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6.75" customHeight="1">
      <c r="A215" s="54"/>
      <c r="B215" s="54"/>
      <c r="C215" s="54"/>
      <c r="D215" s="55"/>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48" customHeight="1">
      <c r="A216" s="603" t="s">
        <v>36</v>
      </c>
      <c r="B216" s="595"/>
      <c r="C216" s="595"/>
      <c r="D216" s="596"/>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6.75" customHeight="1">
      <c r="A217" s="54"/>
      <c r="B217" s="54"/>
      <c r="C217" s="54"/>
      <c r="D217" s="55"/>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48" customHeight="1">
      <c r="A218" s="603" t="s">
        <v>37</v>
      </c>
      <c r="B218" s="595"/>
      <c r="C218" s="595"/>
      <c r="D218" s="596"/>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6.75" customHeight="1">
      <c r="A219" s="54"/>
      <c r="B219" s="54"/>
      <c r="C219" s="54"/>
      <c r="D219" s="55"/>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36" customHeight="1">
      <c r="A220" s="603" t="s">
        <v>38</v>
      </c>
      <c r="B220" s="595"/>
      <c r="C220" s="595"/>
      <c r="D220" s="596"/>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6.75" customHeight="1">
      <c r="A221" s="54"/>
      <c r="B221" s="54"/>
      <c r="C221" s="54"/>
      <c r="D221" s="55"/>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 customHeight="1">
      <c r="A222" s="70" t="s">
        <v>39</v>
      </c>
      <c r="B222" s="63"/>
      <c r="C222" s="63"/>
      <c r="D222" s="6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6.75" customHeight="1">
      <c r="A223" s="59"/>
      <c r="B223" s="60"/>
      <c r="C223" s="60"/>
      <c r="D223" s="61"/>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0.5" customHeight="1">
      <c r="A224" s="62" t="s">
        <v>76</v>
      </c>
      <c r="B224" s="63"/>
      <c r="C224" s="64" t="s">
        <v>41</v>
      </c>
      <c r="D224" s="280">
        <f>'Proposed Rates'!J15</f>
        <v>10.55</v>
      </c>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0.5" customHeight="1">
      <c r="A225" s="62" t="s">
        <v>59</v>
      </c>
      <c r="B225" s="63"/>
      <c r="C225" s="64" t="s">
        <v>46</v>
      </c>
      <c r="D225" s="281">
        <f>'Proposed Rates'!J28</f>
        <v>5.0500000000000003E-2</v>
      </c>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0.5" customHeight="1">
      <c r="A226" s="62" t="s">
        <v>45</v>
      </c>
      <c r="B226" s="63"/>
      <c r="C226" s="64" t="s">
        <v>46</v>
      </c>
      <c r="D226" s="283">
        <f>'Proposed Rates'!J267</f>
        <v>4.0000000000000003E-5</v>
      </c>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0.5" hidden="1" customHeight="1">
      <c r="A227" s="62" t="s">
        <v>47</v>
      </c>
      <c r="B227" s="63"/>
      <c r="C227" s="64" t="s">
        <v>46</v>
      </c>
      <c r="D227" s="281">
        <f>'Proposed Rates'!J44</f>
        <v>0</v>
      </c>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0.5" hidden="1" customHeight="1">
      <c r="A228" s="62" t="s">
        <v>43</v>
      </c>
      <c r="B228" s="63"/>
      <c r="C228" s="64" t="s">
        <v>46</v>
      </c>
      <c r="D228" s="281">
        <f>'Proposed Rates'!J71</f>
        <v>0</v>
      </c>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0.5" hidden="1" customHeight="1">
      <c r="A229" s="62" t="s">
        <v>42</v>
      </c>
      <c r="B229" s="63"/>
      <c r="C229" s="64" t="s">
        <v>46</v>
      </c>
      <c r="D229" s="281">
        <f>'Proposed Rates'!J97</f>
        <v>0</v>
      </c>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0.5" customHeight="1">
      <c r="A230" s="62" t="s">
        <v>49</v>
      </c>
      <c r="B230" s="63"/>
      <c r="C230" s="64" t="s">
        <v>46</v>
      </c>
      <c r="D230" s="281">
        <f>'Proposed Rates'!J190</f>
        <v>7.4999999999999997E-3</v>
      </c>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0.5" customHeight="1">
      <c r="A231" s="62" t="s">
        <v>50</v>
      </c>
      <c r="B231" s="63"/>
      <c r="C231" s="64" t="s">
        <v>46</v>
      </c>
      <c r="D231" s="281">
        <f>'Proposed Rates'!J203</f>
        <v>4.3E-3</v>
      </c>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3.75" customHeight="1">
      <c r="A232" s="64"/>
      <c r="B232" s="64"/>
      <c r="C232" s="64"/>
      <c r="D232" s="284"/>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70" t="s">
        <v>51</v>
      </c>
      <c r="B233" s="63"/>
      <c r="C233" s="64"/>
      <c r="D233" s="284"/>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4.5" customHeight="1">
      <c r="A234" s="59"/>
      <c r="B234" s="64"/>
      <c r="C234" s="64"/>
      <c r="D234" s="284"/>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0.5" customHeight="1">
      <c r="A235" s="62" t="s">
        <v>52</v>
      </c>
      <c r="B235" s="63"/>
      <c r="C235" s="64" t="s">
        <v>46</v>
      </c>
      <c r="D235" s="281">
        <f>$D$34</f>
        <v>4.1000000000000003E-3</v>
      </c>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0.5" customHeight="1">
      <c r="A236" s="62" t="s">
        <v>53</v>
      </c>
      <c r="B236" s="63"/>
      <c r="C236" s="64" t="s">
        <v>46</v>
      </c>
      <c r="D236" s="281">
        <f>'Proposed Rates'!J216-'2026'!D233</f>
        <v>3.9999999999999931E-4</v>
      </c>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0.5" customHeight="1">
      <c r="A237" s="62" t="s">
        <v>54</v>
      </c>
      <c r="B237" s="63"/>
      <c r="C237" s="64" t="s">
        <v>46</v>
      </c>
      <c r="D237" s="281">
        <f>'Proposed Rates'!J229</f>
        <v>1.5E-3</v>
      </c>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0.5" customHeight="1">
      <c r="A238" s="62" t="s">
        <v>55</v>
      </c>
      <c r="B238" s="63"/>
      <c r="C238" s="64" t="s">
        <v>41</v>
      </c>
      <c r="D238" s="281">
        <f>'Proposed Rates'!J243</f>
        <v>1.63</v>
      </c>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3.75" customHeight="1">
      <c r="A239" s="85"/>
      <c r="B239" s="63"/>
      <c r="C239" s="64"/>
      <c r="D239" s="69"/>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24" customHeight="1">
      <c r="A240" s="597" t="str">
        <f>$A$1</f>
        <v>Hydro Ottawa Limited</v>
      </c>
      <c r="B240" s="595"/>
      <c r="C240" s="595"/>
      <c r="D240" s="596"/>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98" t="str">
        <f>$A$2</f>
        <v>PROPOSED - TARIFF OF RATES AND CHARGES</v>
      </c>
      <c r="B241" s="595"/>
      <c r="C241" s="595"/>
      <c r="D241" s="596"/>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99" t="str">
        <f>$A$3</f>
        <v>Effective and Implementation Date January 1, 2030</v>
      </c>
      <c r="B242" s="595"/>
      <c r="C242" s="595"/>
      <c r="D242" s="596"/>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 customHeight="1">
      <c r="A243" s="600" t="str">
        <f>$A$4</f>
        <v>This schedule supersedes and replaces all previously</v>
      </c>
      <c r="B243" s="595"/>
      <c r="C243" s="595"/>
      <c r="D243" s="596"/>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1.25" customHeight="1">
      <c r="A244" s="600" t="str">
        <f>$A$5</f>
        <v>approved schedules of Rates, Charges and Loss Factors</v>
      </c>
      <c r="B244" s="595"/>
      <c r="C244" s="595"/>
      <c r="D244" s="596"/>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1.25" customHeight="1">
      <c r="A245" s="601" t="str">
        <f>$A$6</f>
        <v>EB-2024-0115</v>
      </c>
      <c r="B245" s="595"/>
      <c r="C245" s="595"/>
      <c r="D245" s="596"/>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8.75" customHeight="1">
      <c r="A246" s="602" t="s">
        <v>77</v>
      </c>
      <c r="B246" s="595"/>
      <c r="C246" s="595"/>
      <c r="D246" s="596"/>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36" customHeight="1">
      <c r="A247" s="603" t="s">
        <v>78</v>
      </c>
      <c r="B247" s="595"/>
      <c r="C247" s="595"/>
      <c r="D247" s="596"/>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6.75" customHeight="1">
      <c r="A248" s="54"/>
      <c r="B248" s="54"/>
      <c r="C248" s="54"/>
      <c r="D248" s="55"/>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1.25" customHeight="1">
      <c r="A249" s="604" t="s">
        <v>34</v>
      </c>
      <c r="B249" s="595"/>
      <c r="C249" s="595"/>
      <c r="D249" s="596"/>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6.75" customHeight="1">
      <c r="A250" s="56"/>
      <c r="B250" s="57"/>
      <c r="C250" s="57"/>
      <c r="D250" s="58"/>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36" customHeight="1">
      <c r="A251" s="603" t="s">
        <v>35</v>
      </c>
      <c r="B251" s="595"/>
      <c r="C251" s="595"/>
      <c r="D251" s="596"/>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6.75" customHeight="1">
      <c r="A252" s="54"/>
      <c r="B252" s="54"/>
      <c r="C252" s="54"/>
      <c r="D252" s="55"/>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48" customHeight="1">
      <c r="A253" s="603" t="s">
        <v>36</v>
      </c>
      <c r="B253" s="595"/>
      <c r="C253" s="595"/>
      <c r="D253" s="596"/>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6.75" customHeight="1">
      <c r="A254" s="54"/>
      <c r="B254" s="54"/>
      <c r="C254" s="54"/>
      <c r="D254" s="55"/>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24" customHeight="1">
      <c r="A255" s="603" t="s">
        <v>79</v>
      </c>
      <c r="B255" s="595"/>
      <c r="C255" s="595"/>
      <c r="D255" s="596"/>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6.75" customHeight="1">
      <c r="A256" s="54"/>
      <c r="B256" s="54"/>
      <c r="C256" s="54"/>
      <c r="D256" s="55"/>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36" customHeight="1">
      <c r="A257" s="603" t="s">
        <v>80</v>
      </c>
      <c r="B257" s="595"/>
      <c r="C257" s="595"/>
      <c r="D257" s="596"/>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6.75" customHeight="1">
      <c r="A258" s="54"/>
      <c r="B258" s="54"/>
      <c r="C258" s="54"/>
      <c r="D258" s="55"/>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 customHeight="1">
      <c r="A259" s="594" t="s">
        <v>81</v>
      </c>
      <c r="B259" s="595"/>
      <c r="C259" s="595"/>
      <c r="D259" s="596"/>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6.75" customHeight="1">
      <c r="A260" s="59"/>
      <c r="B260" s="60"/>
      <c r="C260" s="60"/>
      <c r="D260" s="61"/>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1.25" customHeight="1">
      <c r="A261" s="607" t="s">
        <v>40</v>
      </c>
      <c r="B261" s="596"/>
      <c r="C261" s="64" t="s">
        <v>41</v>
      </c>
      <c r="D261" s="280">
        <f>'Proposed Rates'!J16</f>
        <v>186.89</v>
      </c>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1.25" customHeight="1">
      <c r="A262" s="607" t="s">
        <v>82</v>
      </c>
      <c r="B262" s="596"/>
      <c r="C262" s="64" t="s">
        <v>66</v>
      </c>
      <c r="D262" s="281">
        <f>'Proposed Rates'!J29</f>
        <v>5.4863</v>
      </c>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1.25" customHeight="1">
      <c r="A263" s="607" t="s">
        <v>83</v>
      </c>
      <c r="B263" s="596"/>
      <c r="C263" s="64" t="s">
        <v>66</v>
      </c>
      <c r="D263" s="281">
        <f>'Proposed Rates'!J30</f>
        <v>5.4194000000000004</v>
      </c>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1.25" customHeight="1">
      <c r="A264" s="607" t="s">
        <v>84</v>
      </c>
      <c r="B264" s="596"/>
      <c r="C264" s="64" t="s">
        <v>66</v>
      </c>
      <c r="D264" s="281">
        <f>'Proposed Rates'!J31</f>
        <v>5.6947000000000001</v>
      </c>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3" customHeight="1">
      <c r="A265" s="85"/>
      <c r="B265" s="63"/>
      <c r="C265" s="64"/>
      <c r="D265" s="284"/>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24" customHeight="1">
      <c r="A266" s="597" t="str">
        <f>$A$1</f>
        <v>Hydro Ottawa Limited</v>
      </c>
      <c r="B266" s="595"/>
      <c r="C266" s="595"/>
      <c r="D266" s="596"/>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98" t="str">
        <f>$A$2</f>
        <v>PROPOSED - TARIFF OF RATES AND CHARGES</v>
      </c>
      <c r="B267" s="595"/>
      <c r="C267" s="595"/>
      <c r="D267" s="596"/>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99" t="str">
        <f>$A$3</f>
        <v>Effective and Implementation Date January 1, 2030</v>
      </c>
      <c r="B268" s="595"/>
      <c r="C268" s="595"/>
      <c r="D268" s="596"/>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 customHeight="1">
      <c r="A269" s="600" t="str">
        <f>$A$4</f>
        <v>This schedule supersedes and replaces all previously</v>
      </c>
      <c r="B269" s="595"/>
      <c r="C269" s="595"/>
      <c r="D269" s="596"/>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1.25" customHeight="1">
      <c r="A270" s="600" t="str">
        <f>$A$5</f>
        <v>approved schedules of Rates, Charges and Loss Factors</v>
      </c>
      <c r="B270" s="595"/>
      <c r="C270" s="595"/>
      <c r="D270" s="596"/>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1.25" customHeight="1">
      <c r="A271" s="601" t="str">
        <f>$A$6</f>
        <v>EB-2024-0115</v>
      </c>
      <c r="B271" s="595"/>
      <c r="C271" s="595"/>
      <c r="D271" s="596"/>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8.75" customHeight="1">
      <c r="A272" s="602" t="s">
        <v>85</v>
      </c>
      <c r="B272" s="595"/>
      <c r="C272" s="595"/>
      <c r="D272" s="596"/>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36" customHeight="1">
      <c r="A273" s="603" t="s">
        <v>86</v>
      </c>
      <c r="B273" s="595"/>
      <c r="C273" s="595"/>
      <c r="D273" s="596"/>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6.75" customHeight="1">
      <c r="A274" s="54"/>
      <c r="B274" s="54"/>
      <c r="C274" s="54"/>
      <c r="D274" s="55"/>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1.25" customHeight="1">
      <c r="A275" s="604" t="s">
        <v>34</v>
      </c>
      <c r="B275" s="595"/>
      <c r="C275" s="595"/>
      <c r="D275" s="596"/>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6.75" customHeight="1">
      <c r="A276" s="56"/>
      <c r="B276" s="57"/>
      <c r="C276" s="57"/>
      <c r="D276" s="58"/>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36" customHeight="1">
      <c r="A277" s="603" t="s">
        <v>35</v>
      </c>
      <c r="B277" s="595"/>
      <c r="C277" s="595"/>
      <c r="D277" s="596"/>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6.75" customHeight="1">
      <c r="A278" s="54"/>
      <c r="B278" s="54"/>
      <c r="C278" s="54"/>
      <c r="D278" s="55"/>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48" customHeight="1">
      <c r="A279" s="603" t="s">
        <v>36</v>
      </c>
      <c r="B279" s="595"/>
      <c r="C279" s="595"/>
      <c r="D279" s="596"/>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6.75" customHeight="1">
      <c r="A280" s="54"/>
      <c r="B280" s="54"/>
      <c r="C280" s="54"/>
      <c r="D280" s="55"/>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48" customHeight="1">
      <c r="A281" s="603" t="s">
        <v>37</v>
      </c>
      <c r="B281" s="595"/>
      <c r="C281" s="595"/>
      <c r="D281" s="596"/>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6.75" customHeight="1">
      <c r="A282" s="54"/>
      <c r="B282" s="54"/>
      <c r="C282" s="54"/>
      <c r="D282" s="55"/>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36" customHeight="1">
      <c r="A283" s="603" t="s">
        <v>38</v>
      </c>
      <c r="B283" s="595"/>
      <c r="C283" s="595"/>
      <c r="D283" s="596"/>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6.75" customHeight="1">
      <c r="A284" s="54"/>
      <c r="B284" s="54"/>
      <c r="C284" s="54"/>
      <c r="D284" s="55"/>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 customHeight="1">
      <c r="A285" s="594" t="s">
        <v>39</v>
      </c>
      <c r="B285" s="595"/>
      <c r="C285" s="595"/>
      <c r="D285" s="596"/>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6.75" customHeight="1">
      <c r="A286" s="59"/>
      <c r="B286" s="60"/>
      <c r="C286" s="60"/>
      <c r="D286" s="61"/>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0.5" customHeight="1">
      <c r="A287" s="62" t="s">
        <v>76</v>
      </c>
      <c r="B287" s="63"/>
      <c r="C287" s="64" t="s">
        <v>41</v>
      </c>
      <c r="D287" s="280">
        <f>'Proposed Rates'!J14</f>
        <v>11.09</v>
      </c>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0.5" customHeight="1">
      <c r="A288" s="62" t="s">
        <v>59</v>
      </c>
      <c r="B288" s="63"/>
      <c r="C288" s="64" t="s">
        <v>66</v>
      </c>
      <c r="D288" s="281">
        <f>'Proposed Rates'!J27</f>
        <v>51.912999999999997</v>
      </c>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0.5" customHeight="1">
      <c r="A289" s="62" t="s">
        <v>45</v>
      </c>
      <c r="B289" s="63"/>
      <c r="C289" s="64" t="s">
        <v>66</v>
      </c>
      <c r="D289" s="283">
        <f>'Proposed Rates'!J266</f>
        <v>4.6800000000000001E-3</v>
      </c>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0.5" hidden="1" customHeight="1">
      <c r="A290" s="62" t="s">
        <v>47</v>
      </c>
      <c r="B290" s="63"/>
      <c r="C290" s="64" t="s">
        <v>66</v>
      </c>
      <c r="D290" s="281">
        <f>'Proposed Rates'!J43</f>
        <v>0</v>
      </c>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0.5" hidden="1" customHeight="1">
      <c r="A291" s="62" t="s">
        <v>43</v>
      </c>
      <c r="B291" s="63"/>
      <c r="C291" s="64" t="s">
        <v>66</v>
      </c>
      <c r="D291" s="281">
        <f>'Proposed Rates'!J70</f>
        <v>0</v>
      </c>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0.5" hidden="1" customHeight="1">
      <c r="A292" s="62" t="s">
        <v>48</v>
      </c>
      <c r="B292" s="63"/>
      <c r="C292" s="64" t="s">
        <v>46</v>
      </c>
      <c r="D292" s="281">
        <f>'Proposed Rates'!J148</f>
        <v>0</v>
      </c>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0.5" customHeight="1">
      <c r="A293" s="62" t="s">
        <v>49</v>
      </c>
      <c r="B293" s="63"/>
      <c r="C293" s="64" t="s">
        <v>66</v>
      </c>
      <c r="D293" s="281">
        <f>'Proposed Rates'!J189</f>
        <v>0.85450000000000004</v>
      </c>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0.5" customHeight="1">
      <c r="A294" s="89" t="s">
        <v>50</v>
      </c>
      <c r="B294" s="63"/>
      <c r="C294" s="90" t="s">
        <v>66</v>
      </c>
      <c r="D294" s="290">
        <f>'Proposed Rates'!J202</f>
        <v>0.48370000000000002</v>
      </c>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5.25" customHeight="1">
      <c r="A295" s="89"/>
      <c r="B295" s="63"/>
      <c r="C295" s="90"/>
      <c r="D295" s="291"/>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1.25" customHeight="1">
      <c r="A296" s="70" t="s">
        <v>51</v>
      </c>
      <c r="B296" s="63"/>
      <c r="C296" s="64"/>
      <c r="D296" s="284"/>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4.5" customHeight="1">
      <c r="A297" s="59"/>
      <c r="B297" s="64"/>
      <c r="C297" s="64"/>
      <c r="D297" s="284"/>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0.5" customHeight="1">
      <c r="A298" s="62" t="s">
        <v>52</v>
      </c>
      <c r="B298" s="63"/>
      <c r="C298" s="64" t="s">
        <v>46</v>
      </c>
      <c r="D298" s="281">
        <f>$D$34</f>
        <v>4.1000000000000003E-3</v>
      </c>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0.5" customHeight="1">
      <c r="A299" s="62" t="s">
        <v>53</v>
      </c>
      <c r="B299" s="63"/>
      <c r="C299" s="64" t="s">
        <v>46</v>
      </c>
      <c r="D299" s="281">
        <f>'Proposed Rates'!J215-'2026'!D296</f>
        <v>3.9999999999999931E-4</v>
      </c>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0.5" customHeight="1">
      <c r="A300" s="62" t="s">
        <v>54</v>
      </c>
      <c r="B300" s="63"/>
      <c r="C300" s="64" t="s">
        <v>46</v>
      </c>
      <c r="D300" s="281">
        <f>'Proposed Rates'!J228</f>
        <v>1.5E-3</v>
      </c>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0.5" customHeight="1">
      <c r="A301" s="62" t="s">
        <v>55</v>
      </c>
      <c r="B301" s="63"/>
      <c r="C301" s="64" t="s">
        <v>41</v>
      </c>
      <c r="D301" s="281">
        <f>'Proposed Rates'!J242</f>
        <v>1.63</v>
      </c>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4.5" customHeight="1">
      <c r="A302" s="85"/>
      <c r="B302" s="63"/>
      <c r="C302" s="64"/>
      <c r="D302" s="69"/>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24" customHeight="1">
      <c r="A303" s="597" t="str">
        <f>$A$1</f>
        <v>Hydro Ottawa Limited</v>
      </c>
      <c r="B303" s="595"/>
      <c r="C303" s="595"/>
      <c r="D303" s="596"/>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98" t="str">
        <f>$A$2</f>
        <v>PROPOSED - TARIFF OF RATES AND CHARGES</v>
      </c>
      <c r="B304" s="595"/>
      <c r="C304" s="595"/>
      <c r="D304" s="596"/>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99" t="str">
        <f>$A$3</f>
        <v>Effective and Implementation Date January 1, 2030</v>
      </c>
      <c r="B305" s="595"/>
      <c r="C305" s="595"/>
      <c r="D305" s="596"/>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 customHeight="1">
      <c r="A306" s="600" t="str">
        <f>$A$4</f>
        <v>This schedule supersedes and replaces all previously</v>
      </c>
      <c r="B306" s="595"/>
      <c r="C306" s="595"/>
      <c r="D306" s="596"/>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1.25" customHeight="1">
      <c r="A307" s="600" t="str">
        <f>$A$5</f>
        <v>approved schedules of Rates, Charges and Loss Factors</v>
      </c>
      <c r="B307" s="595"/>
      <c r="C307" s="595"/>
      <c r="D307" s="596"/>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1.25" customHeight="1">
      <c r="A308" s="601" t="str">
        <f>$A$6</f>
        <v>EB-2024-0115</v>
      </c>
      <c r="B308" s="595"/>
      <c r="C308" s="595"/>
      <c r="D308" s="596"/>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8.75" customHeight="1">
      <c r="A309" s="602" t="s">
        <v>87</v>
      </c>
      <c r="B309" s="595"/>
      <c r="C309" s="595"/>
      <c r="D309" s="596"/>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60" customHeight="1">
      <c r="A310" s="603" t="s">
        <v>88</v>
      </c>
      <c r="B310" s="595"/>
      <c r="C310" s="595"/>
      <c r="D310" s="596"/>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6.75" customHeight="1">
      <c r="A311" s="54"/>
      <c r="B311" s="54"/>
      <c r="C311" s="54"/>
      <c r="D311" s="55"/>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1.25" customHeight="1">
      <c r="A312" s="604" t="s">
        <v>34</v>
      </c>
      <c r="B312" s="595"/>
      <c r="C312" s="595"/>
      <c r="D312" s="596"/>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6.75" customHeight="1">
      <c r="A313" s="56"/>
      <c r="B313" s="57"/>
      <c r="C313" s="57"/>
      <c r="D313" s="58"/>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36" customHeight="1">
      <c r="A314" s="603" t="s">
        <v>35</v>
      </c>
      <c r="B314" s="595"/>
      <c r="C314" s="595"/>
      <c r="D314" s="596"/>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6.75" customHeight="1">
      <c r="A315" s="54"/>
      <c r="B315" s="54"/>
      <c r="C315" s="54"/>
      <c r="D315" s="55"/>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48" customHeight="1">
      <c r="A316" s="603" t="s">
        <v>36</v>
      </c>
      <c r="B316" s="595"/>
      <c r="C316" s="595"/>
      <c r="D316" s="596"/>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6.75" customHeight="1">
      <c r="A317" s="54"/>
      <c r="B317" s="54"/>
      <c r="C317" s="54"/>
      <c r="D317" s="55"/>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48" customHeight="1">
      <c r="A318" s="603" t="s">
        <v>37</v>
      </c>
      <c r="B318" s="595"/>
      <c r="C318" s="595"/>
      <c r="D318" s="596"/>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6.75" customHeight="1">
      <c r="A319" s="54"/>
      <c r="B319" s="54"/>
      <c r="C319" s="54"/>
      <c r="D319" s="55"/>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36" customHeight="1">
      <c r="A320" s="603" t="s">
        <v>89</v>
      </c>
      <c r="B320" s="595"/>
      <c r="C320" s="595"/>
      <c r="D320" s="596"/>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6.75" customHeight="1">
      <c r="A321" s="54"/>
      <c r="B321" s="54"/>
      <c r="C321" s="54"/>
      <c r="D321" s="55"/>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 customHeight="1">
      <c r="A322" s="594" t="s">
        <v>39</v>
      </c>
      <c r="B322" s="595"/>
      <c r="C322" s="595"/>
      <c r="D322" s="596"/>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6.75" customHeight="1">
      <c r="A323" s="59"/>
      <c r="B323" s="60"/>
      <c r="C323" s="60"/>
      <c r="D323" s="61"/>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 customHeight="1">
      <c r="A324" s="62" t="s">
        <v>76</v>
      </c>
      <c r="B324" s="63"/>
      <c r="C324" s="64" t="s">
        <v>41</v>
      </c>
      <c r="D324" s="280">
        <f>'Proposed Rates'!J13</f>
        <v>1.35</v>
      </c>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 customHeight="1">
      <c r="A325" s="62" t="s">
        <v>59</v>
      </c>
      <c r="B325" s="63"/>
      <c r="C325" s="64" t="s">
        <v>66</v>
      </c>
      <c r="D325" s="281">
        <f>'Proposed Rates'!J26</f>
        <v>9.4875000000000007</v>
      </c>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 customHeight="1">
      <c r="A326" s="62" t="s">
        <v>45</v>
      </c>
      <c r="B326" s="63"/>
      <c r="C326" s="64" t="s">
        <v>66</v>
      </c>
      <c r="D326" s="283">
        <f>'Proposed Rates'!J265</f>
        <v>1.1820000000000001E-2</v>
      </c>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 hidden="1" customHeight="1">
      <c r="A327" s="62" t="s">
        <v>47</v>
      </c>
      <c r="B327" s="63"/>
      <c r="C327" s="64" t="s">
        <v>66</v>
      </c>
      <c r="D327" s="281">
        <f>'Proposed Rates'!J42</f>
        <v>0</v>
      </c>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 hidden="1" customHeight="1">
      <c r="A328" s="62" t="s">
        <v>43</v>
      </c>
      <c r="B328" s="63"/>
      <c r="C328" s="64" t="s">
        <v>66</v>
      </c>
      <c r="D328" s="281">
        <f>'Proposed Rates'!J69</f>
        <v>0</v>
      </c>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 hidden="1" customHeight="1">
      <c r="A329" s="62" t="s">
        <v>42</v>
      </c>
      <c r="B329" s="63"/>
      <c r="C329" s="64" t="s">
        <v>66</v>
      </c>
      <c r="D329" s="281">
        <f>'Proposed Rates'!J95</f>
        <v>0</v>
      </c>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 hidden="1" customHeight="1">
      <c r="A330" s="62" t="s">
        <v>48</v>
      </c>
      <c r="B330" s="63"/>
      <c r="C330" s="64" t="s">
        <v>46</v>
      </c>
      <c r="D330" s="281">
        <f>'Proposed Rates'!J147</f>
        <v>0</v>
      </c>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 customHeight="1">
      <c r="A331" s="62" t="s">
        <v>49</v>
      </c>
      <c r="B331" s="63"/>
      <c r="C331" s="64" t="s">
        <v>66</v>
      </c>
      <c r="D331" s="281">
        <f>'Proposed Rates'!J188</f>
        <v>2.1576</v>
      </c>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 customHeight="1">
      <c r="A332" s="62" t="s">
        <v>50</v>
      </c>
      <c r="B332" s="63"/>
      <c r="C332" s="64" t="s">
        <v>66</v>
      </c>
      <c r="D332" s="281">
        <f>'Proposed Rates'!J201</f>
        <v>1.2213000000000001</v>
      </c>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4.5" customHeight="1">
      <c r="A333" s="64"/>
      <c r="B333" s="64"/>
      <c r="C333" s="64"/>
      <c r="D333" s="284"/>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1.25" customHeight="1">
      <c r="A334" s="70" t="s">
        <v>51</v>
      </c>
      <c r="B334" s="63"/>
      <c r="C334" s="64"/>
      <c r="D334" s="284"/>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4.5" customHeight="1">
      <c r="A335" s="59"/>
      <c r="B335" s="64"/>
      <c r="C335" s="64"/>
      <c r="D335" s="284"/>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 customHeight="1">
      <c r="A336" s="62" t="s">
        <v>52</v>
      </c>
      <c r="B336" s="63"/>
      <c r="C336" s="64" t="s">
        <v>46</v>
      </c>
      <c r="D336" s="281">
        <f>$D$34</f>
        <v>4.1000000000000003E-3</v>
      </c>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 customHeight="1">
      <c r="A337" s="62" t="s">
        <v>53</v>
      </c>
      <c r="B337" s="63"/>
      <c r="C337" s="64" t="s">
        <v>46</v>
      </c>
      <c r="D337" s="281">
        <f>'Proposed Rates'!J1-'2026'!D335</f>
        <v>-4.1000000000000003E-3</v>
      </c>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 customHeight="1">
      <c r="A338" s="62" t="s">
        <v>54</v>
      </c>
      <c r="B338" s="63"/>
      <c r="C338" s="64" t="s">
        <v>46</v>
      </c>
      <c r="D338" s="281">
        <f>'Proposed Rates'!J227</f>
        <v>1.5E-3</v>
      </c>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 customHeight="1">
      <c r="A339" s="62" t="s">
        <v>55</v>
      </c>
      <c r="B339" s="63"/>
      <c r="C339" s="64" t="s">
        <v>41</v>
      </c>
      <c r="D339" s="281">
        <f>'Proposed Rates'!J241</f>
        <v>1.63</v>
      </c>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4.5" customHeight="1">
      <c r="A340" s="85"/>
      <c r="B340" s="63"/>
      <c r="C340" s="64"/>
      <c r="D340" s="69"/>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24" customHeight="1">
      <c r="A341" s="597" t="str">
        <f>$A$1</f>
        <v>Hydro Ottawa Limited</v>
      </c>
      <c r="B341" s="595"/>
      <c r="C341" s="595"/>
      <c r="D341" s="596"/>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98" t="str">
        <f>$A$2</f>
        <v>PROPOSED - TARIFF OF RATES AND CHARGES</v>
      </c>
      <c r="B342" s="595"/>
      <c r="C342" s="595"/>
      <c r="D342" s="596"/>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99" t="str">
        <f>$A$3</f>
        <v>Effective and Implementation Date January 1, 2030</v>
      </c>
      <c r="B343" s="595"/>
      <c r="C343" s="595"/>
      <c r="D343" s="596"/>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 customHeight="1">
      <c r="A344" s="600" t="str">
        <f>$A$4</f>
        <v>This schedule supersedes and replaces all previously</v>
      </c>
      <c r="B344" s="595"/>
      <c r="C344" s="595"/>
      <c r="D344" s="596"/>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1.25" customHeight="1">
      <c r="A345" s="600" t="str">
        <f>$A$5</f>
        <v>approved schedules of Rates, Charges and Loss Factors</v>
      </c>
      <c r="B345" s="595"/>
      <c r="C345" s="595"/>
      <c r="D345" s="596"/>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1.25" customHeight="1">
      <c r="A346" s="601" t="str">
        <f>$A$6</f>
        <v>EB-2024-0115</v>
      </c>
      <c r="B346" s="595"/>
      <c r="C346" s="595"/>
      <c r="D346" s="596"/>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8.75" customHeight="1">
      <c r="A347" s="602" t="s">
        <v>209</v>
      </c>
      <c r="B347" s="595"/>
      <c r="C347" s="595"/>
      <c r="D347" s="596"/>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36" customHeight="1">
      <c r="A348" s="603" t="s">
        <v>210</v>
      </c>
      <c r="B348" s="595"/>
      <c r="C348" s="595"/>
      <c r="D348" s="596"/>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6.75" customHeight="1">
      <c r="A349" s="54"/>
      <c r="B349" s="54"/>
      <c r="C349" s="54"/>
      <c r="D349" s="55"/>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1.25" customHeight="1">
      <c r="A350" s="604" t="s">
        <v>34</v>
      </c>
      <c r="B350" s="595"/>
      <c r="C350" s="595"/>
      <c r="D350" s="596"/>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6.75" customHeight="1">
      <c r="A351" s="56"/>
      <c r="B351" s="57"/>
      <c r="C351" s="57"/>
      <c r="D351" s="58"/>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36" customHeight="1">
      <c r="A352" s="603" t="s">
        <v>35</v>
      </c>
      <c r="B352" s="595"/>
      <c r="C352" s="595"/>
      <c r="D352" s="596"/>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6.75" customHeight="1">
      <c r="A353" s="54"/>
      <c r="B353" s="54"/>
      <c r="C353" s="54"/>
      <c r="D353" s="55"/>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48" customHeight="1">
      <c r="A354" s="603" t="s">
        <v>36</v>
      </c>
      <c r="B354" s="595"/>
      <c r="C354" s="595"/>
      <c r="D354" s="596"/>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6.75" customHeight="1">
      <c r="A355" s="54"/>
      <c r="B355" s="54"/>
      <c r="C355" s="54"/>
      <c r="D355" s="55"/>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24" customHeight="1">
      <c r="A356" s="603" t="s">
        <v>93</v>
      </c>
      <c r="B356" s="595"/>
      <c r="C356" s="595"/>
      <c r="D356" s="596"/>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6.75" customHeight="1">
      <c r="A357" s="54"/>
      <c r="B357" s="54"/>
      <c r="C357" s="54"/>
      <c r="D357" s="55"/>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36" customHeight="1">
      <c r="A358" s="603" t="s">
        <v>89</v>
      </c>
      <c r="B358" s="595"/>
      <c r="C358" s="595"/>
      <c r="D358" s="596"/>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6.75" customHeight="1">
      <c r="A359" s="54"/>
      <c r="B359" s="54"/>
      <c r="C359" s="54"/>
      <c r="D359" s="55"/>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 customHeight="1">
      <c r="A360" s="594" t="s">
        <v>39</v>
      </c>
      <c r="B360" s="595"/>
      <c r="C360" s="595"/>
      <c r="D360" s="596"/>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6.75" customHeight="1">
      <c r="A361" s="59"/>
      <c r="B361" s="60"/>
      <c r="C361" s="60"/>
      <c r="D361" s="61"/>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0.5" customHeight="1">
      <c r="A362" s="607" t="s">
        <v>40</v>
      </c>
      <c r="B362" s="596"/>
      <c r="C362" s="64" t="s">
        <v>41</v>
      </c>
      <c r="D362" s="296">
        <f>'Proposed Rates'!J372</f>
        <v>0</v>
      </c>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0.5" customHeight="1">
      <c r="A363" s="85"/>
      <c r="B363" s="63"/>
      <c r="C363" s="64"/>
      <c r="D363" s="69"/>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24" customHeight="1">
      <c r="A364" s="597" t="str">
        <f>$A$1</f>
        <v>Hydro Ottawa Limited</v>
      </c>
      <c r="B364" s="595"/>
      <c r="C364" s="595"/>
      <c r="D364" s="596"/>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98" t="str">
        <f>$A$2</f>
        <v>PROPOSED - TARIFF OF RATES AND CHARGES</v>
      </c>
      <c r="B365" s="595"/>
      <c r="C365" s="595"/>
      <c r="D365" s="596"/>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99" t="str">
        <f>$A$3</f>
        <v>Effective and Implementation Date January 1, 2030</v>
      </c>
      <c r="B366" s="595"/>
      <c r="C366" s="595"/>
      <c r="D366" s="596"/>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 customHeight="1">
      <c r="A367" s="600" t="str">
        <f>$A$4</f>
        <v>This schedule supersedes and replaces all previously</v>
      </c>
      <c r="B367" s="595"/>
      <c r="C367" s="595"/>
      <c r="D367" s="596"/>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1.25" customHeight="1">
      <c r="A368" s="600" t="str">
        <f>$A$5</f>
        <v>approved schedules of Rates, Charges and Loss Factors</v>
      </c>
      <c r="B368" s="595"/>
      <c r="C368" s="595"/>
      <c r="D368" s="596"/>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1.25" customHeight="1">
      <c r="A369" s="601" t="str">
        <f>$A$6</f>
        <v>EB-2024-0115</v>
      </c>
      <c r="B369" s="595"/>
      <c r="C369" s="595"/>
      <c r="D369" s="596"/>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8.75" customHeight="1">
      <c r="A370" s="602" t="s">
        <v>91</v>
      </c>
      <c r="B370" s="595"/>
      <c r="C370" s="595"/>
      <c r="D370" s="596"/>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36" customHeight="1">
      <c r="A371" s="603" t="s">
        <v>92</v>
      </c>
      <c r="B371" s="595"/>
      <c r="C371" s="595"/>
      <c r="D371" s="596"/>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6.75" customHeight="1">
      <c r="A372" s="54"/>
      <c r="B372" s="54"/>
      <c r="C372" s="54"/>
      <c r="D372" s="55"/>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1.25" customHeight="1">
      <c r="A373" s="604" t="s">
        <v>34</v>
      </c>
      <c r="B373" s="595"/>
      <c r="C373" s="595"/>
      <c r="D373" s="596"/>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6.75" customHeight="1">
      <c r="A374" s="56"/>
      <c r="B374" s="57"/>
      <c r="C374" s="57"/>
      <c r="D374" s="58"/>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36" customHeight="1">
      <c r="A375" s="603" t="s">
        <v>35</v>
      </c>
      <c r="B375" s="595"/>
      <c r="C375" s="595"/>
      <c r="D375" s="596"/>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6.75" customHeight="1">
      <c r="A376" s="54"/>
      <c r="B376" s="54"/>
      <c r="C376" s="54"/>
      <c r="D376" s="55"/>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48" customHeight="1">
      <c r="A377" s="603" t="s">
        <v>36</v>
      </c>
      <c r="B377" s="595"/>
      <c r="C377" s="595"/>
      <c r="D377" s="596"/>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6.75" customHeight="1">
      <c r="A378" s="54"/>
      <c r="B378" s="54"/>
      <c r="C378" s="54"/>
      <c r="D378" s="55"/>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24" customHeight="1">
      <c r="A379" s="603" t="s">
        <v>93</v>
      </c>
      <c r="B379" s="595"/>
      <c r="C379" s="595"/>
      <c r="D379" s="596"/>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6.75" customHeight="1">
      <c r="A380" s="54"/>
      <c r="B380" s="54"/>
      <c r="C380" s="54"/>
      <c r="D380" s="55"/>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36" customHeight="1">
      <c r="A381" s="603" t="s">
        <v>89</v>
      </c>
      <c r="B381" s="595"/>
      <c r="C381" s="595"/>
      <c r="D381" s="596"/>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6.75" customHeight="1">
      <c r="A382" s="54"/>
      <c r="B382" s="54"/>
      <c r="C382" s="54"/>
      <c r="D382" s="55"/>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 customHeight="1">
      <c r="A383" s="594" t="s">
        <v>39</v>
      </c>
      <c r="B383" s="595"/>
      <c r="C383" s="595"/>
      <c r="D383" s="596"/>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6.75" customHeight="1">
      <c r="A384" s="59"/>
      <c r="B384" s="60"/>
      <c r="C384" s="60"/>
      <c r="D384" s="61"/>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1.25" customHeight="1">
      <c r="A385" s="607" t="s">
        <v>40</v>
      </c>
      <c r="B385" s="596"/>
      <c r="C385" s="64" t="s">
        <v>41</v>
      </c>
      <c r="D385" s="296">
        <f>'Proposed Rates'!J369</f>
        <v>12</v>
      </c>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1.25" customHeight="1">
      <c r="A386" s="85"/>
      <c r="B386" s="63"/>
      <c r="C386" s="64"/>
      <c r="D386" s="69"/>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24" customHeight="1">
      <c r="A387" s="597" t="str">
        <f>$A$1</f>
        <v>Hydro Ottawa Limited</v>
      </c>
      <c r="B387" s="595"/>
      <c r="C387" s="595"/>
      <c r="D387" s="596"/>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98" t="str">
        <f>$A$2</f>
        <v>PROPOSED - TARIFF OF RATES AND CHARGES</v>
      </c>
      <c r="B388" s="595"/>
      <c r="C388" s="595"/>
      <c r="D388" s="596"/>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99" t="str">
        <f>$A$3</f>
        <v>Effective and Implementation Date January 1, 2030</v>
      </c>
      <c r="B389" s="595"/>
      <c r="C389" s="595"/>
      <c r="D389" s="596"/>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 customHeight="1">
      <c r="A390" s="600" t="str">
        <f>$A$4</f>
        <v>This schedule supersedes and replaces all previously</v>
      </c>
      <c r="B390" s="595"/>
      <c r="C390" s="595"/>
      <c r="D390" s="596"/>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1.25" customHeight="1">
      <c r="A391" s="600" t="str">
        <f>$A$5</f>
        <v>approved schedules of Rates, Charges and Loss Factors</v>
      </c>
      <c r="B391" s="595"/>
      <c r="C391" s="595"/>
      <c r="D391" s="596"/>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1.25" customHeight="1">
      <c r="A392" s="601" t="str">
        <f>$A$6</f>
        <v>EB-2024-0115</v>
      </c>
      <c r="B392" s="595"/>
      <c r="C392" s="595"/>
      <c r="D392" s="596"/>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8.75" customHeight="1">
      <c r="A393" s="602" t="s">
        <v>94</v>
      </c>
      <c r="B393" s="595"/>
      <c r="C393" s="595"/>
      <c r="D393" s="596"/>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36" customHeight="1">
      <c r="A394" s="603" t="s">
        <v>95</v>
      </c>
      <c r="B394" s="595"/>
      <c r="C394" s="595"/>
      <c r="D394" s="596"/>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6.75" customHeight="1">
      <c r="A395" s="54"/>
      <c r="B395" s="54"/>
      <c r="C395" s="54"/>
      <c r="D395" s="55"/>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1.25" customHeight="1">
      <c r="A396" s="604" t="s">
        <v>34</v>
      </c>
      <c r="B396" s="595"/>
      <c r="C396" s="595"/>
      <c r="D396" s="596"/>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6.75" customHeight="1">
      <c r="A397" s="56"/>
      <c r="B397" s="57"/>
      <c r="C397" s="57"/>
      <c r="D397" s="58"/>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36" customHeight="1">
      <c r="A398" s="603" t="s">
        <v>35</v>
      </c>
      <c r="B398" s="595"/>
      <c r="C398" s="595"/>
      <c r="D398" s="596"/>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6.75" customHeight="1">
      <c r="A399" s="54"/>
      <c r="B399" s="54"/>
      <c r="C399" s="54"/>
      <c r="D399" s="55"/>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48" customHeight="1">
      <c r="A400" s="603" t="s">
        <v>36</v>
      </c>
      <c r="B400" s="595"/>
      <c r="C400" s="595"/>
      <c r="D400" s="596"/>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6.75" customHeight="1">
      <c r="A401" s="54"/>
      <c r="B401" s="54"/>
      <c r="C401" s="54"/>
      <c r="D401" s="55"/>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24" customHeight="1">
      <c r="A402" s="603" t="s">
        <v>93</v>
      </c>
      <c r="B402" s="595"/>
      <c r="C402" s="595"/>
      <c r="D402" s="596"/>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6.75" customHeight="1">
      <c r="A403" s="54"/>
      <c r="B403" s="54"/>
      <c r="C403" s="54"/>
      <c r="D403" s="55"/>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36" customHeight="1">
      <c r="A404" s="603" t="s">
        <v>89</v>
      </c>
      <c r="B404" s="595"/>
      <c r="C404" s="595"/>
      <c r="D404" s="596"/>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6.75" customHeight="1">
      <c r="A405" s="54"/>
      <c r="B405" s="54"/>
      <c r="C405" s="54"/>
      <c r="D405" s="55"/>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 customHeight="1">
      <c r="A406" s="594" t="s">
        <v>39</v>
      </c>
      <c r="B406" s="595"/>
      <c r="C406" s="595"/>
      <c r="D406" s="596"/>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6.75" customHeight="1">
      <c r="A407" s="59"/>
      <c r="B407" s="60"/>
      <c r="C407" s="60"/>
      <c r="D407" s="61"/>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1.25" customHeight="1">
      <c r="A408" s="607" t="s">
        <v>40</v>
      </c>
      <c r="B408" s="596"/>
      <c r="C408" s="64" t="s">
        <v>41</v>
      </c>
      <c r="D408" s="296">
        <f>'Proposed Rates'!J370</f>
        <v>95</v>
      </c>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1.25" customHeight="1">
      <c r="A409" s="85"/>
      <c r="B409" s="63"/>
      <c r="C409" s="64"/>
      <c r="D409" s="69"/>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24" customHeight="1">
      <c r="A410" s="597" t="str">
        <f>$A$1</f>
        <v>Hydro Ottawa Limited</v>
      </c>
      <c r="B410" s="595"/>
      <c r="C410" s="595"/>
      <c r="D410" s="596"/>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98" t="str">
        <f>$A$2</f>
        <v>PROPOSED - TARIFF OF RATES AND CHARGES</v>
      </c>
      <c r="B411" s="595"/>
      <c r="C411" s="595"/>
      <c r="D411" s="596"/>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99" t="str">
        <f>$A$3</f>
        <v>Effective and Implementation Date January 1, 2030</v>
      </c>
      <c r="B412" s="595"/>
      <c r="C412" s="595"/>
      <c r="D412" s="596"/>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 customHeight="1">
      <c r="A413" s="600" t="str">
        <f>$A$4</f>
        <v>This schedule supersedes and replaces all previously</v>
      </c>
      <c r="B413" s="595"/>
      <c r="C413" s="595"/>
      <c r="D413" s="596"/>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1.25" customHeight="1">
      <c r="A414" s="600" t="str">
        <f>$A$5</f>
        <v>approved schedules of Rates, Charges and Loss Factors</v>
      </c>
      <c r="B414" s="595"/>
      <c r="C414" s="595"/>
      <c r="D414" s="596"/>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1.25" customHeight="1">
      <c r="A415" s="601" t="str">
        <f>$A$6</f>
        <v>EB-2024-0115</v>
      </c>
      <c r="B415" s="595"/>
      <c r="C415" s="595"/>
      <c r="D415" s="596"/>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8.75" customHeight="1">
      <c r="A416" s="602" t="s">
        <v>96</v>
      </c>
      <c r="B416" s="595"/>
      <c r="C416" s="595"/>
      <c r="D416" s="596"/>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36" customHeight="1">
      <c r="A417" s="603" t="s">
        <v>97</v>
      </c>
      <c r="B417" s="595"/>
      <c r="C417" s="595"/>
      <c r="D417" s="596"/>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6.75" customHeight="1">
      <c r="A418" s="54"/>
      <c r="B418" s="54"/>
      <c r="C418" s="54"/>
      <c r="D418" s="55"/>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1.25" customHeight="1">
      <c r="A419" s="604" t="s">
        <v>34</v>
      </c>
      <c r="B419" s="595"/>
      <c r="C419" s="595"/>
      <c r="D419" s="596"/>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6.75" customHeight="1">
      <c r="A420" s="56"/>
      <c r="B420" s="57"/>
      <c r="C420" s="57"/>
      <c r="D420" s="58"/>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36" customHeight="1">
      <c r="A421" s="603" t="s">
        <v>35</v>
      </c>
      <c r="B421" s="595"/>
      <c r="C421" s="595"/>
      <c r="D421" s="596"/>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6.75" customHeight="1">
      <c r="A422" s="54"/>
      <c r="B422" s="54"/>
      <c r="C422" s="54"/>
      <c r="D422" s="55"/>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48" customHeight="1">
      <c r="A423" s="603" t="s">
        <v>36</v>
      </c>
      <c r="B423" s="595"/>
      <c r="C423" s="595"/>
      <c r="D423" s="596"/>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6.75" customHeight="1">
      <c r="A424" s="54"/>
      <c r="B424" s="54"/>
      <c r="C424" s="54"/>
      <c r="D424" s="55"/>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24" customHeight="1">
      <c r="A425" s="603" t="s">
        <v>93</v>
      </c>
      <c r="B425" s="595"/>
      <c r="C425" s="595"/>
      <c r="D425" s="596"/>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6.75" customHeight="1">
      <c r="A426" s="54"/>
      <c r="B426" s="54"/>
      <c r="C426" s="54"/>
      <c r="D426" s="55"/>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36" customHeight="1">
      <c r="A427" s="603" t="s">
        <v>89</v>
      </c>
      <c r="B427" s="595"/>
      <c r="C427" s="595"/>
      <c r="D427" s="596"/>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6.75" customHeight="1">
      <c r="A428" s="54"/>
      <c r="B428" s="54"/>
      <c r="C428" s="54"/>
      <c r="D428" s="55"/>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 customHeight="1">
      <c r="A429" s="594" t="s">
        <v>39</v>
      </c>
      <c r="B429" s="595"/>
      <c r="C429" s="595"/>
      <c r="D429" s="596"/>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6.75" customHeight="1">
      <c r="A430" s="59"/>
      <c r="B430" s="60"/>
      <c r="C430" s="60"/>
      <c r="D430" s="61"/>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1.25" customHeight="1">
      <c r="A431" s="607" t="s">
        <v>40</v>
      </c>
      <c r="B431" s="596"/>
      <c r="C431" s="64" t="s">
        <v>41</v>
      </c>
      <c r="D431" s="296">
        <f>'Proposed Rates'!J371</f>
        <v>289</v>
      </c>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6.75" customHeight="1">
      <c r="A432" s="94"/>
      <c r="B432" s="85"/>
      <c r="C432" s="64"/>
      <c r="D432" s="284"/>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8" customHeight="1">
      <c r="A433" s="95" t="s">
        <v>98</v>
      </c>
      <c r="B433" s="96"/>
      <c r="C433" s="96"/>
      <c r="D433" s="297"/>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1.25" customHeight="1">
      <c r="A434" s="607" t="s">
        <v>99</v>
      </c>
      <c r="B434" s="596"/>
      <c r="C434" s="97" t="s">
        <v>100</v>
      </c>
      <c r="D434" s="284">
        <v>-1</v>
      </c>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1.25" customHeight="1">
      <c r="A435" s="85"/>
      <c r="B435" s="63"/>
      <c r="C435" s="97"/>
      <c r="D435" s="69"/>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24" customHeight="1">
      <c r="A436" s="597" t="str">
        <f>$A$1</f>
        <v>Hydro Ottawa Limited</v>
      </c>
      <c r="B436" s="595"/>
      <c r="C436" s="595"/>
      <c r="D436" s="596"/>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98" t="str">
        <f>$A$2</f>
        <v>PROPOSED - TARIFF OF RATES AND CHARGES</v>
      </c>
      <c r="B437" s="595"/>
      <c r="C437" s="595"/>
      <c r="D437" s="596"/>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99" t="str">
        <f>$A$3</f>
        <v>Effective and Implementation Date January 1, 2030</v>
      </c>
      <c r="B438" s="595"/>
      <c r="C438" s="595"/>
      <c r="D438" s="596"/>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 customHeight="1">
      <c r="A439" s="600" t="str">
        <f>$A$4</f>
        <v>This schedule supersedes and replaces all previously</v>
      </c>
      <c r="B439" s="595"/>
      <c r="C439" s="595"/>
      <c r="D439" s="596"/>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1.25" customHeight="1">
      <c r="A440" s="600" t="str">
        <f>$A$5</f>
        <v>approved schedules of Rates, Charges and Loss Factors</v>
      </c>
      <c r="B440" s="595"/>
      <c r="C440" s="595"/>
      <c r="D440" s="596"/>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1.25" customHeight="1">
      <c r="A441" s="601" t="str">
        <f>$A$6</f>
        <v>EB-2024-0115</v>
      </c>
      <c r="B441" s="595"/>
      <c r="C441" s="595"/>
      <c r="D441" s="596"/>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8" customHeight="1">
      <c r="A442" s="95" t="s">
        <v>101</v>
      </c>
      <c r="B442" s="96"/>
      <c r="C442" s="96"/>
      <c r="D442" s="72"/>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6.75" customHeight="1">
      <c r="A443" s="95"/>
      <c r="B443" s="96"/>
      <c r="C443" s="96"/>
      <c r="D443" s="72"/>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1.25" customHeight="1">
      <c r="A444" s="606" t="s">
        <v>34</v>
      </c>
      <c r="B444" s="595"/>
      <c r="C444" s="595"/>
      <c r="D444" s="596"/>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6.75" customHeight="1">
      <c r="A445" s="98"/>
      <c r="B445" s="54"/>
      <c r="C445" s="54"/>
      <c r="D445" s="55"/>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36" customHeight="1">
      <c r="A446" s="603" t="s">
        <v>35</v>
      </c>
      <c r="B446" s="595"/>
      <c r="C446" s="595"/>
      <c r="D446" s="596"/>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6.75" customHeight="1">
      <c r="A447" s="54"/>
      <c r="B447" s="54"/>
      <c r="C447" s="54"/>
      <c r="D447" s="55"/>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48" customHeight="1">
      <c r="A448" s="603" t="s">
        <v>102</v>
      </c>
      <c r="B448" s="595"/>
      <c r="C448" s="595"/>
      <c r="D448" s="596"/>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6.75" customHeight="1">
      <c r="A449" s="54"/>
      <c r="B449" s="54"/>
      <c r="C449" s="54"/>
      <c r="D449" s="55"/>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36" customHeight="1">
      <c r="A450" s="603" t="s">
        <v>38</v>
      </c>
      <c r="B450" s="595"/>
      <c r="C450" s="595"/>
      <c r="D450" s="596"/>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6.75" customHeight="1">
      <c r="A451" s="54"/>
      <c r="B451" s="54"/>
      <c r="C451" s="54"/>
      <c r="D451" s="55"/>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 customHeight="1">
      <c r="A452" s="99" t="s">
        <v>103</v>
      </c>
      <c r="B452" s="96"/>
      <c r="C452" s="96"/>
      <c r="D452" s="72"/>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1.25" customHeight="1">
      <c r="A453" s="607" t="s">
        <v>104</v>
      </c>
      <c r="B453" s="596"/>
      <c r="C453" s="64" t="s">
        <v>41</v>
      </c>
      <c r="D453" s="100">
        <f>'Proposed Rates'!J319</f>
        <v>0</v>
      </c>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1.25" customHeight="1">
      <c r="A454" s="85" t="s">
        <v>105</v>
      </c>
      <c r="B454" s="85"/>
      <c r="C454" s="64" t="s">
        <v>41</v>
      </c>
      <c r="D454" s="100">
        <f>'Proposed Rates'!J320</f>
        <v>30</v>
      </c>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1.25" customHeight="1">
      <c r="A455" s="607" t="s">
        <v>106</v>
      </c>
      <c r="B455" s="596"/>
      <c r="C455" s="64" t="s">
        <v>41</v>
      </c>
      <c r="D455" s="100">
        <f>'Proposed Rates'!J321</f>
        <v>7</v>
      </c>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1.25" customHeight="1">
      <c r="A456" s="607" t="s">
        <v>107</v>
      </c>
      <c r="B456" s="596"/>
      <c r="C456" s="64" t="s">
        <v>41</v>
      </c>
      <c r="D456" s="100">
        <f>'Proposed Rates'!J322</f>
        <v>154</v>
      </c>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1.25" customHeight="1">
      <c r="A457" s="607" t="s">
        <v>108</v>
      </c>
      <c r="B457" s="596"/>
      <c r="C457" s="64" t="s">
        <v>41</v>
      </c>
      <c r="D457" s="100">
        <f>'Proposed Rates'!J323</f>
        <v>20</v>
      </c>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1.25" customHeight="1">
      <c r="A458" s="607" t="s">
        <v>109</v>
      </c>
      <c r="B458" s="596"/>
      <c r="C458" s="64" t="s">
        <v>41</v>
      </c>
      <c r="D458" s="100">
        <f>'Proposed Rates'!J324</f>
        <v>25</v>
      </c>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1.25" customHeight="1">
      <c r="A459" s="607" t="s">
        <v>110</v>
      </c>
      <c r="B459" s="596"/>
      <c r="C459" s="64" t="s">
        <v>41</v>
      </c>
      <c r="D459" s="100">
        <f>'Proposed Rates'!J325</f>
        <v>10</v>
      </c>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1.25" customHeight="1">
      <c r="A460" s="607" t="s">
        <v>111</v>
      </c>
      <c r="B460" s="596"/>
      <c r="C460" s="64" t="s">
        <v>41</v>
      </c>
      <c r="D460" s="100">
        <f>'Proposed Rates'!J328</f>
        <v>398</v>
      </c>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1.25" customHeight="1">
      <c r="A461" s="607" t="s">
        <v>112</v>
      </c>
      <c r="B461" s="596"/>
      <c r="C461" s="64" t="s">
        <v>41</v>
      </c>
      <c r="D461" s="100">
        <f>'Proposed Rates'!J329</f>
        <v>350</v>
      </c>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6.75" customHeight="1">
      <c r="A462" s="85"/>
      <c r="B462" s="85"/>
      <c r="C462" s="64"/>
      <c r="D462" s="69"/>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 customHeight="1">
      <c r="A463" s="99" t="s">
        <v>113</v>
      </c>
      <c r="B463" s="96"/>
      <c r="C463" s="90"/>
      <c r="D463" s="92"/>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22.5" customHeight="1">
      <c r="A464" s="607" t="s">
        <v>114</v>
      </c>
      <c r="B464" s="596"/>
      <c r="C464" s="64" t="s">
        <v>100</v>
      </c>
      <c r="D464" s="93">
        <f>'Proposed Rates'!J332</f>
        <v>1.4999999999999999E-2</v>
      </c>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1.25" customHeight="1">
      <c r="A465" s="607" t="s">
        <v>115</v>
      </c>
      <c r="B465" s="596"/>
      <c r="C465" s="64" t="s">
        <v>41</v>
      </c>
      <c r="D465" s="100">
        <f>'Proposed Rates'!J333</f>
        <v>76</v>
      </c>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1.25" customHeight="1">
      <c r="A466" s="607" t="s">
        <v>116</v>
      </c>
      <c r="B466" s="596"/>
      <c r="C466" s="64" t="s">
        <v>41</v>
      </c>
      <c r="D466" s="100">
        <f>'Proposed Rates'!J334</f>
        <v>102</v>
      </c>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1.25" customHeight="1">
      <c r="A467" s="607" t="s">
        <v>117</v>
      </c>
      <c r="B467" s="596"/>
      <c r="C467" s="64" t="s">
        <v>41</v>
      </c>
      <c r="D467" s="100">
        <f>'Proposed Rates'!J335</f>
        <v>345</v>
      </c>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1.25" customHeight="1">
      <c r="A468" s="607" t="s">
        <v>118</v>
      </c>
      <c r="B468" s="596"/>
      <c r="C468" s="64" t="s">
        <v>41</v>
      </c>
      <c r="D468" s="100">
        <f>'Proposed Rates'!J336</f>
        <v>521</v>
      </c>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6.75" customHeight="1">
      <c r="A469" s="85"/>
      <c r="B469" s="85"/>
      <c r="C469" s="64"/>
      <c r="D469" s="69"/>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 customHeight="1">
      <c r="A470" s="99" t="s">
        <v>119</v>
      </c>
      <c r="B470" s="96"/>
      <c r="C470" s="90"/>
      <c r="D470" s="69"/>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1.25" customHeight="1">
      <c r="A471" s="607" t="s">
        <v>120</v>
      </c>
      <c r="B471" s="596"/>
      <c r="C471" s="64" t="s">
        <v>41</v>
      </c>
      <c r="D471" s="100">
        <f>'Proposed Rates'!J339</f>
        <v>1172</v>
      </c>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1.25" customHeight="1">
      <c r="A472" s="607" t="s">
        <v>121</v>
      </c>
      <c r="B472" s="596"/>
      <c r="C472" s="64" t="s">
        <v>41</v>
      </c>
      <c r="D472" s="100">
        <f>'Proposed Rates'!J340</f>
        <v>1546</v>
      </c>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1.25" customHeight="1">
      <c r="A473" s="607" t="s">
        <v>122</v>
      </c>
      <c r="B473" s="596"/>
      <c r="C473" s="64" t="s">
        <v>41</v>
      </c>
      <c r="D473" s="100">
        <f>'Proposed Rates'!J341</f>
        <v>5445</v>
      </c>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1.25" customHeight="1">
      <c r="A474" s="62" t="s">
        <v>123</v>
      </c>
      <c r="B474" s="63"/>
      <c r="C474" s="64" t="s">
        <v>41</v>
      </c>
      <c r="D474" s="93">
        <f>'Proposed Rates'!J342</f>
        <v>39.14</v>
      </c>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1.25" customHeight="1">
      <c r="A475" s="607" t="s">
        <v>124</v>
      </c>
      <c r="B475" s="596"/>
      <c r="C475" s="64"/>
      <c r="D475" s="69" t="str">
        <f>'Proposed Rates'!J343</f>
        <v>Per Attached Table</v>
      </c>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1.25" customHeight="1">
      <c r="A476" s="607" t="s">
        <v>125</v>
      </c>
      <c r="B476" s="596"/>
      <c r="C476" s="64" t="s">
        <v>41</v>
      </c>
      <c r="D476" s="100">
        <f>'Proposed Rates'!J344</f>
        <v>179</v>
      </c>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1.25" customHeight="1">
      <c r="A477" s="607"/>
      <c r="B477" s="596"/>
      <c r="C477" s="64"/>
      <c r="D477" s="69"/>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24" customHeight="1">
      <c r="A478" s="597" t="str">
        <f>$A$1</f>
        <v>Hydro Ottawa Limited</v>
      </c>
      <c r="B478" s="595"/>
      <c r="C478" s="595"/>
      <c r="D478" s="596"/>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98" t="str">
        <f>$A$2</f>
        <v>PROPOSED - TARIFF OF RATES AND CHARGES</v>
      </c>
      <c r="B479" s="595"/>
      <c r="C479" s="595"/>
      <c r="D479" s="596"/>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99" t="str">
        <f>$A$3</f>
        <v>Effective and Implementation Date January 1, 2030</v>
      </c>
      <c r="B480" s="595"/>
      <c r="C480" s="595"/>
      <c r="D480" s="596"/>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 customHeight="1">
      <c r="A481" s="600" t="str">
        <f>$A$4</f>
        <v>This schedule supersedes and replaces all previously</v>
      </c>
      <c r="B481" s="595"/>
      <c r="C481" s="595"/>
      <c r="D481" s="596"/>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1.25" customHeight="1">
      <c r="A482" s="600" t="str">
        <f>$A$5</f>
        <v>approved schedules of Rates, Charges and Loss Factors</v>
      </c>
      <c r="B482" s="595"/>
      <c r="C482" s="595"/>
      <c r="D482" s="596"/>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1.25" customHeight="1">
      <c r="A483" s="601" t="str">
        <f>$A$6</f>
        <v>EB-2024-0115</v>
      </c>
      <c r="B483" s="595"/>
      <c r="C483" s="595"/>
      <c r="D483" s="596"/>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8" customHeight="1">
      <c r="A484" s="95" t="s">
        <v>126</v>
      </c>
      <c r="B484" s="96"/>
      <c r="C484" s="96"/>
      <c r="D484" s="72"/>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6.75" customHeight="1">
      <c r="A485" s="95"/>
      <c r="B485" s="96"/>
      <c r="C485" s="96"/>
      <c r="D485" s="72"/>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36" customHeight="1">
      <c r="A486" s="603" t="s">
        <v>127</v>
      </c>
      <c r="B486" s="595"/>
      <c r="C486" s="595"/>
      <c r="D486" s="596"/>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6.75" customHeight="1">
      <c r="A487" s="54"/>
      <c r="B487" s="54"/>
      <c r="C487" s="54"/>
      <c r="D487" s="55"/>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48" customHeight="1">
      <c r="A488" s="603" t="s">
        <v>36</v>
      </c>
      <c r="B488" s="595"/>
      <c r="C488" s="595"/>
      <c r="D488" s="596"/>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6.75" customHeight="1">
      <c r="A489" s="54"/>
      <c r="B489" s="54"/>
      <c r="C489" s="54"/>
      <c r="D489" s="55"/>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24" customHeight="1">
      <c r="A490" s="603" t="s">
        <v>79</v>
      </c>
      <c r="B490" s="595"/>
      <c r="C490" s="595"/>
      <c r="D490" s="596"/>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6.75" customHeight="1">
      <c r="A491" s="54"/>
      <c r="B491" s="54"/>
      <c r="C491" s="54"/>
      <c r="D491" s="55"/>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36" customHeight="1">
      <c r="A492" s="603" t="s">
        <v>38</v>
      </c>
      <c r="B492" s="595"/>
      <c r="C492" s="595"/>
      <c r="D492" s="596"/>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6.75" customHeight="1">
      <c r="A493" s="54"/>
      <c r="B493" s="54"/>
      <c r="C493" s="54"/>
      <c r="D493" s="55"/>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24" customHeight="1">
      <c r="A494" s="603" t="s">
        <v>128</v>
      </c>
      <c r="B494" s="595"/>
      <c r="C494" s="595"/>
      <c r="D494" s="596"/>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7.5" customHeight="1">
      <c r="A495" s="303"/>
      <c r="B495" s="303"/>
      <c r="C495" s="303"/>
      <c r="D495" s="304"/>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1.25" customHeight="1">
      <c r="A496" s="62" t="s">
        <v>129</v>
      </c>
      <c r="B496" s="63"/>
      <c r="C496" s="102" t="s">
        <v>41</v>
      </c>
      <c r="D496" s="300">
        <f>'Proposed Rates'!J347</f>
        <v>125.72</v>
      </c>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1.25" customHeight="1">
      <c r="A497" s="62" t="s">
        <v>130</v>
      </c>
      <c r="B497" s="63"/>
      <c r="C497" s="102" t="s">
        <v>41</v>
      </c>
      <c r="D497" s="300">
        <f>'Proposed Rates'!J348</f>
        <v>50.29</v>
      </c>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1.25" customHeight="1">
      <c r="A498" s="62" t="s">
        <v>131</v>
      </c>
      <c r="B498" s="63"/>
      <c r="C498" s="102" t="s">
        <v>132</v>
      </c>
      <c r="D498" s="300">
        <f>'Proposed Rates'!J349</f>
        <v>1.24</v>
      </c>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1.25" customHeight="1">
      <c r="A499" s="62" t="s">
        <v>133</v>
      </c>
      <c r="B499" s="63"/>
      <c r="C499" s="102" t="s">
        <v>132</v>
      </c>
      <c r="D499" s="300">
        <f>'Proposed Rates'!J350</f>
        <v>0.74</v>
      </c>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1.25" customHeight="1">
      <c r="A500" s="62" t="s">
        <v>134</v>
      </c>
      <c r="B500" s="63"/>
      <c r="C500" s="102" t="s">
        <v>132</v>
      </c>
      <c r="D500" s="300">
        <f>'Proposed Rates'!J351</f>
        <v>-0.74</v>
      </c>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1.25" customHeight="1">
      <c r="A501" s="62" t="s">
        <v>135</v>
      </c>
      <c r="B501" s="63"/>
      <c r="C501" s="62"/>
      <c r="D501" s="300"/>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1.25" customHeight="1">
      <c r="A502" s="62" t="s">
        <v>136</v>
      </c>
      <c r="B502" s="63"/>
      <c r="C502" s="102" t="s">
        <v>41</v>
      </c>
      <c r="D502" s="300">
        <f>'Proposed Rates'!J353</f>
        <v>0.63</v>
      </c>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1.25" customHeight="1">
      <c r="A503" s="62" t="s">
        <v>137</v>
      </c>
      <c r="B503" s="63"/>
      <c r="C503" s="102" t="s">
        <v>41</v>
      </c>
      <c r="D503" s="300">
        <f>'Proposed Rates'!J354</f>
        <v>1.24</v>
      </c>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5.25" customHeight="1">
      <c r="A504" s="62"/>
      <c r="B504" s="63"/>
      <c r="C504" s="102"/>
      <c r="D504" s="300"/>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1.25" customHeight="1">
      <c r="A505" s="62" t="s">
        <v>138</v>
      </c>
      <c r="B505" s="63"/>
      <c r="C505" s="105"/>
      <c r="D505" s="300"/>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1.25" customHeight="1">
      <c r="A506" s="62" t="s">
        <v>139</v>
      </c>
      <c r="B506" s="63"/>
      <c r="C506" s="105"/>
      <c r="D506" s="300"/>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1.25" customHeight="1">
      <c r="A507" s="62" t="s">
        <v>140</v>
      </c>
      <c r="B507" s="63"/>
      <c r="C507" s="105"/>
      <c r="D507" s="300"/>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1.25" customHeight="1">
      <c r="A508" s="62" t="s">
        <v>141</v>
      </c>
      <c r="B508" s="63"/>
      <c r="C508" s="102" t="s">
        <v>41</v>
      </c>
      <c r="D508" s="300" t="str">
        <f>'Proposed Rates'!J358</f>
        <v>no charge</v>
      </c>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1.25" customHeight="1">
      <c r="A509" s="62" t="s">
        <v>142</v>
      </c>
      <c r="B509" s="63"/>
      <c r="C509" s="102" t="s">
        <v>41</v>
      </c>
      <c r="D509" s="300">
        <f>'Proposed Rates'!J359</f>
        <v>5.03</v>
      </c>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3" customHeight="1">
      <c r="A510" s="62"/>
      <c r="B510" s="63"/>
      <c r="C510" s="102"/>
      <c r="D510" s="300"/>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1.25" customHeight="1">
      <c r="A511" s="62" t="s">
        <v>143</v>
      </c>
      <c r="B511" s="63"/>
      <c r="C511" s="105"/>
      <c r="D511" s="300"/>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1.25" customHeight="1">
      <c r="A512" s="62" t="s">
        <v>144</v>
      </c>
      <c r="B512" s="63"/>
      <c r="C512" s="102" t="s">
        <v>41</v>
      </c>
      <c r="D512" s="300">
        <f>'Proposed Rates'!J361</f>
        <v>2.5099999999999998</v>
      </c>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6.75" customHeight="1">
      <c r="A513" s="73"/>
      <c r="B513" s="73"/>
      <c r="C513" s="102"/>
      <c r="D513" s="92"/>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24" customHeight="1">
      <c r="A514" s="597" t="str">
        <f>$A$1</f>
        <v>Hydro Ottawa Limited</v>
      </c>
      <c r="B514" s="595"/>
      <c r="C514" s="595"/>
      <c r="D514" s="596"/>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98" t="str">
        <f>$A$2</f>
        <v>PROPOSED - TARIFF OF RATES AND CHARGES</v>
      </c>
      <c r="B515" s="595"/>
      <c r="C515" s="595"/>
      <c r="D515" s="596"/>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99" t="str">
        <f>$A$3</f>
        <v>Effective and Implementation Date January 1, 2030</v>
      </c>
      <c r="B516" s="595"/>
      <c r="C516" s="595"/>
      <c r="D516" s="596"/>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 customHeight="1">
      <c r="A517" s="600" t="str">
        <f>$A$4</f>
        <v>This schedule supersedes and replaces all previously</v>
      </c>
      <c r="B517" s="595"/>
      <c r="C517" s="595"/>
      <c r="D517" s="596"/>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1.25" customHeight="1">
      <c r="A518" s="600" t="str">
        <f>$A$5</f>
        <v>approved schedules of Rates, Charges and Loss Factors</v>
      </c>
      <c r="B518" s="595"/>
      <c r="C518" s="595"/>
      <c r="D518" s="596"/>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1.25" customHeight="1">
      <c r="A519" s="601" t="str">
        <f>$A$6</f>
        <v>EB-2024-0115</v>
      </c>
      <c r="B519" s="595"/>
      <c r="C519" s="595"/>
      <c r="D519" s="596"/>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 customHeight="1">
      <c r="A520" s="106" t="s">
        <v>145</v>
      </c>
      <c r="B520" s="106"/>
      <c r="C520" s="107"/>
      <c r="D520" s="108"/>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6.75" customHeight="1">
      <c r="A521" s="106"/>
      <c r="B521" s="106"/>
      <c r="C521" s="107"/>
      <c r="D521" s="108"/>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22.5" customHeight="1">
      <c r="A522" s="605" t="s">
        <v>146</v>
      </c>
      <c r="B522" s="595"/>
      <c r="C522" s="595"/>
      <c r="D522" s="596"/>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1.25" customHeight="1">
      <c r="A523" s="607" t="s">
        <v>147</v>
      </c>
      <c r="B523" s="595"/>
      <c r="C523" s="596"/>
      <c r="D523" s="284">
        <f>'Proposed Rates'!J312</f>
        <v>1.0331999999999999</v>
      </c>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1.25" customHeight="1">
      <c r="A524" s="607" t="s">
        <v>148</v>
      </c>
      <c r="B524" s="595"/>
      <c r="C524" s="596"/>
      <c r="D524" s="284">
        <f>'Proposed Rates'!J313</f>
        <v>1.0149999999999999</v>
      </c>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1.25" customHeight="1">
      <c r="A525" s="607" t="s">
        <v>149</v>
      </c>
      <c r="B525" s="595"/>
      <c r="C525" s="596"/>
      <c r="D525" s="284">
        <f>'Proposed Rates'!J314</f>
        <v>1.0230999999999999</v>
      </c>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1.25" customHeight="1">
      <c r="A526" s="607" t="s">
        <v>150</v>
      </c>
      <c r="B526" s="595"/>
      <c r="C526" s="596"/>
      <c r="D526" s="284">
        <f>'Proposed Rates'!J315</f>
        <v>1.0047999999999999</v>
      </c>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109"/>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109"/>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109"/>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109"/>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109"/>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109"/>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109"/>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109"/>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109"/>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109"/>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109"/>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109"/>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109"/>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109"/>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109"/>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109"/>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109"/>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109"/>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109"/>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109"/>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109"/>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109"/>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109"/>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109"/>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109"/>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109"/>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109"/>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109"/>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109"/>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109"/>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109"/>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109"/>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109"/>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109"/>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109"/>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109"/>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109"/>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109"/>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109"/>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109"/>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109"/>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109"/>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109"/>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109"/>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109"/>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109"/>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109"/>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109"/>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109"/>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109"/>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109"/>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109"/>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109"/>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109"/>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109"/>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109"/>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109"/>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109"/>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109"/>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109"/>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109"/>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109"/>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109"/>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109"/>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109"/>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109"/>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109"/>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109"/>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109"/>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109"/>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109"/>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109"/>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109"/>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109"/>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109"/>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109"/>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109"/>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109"/>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109"/>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109"/>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109"/>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109"/>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109"/>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109"/>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109"/>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109"/>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109"/>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109"/>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109"/>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109"/>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109"/>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109"/>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109"/>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109"/>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109"/>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109"/>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109"/>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109"/>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109"/>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109"/>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109"/>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109"/>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109"/>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109"/>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109"/>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109"/>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109"/>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109"/>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109"/>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109"/>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109"/>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109"/>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109"/>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109"/>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109"/>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109"/>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109"/>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109"/>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109"/>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109"/>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109"/>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109"/>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109"/>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c r="A650" s="53"/>
      <c r="B650" s="53"/>
      <c r="C650" s="53"/>
      <c r="D650" s="109"/>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c r="A651" s="53"/>
      <c r="B651" s="53"/>
      <c r="C651" s="53"/>
      <c r="D651" s="109"/>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c r="A652" s="53"/>
      <c r="B652" s="53"/>
      <c r="C652" s="53"/>
      <c r="D652" s="109"/>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109"/>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109"/>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109"/>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109"/>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109"/>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109"/>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109"/>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109"/>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109"/>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109"/>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109"/>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109"/>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109"/>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109"/>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109"/>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109"/>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109"/>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109"/>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109"/>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109"/>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109"/>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109"/>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109"/>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109"/>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109"/>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109"/>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109"/>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109"/>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109"/>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109"/>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109"/>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109"/>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109"/>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109"/>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109"/>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109"/>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109"/>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109"/>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109"/>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109"/>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109"/>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109"/>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109"/>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109"/>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109"/>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109"/>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109"/>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109"/>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109"/>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109"/>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109"/>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109"/>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109"/>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109"/>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109"/>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109"/>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109"/>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109"/>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109"/>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109"/>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109"/>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109"/>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109"/>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109"/>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109"/>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109"/>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109"/>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109"/>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109"/>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109"/>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109"/>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109"/>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109"/>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109"/>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row r="728" spans="1:26" ht="15.75" customHeight="1"/>
    <row r="729" spans="1:26" ht="15.75" customHeight="1"/>
    <row r="730" spans="1:26" ht="15.75" customHeight="1"/>
    <row r="731" spans="1:26" ht="15.75" customHeight="1"/>
    <row r="732" spans="1:26" ht="15.75" customHeight="1"/>
    <row r="733" spans="1:26" ht="15.75" customHeight="1"/>
    <row r="734" spans="1:26" ht="15.75" customHeight="1"/>
    <row r="735" spans="1:26" ht="15.75" customHeight="1"/>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8">
    <mergeCell ref="A1:D1"/>
    <mergeCell ref="A2:D2"/>
    <mergeCell ref="A3:D3"/>
    <mergeCell ref="A4:D4"/>
    <mergeCell ref="A5:D5"/>
    <mergeCell ref="A6:D6"/>
    <mergeCell ref="A7:D7"/>
    <mergeCell ref="A8:D8"/>
    <mergeCell ref="A10:D10"/>
    <mergeCell ref="A12:D12"/>
    <mergeCell ref="A14:D14"/>
    <mergeCell ref="A16:D16"/>
    <mergeCell ref="A18:D18"/>
    <mergeCell ref="A39:D39"/>
    <mergeCell ref="A40:D40"/>
    <mergeCell ref="A41:D41"/>
    <mergeCell ref="A42:D42"/>
    <mergeCell ref="A43:D43"/>
    <mergeCell ref="A44:D44"/>
    <mergeCell ref="A45:D45"/>
    <mergeCell ref="A46:D46"/>
    <mergeCell ref="A48:D48"/>
    <mergeCell ref="A50:D50"/>
    <mergeCell ref="A52:D52"/>
    <mergeCell ref="A54:D54"/>
    <mergeCell ref="A56:D56"/>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98:D98"/>
    <mergeCell ref="A100:D100"/>
    <mergeCell ref="A120:D120"/>
    <mergeCell ref="A121:D121"/>
    <mergeCell ref="A122:D122"/>
    <mergeCell ref="A123:D123"/>
    <mergeCell ref="A124:D124"/>
    <mergeCell ref="A125:D125"/>
    <mergeCell ref="A126:D126"/>
    <mergeCell ref="A127:D127"/>
    <mergeCell ref="A129:D129"/>
    <mergeCell ref="A131:D131"/>
    <mergeCell ref="A133:D133"/>
    <mergeCell ref="A135:D135"/>
    <mergeCell ref="A137:D137"/>
    <mergeCell ref="A138:D138"/>
    <mergeCell ref="A139:D139"/>
    <mergeCell ref="A140:D140"/>
    <mergeCell ref="A142:D142"/>
    <mergeCell ref="A162:D162"/>
    <mergeCell ref="A163:D163"/>
    <mergeCell ref="A164:D164"/>
    <mergeCell ref="A165:D165"/>
    <mergeCell ref="A166:D166"/>
    <mergeCell ref="A167:D167"/>
    <mergeCell ref="A168:D168"/>
    <mergeCell ref="A169:D169"/>
    <mergeCell ref="A171:D171"/>
    <mergeCell ref="A173:D173"/>
    <mergeCell ref="A175:D175"/>
    <mergeCell ref="A177:D177"/>
    <mergeCell ref="A179:D179"/>
    <mergeCell ref="A180:D180"/>
    <mergeCell ref="A181:D181"/>
    <mergeCell ref="A182:D182"/>
    <mergeCell ref="A184:D184"/>
    <mergeCell ref="A203:D203"/>
    <mergeCell ref="A204:D204"/>
    <mergeCell ref="A205:D205"/>
    <mergeCell ref="A206:D206"/>
    <mergeCell ref="A207:D207"/>
    <mergeCell ref="A208:D208"/>
    <mergeCell ref="A209:D209"/>
    <mergeCell ref="A210:D210"/>
    <mergeCell ref="A212:D212"/>
    <mergeCell ref="A214:D214"/>
    <mergeCell ref="A216:D216"/>
    <mergeCell ref="A218:D218"/>
    <mergeCell ref="A220:D220"/>
    <mergeCell ref="A240:D240"/>
    <mergeCell ref="A241:D241"/>
    <mergeCell ref="A242:D242"/>
    <mergeCell ref="A243:D243"/>
    <mergeCell ref="A244:D244"/>
    <mergeCell ref="A245:D245"/>
    <mergeCell ref="A246:D246"/>
    <mergeCell ref="A247:D247"/>
    <mergeCell ref="A249:D249"/>
    <mergeCell ref="A251:D251"/>
    <mergeCell ref="A253:D253"/>
    <mergeCell ref="A255:D255"/>
    <mergeCell ref="A257:D257"/>
    <mergeCell ref="A259:D259"/>
    <mergeCell ref="A261:B261"/>
    <mergeCell ref="A262:B262"/>
    <mergeCell ref="A263:B263"/>
    <mergeCell ref="A264:B264"/>
    <mergeCell ref="A266:D266"/>
    <mergeCell ref="A267:D267"/>
    <mergeCell ref="A268:D268"/>
    <mergeCell ref="A269:D269"/>
    <mergeCell ref="A270:D270"/>
    <mergeCell ref="A271:D271"/>
    <mergeCell ref="A272:D272"/>
    <mergeCell ref="A273:D273"/>
    <mergeCell ref="A275:D275"/>
    <mergeCell ref="A277:D277"/>
    <mergeCell ref="A279:D279"/>
    <mergeCell ref="A281:D281"/>
    <mergeCell ref="A283:D283"/>
    <mergeCell ref="A285:D285"/>
    <mergeCell ref="A303:D303"/>
    <mergeCell ref="A304:D304"/>
    <mergeCell ref="A305:D305"/>
    <mergeCell ref="A306:D306"/>
    <mergeCell ref="A307:D307"/>
    <mergeCell ref="A308:D308"/>
    <mergeCell ref="A309:D309"/>
    <mergeCell ref="A310:D310"/>
    <mergeCell ref="A312:D312"/>
    <mergeCell ref="A314:D314"/>
    <mergeCell ref="A316:D316"/>
    <mergeCell ref="A318:D318"/>
    <mergeCell ref="A320:D320"/>
    <mergeCell ref="A322:D322"/>
    <mergeCell ref="A341:D341"/>
    <mergeCell ref="A342:D342"/>
    <mergeCell ref="A343:D343"/>
    <mergeCell ref="A344:D344"/>
    <mergeCell ref="A345:D345"/>
    <mergeCell ref="A346:D346"/>
    <mergeCell ref="A347:D347"/>
    <mergeCell ref="A348:D348"/>
    <mergeCell ref="A350:D350"/>
    <mergeCell ref="A352:D352"/>
    <mergeCell ref="A354:D354"/>
    <mergeCell ref="A434:B434"/>
    <mergeCell ref="A436:D436"/>
    <mergeCell ref="A437:D437"/>
    <mergeCell ref="A438:D438"/>
    <mergeCell ref="A439:D439"/>
    <mergeCell ref="A440:D440"/>
    <mergeCell ref="A356:D356"/>
    <mergeCell ref="A358:D358"/>
    <mergeCell ref="A360:D360"/>
    <mergeCell ref="A362:B362"/>
    <mergeCell ref="A364:D364"/>
    <mergeCell ref="A365:D365"/>
    <mergeCell ref="A366:D366"/>
    <mergeCell ref="A367:D367"/>
    <mergeCell ref="A368:D368"/>
    <mergeCell ref="A369:D369"/>
    <mergeCell ref="A370:D370"/>
    <mergeCell ref="A371:D371"/>
    <mergeCell ref="A373:D373"/>
    <mergeCell ref="A375:D375"/>
    <mergeCell ref="A377:D377"/>
    <mergeCell ref="A441:D441"/>
    <mergeCell ref="A444:D444"/>
    <mergeCell ref="A446:D446"/>
    <mergeCell ref="A448:D448"/>
    <mergeCell ref="A450:D450"/>
    <mergeCell ref="A453:B453"/>
    <mergeCell ref="A455:B455"/>
    <mergeCell ref="A456:B456"/>
    <mergeCell ref="A457:B457"/>
    <mergeCell ref="A458:B458"/>
    <mergeCell ref="A459:B459"/>
    <mergeCell ref="A460:B460"/>
    <mergeCell ref="A461:B461"/>
    <mergeCell ref="A464:B464"/>
    <mergeCell ref="A465:B465"/>
    <mergeCell ref="A466:B466"/>
    <mergeCell ref="A467:B467"/>
    <mergeCell ref="A468:B468"/>
    <mergeCell ref="A471:B471"/>
    <mergeCell ref="A472:B472"/>
    <mergeCell ref="A473:B473"/>
    <mergeCell ref="A475:B475"/>
    <mergeCell ref="A476:B476"/>
    <mergeCell ref="A477:B477"/>
    <mergeCell ref="A478:D478"/>
    <mergeCell ref="A479:D479"/>
    <mergeCell ref="A480:D480"/>
    <mergeCell ref="A481:D481"/>
    <mergeCell ref="A482:D482"/>
    <mergeCell ref="A483:D483"/>
    <mergeCell ref="A486:D486"/>
    <mergeCell ref="A488:D488"/>
    <mergeCell ref="A490:D490"/>
    <mergeCell ref="A492:D492"/>
    <mergeCell ref="A494:D494"/>
    <mergeCell ref="A514:D514"/>
    <mergeCell ref="A524:C524"/>
    <mergeCell ref="A525:C525"/>
    <mergeCell ref="A526:C526"/>
    <mergeCell ref="A515:D515"/>
    <mergeCell ref="A516:D516"/>
    <mergeCell ref="A517:D517"/>
    <mergeCell ref="A518:D518"/>
    <mergeCell ref="A519:D519"/>
    <mergeCell ref="A522:D522"/>
    <mergeCell ref="A523:C523"/>
    <mergeCell ref="A379:D379"/>
    <mergeCell ref="A381:D381"/>
    <mergeCell ref="A383:D383"/>
    <mergeCell ref="A385:B385"/>
    <mergeCell ref="A387:D387"/>
    <mergeCell ref="A388:D388"/>
    <mergeCell ref="A389:D389"/>
    <mergeCell ref="A390:D390"/>
    <mergeCell ref="A391:D391"/>
    <mergeCell ref="A392:D392"/>
    <mergeCell ref="A393:D393"/>
    <mergeCell ref="A394:D394"/>
    <mergeCell ref="A396:D396"/>
    <mergeCell ref="A398:D398"/>
    <mergeCell ref="A400:D400"/>
    <mergeCell ref="A402:D402"/>
    <mergeCell ref="A404:D404"/>
    <mergeCell ref="A406:D406"/>
    <mergeCell ref="A419:D419"/>
    <mergeCell ref="A421:D421"/>
    <mergeCell ref="A423:D423"/>
    <mergeCell ref="A425:D425"/>
    <mergeCell ref="A427:D427"/>
    <mergeCell ref="A429:D429"/>
    <mergeCell ref="A431:B431"/>
    <mergeCell ref="A408:B408"/>
    <mergeCell ref="A410:D410"/>
    <mergeCell ref="A411:D411"/>
    <mergeCell ref="A412:D412"/>
    <mergeCell ref="A413:D413"/>
    <mergeCell ref="A414:D414"/>
    <mergeCell ref="A415:D415"/>
    <mergeCell ref="A416:D416"/>
    <mergeCell ref="A417:D417"/>
  </mergeCells>
  <pageMargins left="0.7" right="0.7" top="0.75" bottom="0.75" header="0" footer="0"/>
  <pageSetup orientation="portrait"/>
  <rowBreaks count="13" manualBreakCount="13">
    <brk id="513" man="1"/>
    <brk id="386" man="1"/>
    <brk id="38" man="1"/>
    <brk id="265" man="1"/>
    <brk id="363" man="1"/>
    <brk id="77" man="1"/>
    <brk id="302" man="1"/>
    <brk id="239" man="1"/>
    <brk id="435" man="1"/>
    <brk id="340" man="1"/>
    <brk id="119" man="1"/>
    <brk id="409" man="1"/>
    <brk id="4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abSelected="1" workbookViewId="0">
      <pane ySplit="4" topLeftCell="A17" activePane="bottomLeft" state="frozen"/>
      <selection pane="bottomLeft" activeCell="B6" sqref="B6"/>
    </sheetView>
  </sheetViews>
  <sheetFormatPr defaultColWidth="12.5703125" defaultRowHeight="15" customHeight="1"/>
  <cols>
    <col min="1" max="1" width="6.140625" customWidth="1"/>
    <col min="2" max="2" width="42.42578125" customWidth="1"/>
    <col min="3" max="3" width="45.28515625" customWidth="1"/>
    <col min="4" max="4" width="77.85546875" customWidth="1"/>
    <col min="5" max="11" width="14.85546875" customWidth="1"/>
    <col min="12" max="26" width="12.42578125" customWidth="1"/>
  </cols>
  <sheetData>
    <row r="1" spans="1:26" ht="12" customHeight="1">
      <c r="A1" s="52"/>
      <c r="B1" s="52"/>
      <c r="C1" s="52"/>
      <c r="D1" s="3"/>
      <c r="E1" s="305"/>
      <c r="F1" s="3"/>
      <c r="G1" s="3"/>
      <c r="H1" s="3"/>
      <c r="I1" s="3"/>
      <c r="J1" s="3"/>
      <c r="K1" s="3"/>
      <c r="L1" s="3"/>
      <c r="M1" s="3"/>
      <c r="N1" s="3"/>
      <c r="O1" s="3"/>
      <c r="P1" s="3"/>
      <c r="Q1" s="3"/>
      <c r="R1" s="3"/>
      <c r="S1" s="3"/>
      <c r="T1" s="3"/>
      <c r="U1" s="3"/>
      <c r="V1" s="3"/>
      <c r="W1" s="3"/>
      <c r="X1" s="3"/>
      <c r="Y1" s="3"/>
      <c r="Z1" s="3"/>
    </row>
    <row r="2" spans="1:26" ht="12" customHeight="1">
      <c r="A2" s="306" t="s">
        <v>214</v>
      </c>
      <c r="B2" s="52"/>
      <c r="C2" s="52"/>
      <c r="D2" s="3"/>
      <c r="E2" s="3"/>
      <c r="F2" s="3"/>
      <c r="G2" s="3"/>
      <c r="H2" s="3"/>
      <c r="I2" s="3"/>
      <c r="J2" s="3"/>
      <c r="K2" s="3"/>
      <c r="L2" s="3"/>
      <c r="M2" s="3"/>
      <c r="N2" s="3"/>
      <c r="O2" s="3"/>
      <c r="P2" s="3"/>
      <c r="Q2" s="3"/>
      <c r="R2" s="3"/>
      <c r="S2" s="3"/>
      <c r="T2" s="3"/>
      <c r="U2" s="3"/>
      <c r="V2" s="3"/>
      <c r="W2" s="3"/>
      <c r="X2" s="3"/>
      <c r="Y2" s="3"/>
      <c r="Z2" s="3"/>
    </row>
    <row r="3" spans="1:26" ht="12" customHeight="1">
      <c r="A3" s="52"/>
      <c r="B3" s="52"/>
      <c r="C3" s="52"/>
      <c r="D3" s="3"/>
      <c r="E3" s="307">
        <v>4</v>
      </c>
      <c r="F3" s="307">
        <v>5</v>
      </c>
      <c r="G3" s="307">
        <v>6</v>
      </c>
      <c r="H3" s="307">
        <v>7</v>
      </c>
      <c r="I3" s="307">
        <v>8</v>
      </c>
      <c r="J3" s="307">
        <v>9</v>
      </c>
      <c r="K3" s="3"/>
      <c r="L3" s="3"/>
      <c r="M3" s="3"/>
      <c r="N3" s="3"/>
      <c r="O3" s="3"/>
      <c r="P3" s="3"/>
      <c r="Q3" s="3"/>
      <c r="R3" s="3"/>
      <c r="S3" s="3"/>
      <c r="T3" s="3"/>
      <c r="U3" s="3"/>
      <c r="V3" s="3"/>
      <c r="W3" s="3"/>
      <c r="X3" s="3"/>
      <c r="Y3" s="3"/>
      <c r="Z3" s="3"/>
    </row>
    <row r="4" spans="1:26" ht="12" customHeight="1">
      <c r="A4" s="52"/>
      <c r="B4" s="52"/>
      <c r="C4" s="52"/>
      <c r="D4" s="3"/>
      <c r="E4" s="308" t="s">
        <v>215</v>
      </c>
      <c r="F4" s="309" t="s">
        <v>2</v>
      </c>
      <c r="G4" s="309" t="s">
        <v>3</v>
      </c>
      <c r="H4" s="309" t="s">
        <v>4</v>
      </c>
      <c r="I4" s="309" t="s">
        <v>5</v>
      </c>
      <c r="J4" s="309" t="s">
        <v>6</v>
      </c>
      <c r="K4" s="3"/>
      <c r="L4" s="3"/>
      <c r="M4" s="3"/>
      <c r="N4" s="3"/>
      <c r="O4" s="3"/>
      <c r="P4" s="3"/>
      <c r="Q4" s="3"/>
      <c r="R4" s="3"/>
      <c r="S4" s="3"/>
      <c r="T4" s="3"/>
      <c r="U4" s="3"/>
      <c r="V4" s="3"/>
      <c r="W4" s="3"/>
      <c r="X4" s="3"/>
      <c r="Y4" s="3"/>
      <c r="Z4" s="3"/>
    </row>
    <row r="5" spans="1:26" ht="12" customHeight="1">
      <c r="A5" s="310" t="s">
        <v>10</v>
      </c>
      <c r="B5" s="311"/>
      <c r="C5" s="311"/>
      <c r="D5" s="311"/>
      <c r="E5" s="312"/>
      <c r="F5" s="313"/>
      <c r="G5" s="313"/>
      <c r="H5" s="311"/>
      <c r="I5" s="311"/>
      <c r="J5" s="311"/>
      <c r="K5" s="314"/>
      <c r="L5" s="314"/>
      <c r="M5" s="314"/>
      <c r="N5" s="314"/>
      <c r="O5" s="314"/>
      <c r="P5" s="314"/>
      <c r="Q5" s="314"/>
      <c r="R5" s="314"/>
      <c r="S5" s="314"/>
      <c r="T5" s="314"/>
      <c r="U5" s="314"/>
      <c r="V5" s="314"/>
      <c r="W5" s="314"/>
      <c r="X5" s="314"/>
      <c r="Y5" s="314"/>
      <c r="Z5" s="314"/>
    </row>
    <row r="6" spans="1:26" ht="12" customHeight="1">
      <c r="A6" s="306"/>
      <c r="B6" s="52"/>
      <c r="C6" s="52"/>
      <c r="D6" s="52"/>
      <c r="E6" s="315"/>
      <c r="F6" s="316"/>
      <c r="G6" s="316"/>
      <c r="H6" s="52"/>
      <c r="I6" s="52"/>
      <c r="J6" s="52"/>
      <c r="K6" s="3"/>
      <c r="L6" s="3"/>
      <c r="M6" s="3"/>
      <c r="N6" s="3"/>
      <c r="O6" s="3"/>
      <c r="P6" s="3"/>
      <c r="Q6" s="3"/>
      <c r="R6" s="3"/>
      <c r="S6" s="3"/>
      <c r="T6" s="3"/>
      <c r="U6" s="3"/>
      <c r="V6" s="3"/>
      <c r="W6" s="3"/>
      <c r="X6" s="3"/>
      <c r="Y6" s="3"/>
      <c r="Z6" s="3"/>
    </row>
    <row r="7" spans="1:26" ht="12" customHeight="1">
      <c r="A7" s="52"/>
      <c r="B7" s="306" t="s">
        <v>216</v>
      </c>
      <c r="C7" s="317" t="s">
        <v>217</v>
      </c>
      <c r="D7" s="52"/>
      <c r="E7" s="318" t="s">
        <v>215</v>
      </c>
      <c r="F7" s="319" t="str">
        <f t="shared" ref="F7:J7" si="0">F4</f>
        <v>2026F</v>
      </c>
      <c r="G7" s="319" t="str">
        <f t="shared" si="0"/>
        <v>2027F</v>
      </c>
      <c r="H7" s="319" t="str">
        <f t="shared" si="0"/>
        <v>2028F</v>
      </c>
      <c r="I7" s="319" t="str">
        <f t="shared" si="0"/>
        <v>2029F</v>
      </c>
      <c r="J7" s="319" t="str">
        <f t="shared" si="0"/>
        <v>2030F</v>
      </c>
      <c r="K7" s="3"/>
      <c r="L7" s="3"/>
      <c r="M7" s="3"/>
      <c r="N7" s="3"/>
      <c r="O7" s="3"/>
      <c r="P7" s="3"/>
      <c r="Q7" s="3"/>
      <c r="R7" s="3"/>
      <c r="S7" s="3"/>
      <c r="T7" s="3"/>
      <c r="U7" s="3"/>
      <c r="V7" s="3"/>
      <c r="W7" s="3"/>
      <c r="X7" s="3"/>
      <c r="Y7" s="3"/>
      <c r="Z7" s="3"/>
    </row>
    <row r="8" spans="1:26" ht="12" customHeight="1">
      <c r="A8" s="52"/>
      <c r="B8" s="320" t="str">
        <f t="shared" ref="B8:B18" si="1">D8&amp;"."&amp;C8</f>
        <v>Residential.Monthly Service Charge</v>
      </c>
      <c r="C8" s="320" t="s">
        <v>218</v>
      </c>
      <c r="D8" s="306" t="s">
        <v>219</v>
      </c>
      <c r="E8" s="321">
        <v>34.26</v>
      </c>
      <c r="F8" s="322">
        <v>41.03</v>
      </c>
      <c r="G8" s="322">
        <v>44.13</v>
      </c>
      <c r="H8" s="322">
        <v>48.07</v>
      </c>
      <c r="I8" s="322">
        <v>51.15</v>
      </c>
      <c r="J8" s="322">
        <v>54.07</v>
      </c>
      <c r="K8" s="3"/>
      <c r="L8" s="3"/>
      <c r="M8" s="3"/>
      <c r="N8" s="3"/>
      <c r="O8" s="3"/>
      <c r="P8" s="3"/>
      <c r="Q8" s="3"/>
      <c r="R8" s="3"/>
      <c r="S8" s="3"/>
      <c r="T8" s="3"/>
      <c r="U8" s="3"/>
      <c r="V8" s="3"/>
      <c r="W8" s="3"/>
      <c r="X8" s="3"/>
      <c r="Y8" s="3"/>
      <c r="Z8" s="3"/>
    </row>
    <row r="9" spans="1:26" ht="12" customHeight="1">
      <c r="A9" s="52"/>
      <c r="B9" s="320" t="str">
        <f t="shared" si="1"/>
        <v>General Service &lt; 50 kW.Monthly Service Charge</v>
      </c>
      <c r="C9" s="320" t="s">
        <v>218</v>
      </c>
      <c r="D9" s="306" t="s">
        <v>220</v>
      </c>
      <c r="E9" s="321">
        <v>23.53</v>
      </c>
      <c r="F9" s="322">
        <v>28.08</v>
      </c>
      <c r="G9" s="322">
        <v>30.2</v>
      </c>
      <c r="H9" s="322">
        <v>32.9</v>
      </c>
      <c r="I9" s="322">
        <v>35</v>
      </c>
      <c r="J9" s="322">
        <v>37</v>
      </c>
      <c r="K9" s="3"/>
      <c r="L9" s="3"/>
      <c r="M9" s="3"/>
      <c r="N9" s="3"/>
      <c r="O9" s="3"/>
      <c r="P9" s="3"/>
      <c r="Q9" s="3"/>
      <c r="R9" s="3"/>
      <c r="S9" s="3"/>
      <c r="T9" s="3"/>
      <c r="U9" s="3"/>
      <c r="V9" s="3"/>
      <c r="W9" s="3"/>
      <c r="X9" s="3"/>
      <c r="Y9" s="3"/>
      <c r="Z9" s="3"/>
    </row>
    <row r="10" spans="1:26" ht="12" customHeight="1">
      <c r="A10" s="52"/>
      <c r="B10" s="320" t="str">
        <f t="shared" si="1"/>
        <v>General Service 50 to 1,499 KW.Monthly Service Charge</v>
      </c>
      <c r="C10" s="320" t="s">
        <v>218</v>
      </c>
      <c r="D10" s="306" t="s">
        <v>221</v>
      </c>
      <c r="E10" s="321">
        <v>200</v>
      </c>
      <c r="F10" s="322">
        <v>200</v>
      </c>
      <c r="G10" s="322">
        <v>200</v>
      </c>
      <c r="H10" s="322">
        <v>200</v>
      </c>
      <c r="I10" s="322">
        <v>200</v>
      </c>
      <c r="J10" s="322">
        <v>200</v>
      </c>
      <c r="K10" s="3"/>
      <c r="L10" s="3"/>
      <c r="M10" s="3"/>
      <c r="N10" s="3"/>
      <c r="O10" s="3"/>
      <c r="P10" s="3"/>
      <c r="Q10" s="3"/>
      <c r="R10" s="3"/>
      <c r="S10" s="3"/>
      <c r="T10" s="3"/>
      <c r="U10" s="3"/>
      <c r="V10" s="3"/>
      <c r="W10" s="3"/>
      <c r="X10" s="3"/>
      <c r="Y10" s="3"/>
      <c r="Z10" s="3"/>
    </row>
    <row r="11" spans="1:26" ht="12" customHeight="1">
      <c r="A11" s="52"/>
      <c r="B11" s="320" t="str">
        <f t="shared" si="1"/>
        <v>General Service 1,500 to 4,999 KW.Monthly Service Charge</v>
      </c>
      <c r="C11" s="320" t="s">
        <v>218</v>
      </c>
      <c r="D11" s="306" t="s">
        <v>222</v>
      </c>
      <c r="E11" s="321">
        <v>4126.75</v>
      </c>
      <c r="F11" s="322">
        <v>4126.75</v>
      </c>
      <c r="G11" s="322">
        <v>4126.75</v>
      </c>
      <c r="H11" s="322">
        <v>4126.75</v>
      </c>
      <c r="I11" s="322">
        <v>4126.75</v>
      </c>
      <c r="J11" s="322">
        <v>4126.75</v>
      </c>
      <c r="K11" s="323"/>
      <c r="L11" s="3"/>
      <c r="M11" s="3"/>
      <c r="N11" s="3"/>
      <c r="O11" s="3"/>
      <c r="P11" s="3"/>
      <c r="Q11" s="3"/>
      <c r="R11" s="3"/>
      <c r="S11" s="3"/>
      <c r="T11" s="3"/>
      <c r="U11" s="3"/>
      <c r="V11" s="3"/>
      <c r="W11" s="3"/>
      <c r="X11" s="3"/>
      <c r="Y11" s="3"/>
      <c r="Z11" s="3"/>
    </row>
    <row r="12" spans="1:26" ht="12" customHeight="1">
      <c r="A12" s="52"/>
      <c r="B12" s="320" t="str">
        <f t="shared" si="1"/>
        <v>Large User.Monthly Service Charge</v>
      </c>
      <c r="C12" s="320" t="s">
        <v>218</v>
      </c>
      <c r="D12" s="306" t="s">
        <v>223</v>
      </c>
      <c r="E12" s="321">
        <v>14946.93</v>
      </c>
      <c r="F12" s="322">
        <v>14946.93</v>
      </c>
      <c r="G12" s="322">
        <v>14946.93</v>
      </c>
      <c r="H12" s="322">
        <v>14946.93</v>
      </c>
      <c r="I12" s="322">
        <v>14946.93</v>
      </c>
      <c r="J12" s="322">
        <v>14946.93</v>
      </c>
      <c r="K12" s="323"/>
      <c r="L12" s="3"/>
      <c r="M12" s="3"/>
      <c r="N12" s="3"/>
      <c r="O12" s="3"/>
      <c r="P12" s="3"/>
      <c r="Q12" s="3"/>
      <c r="R12" s="3"/>
      <c r="S12" s="3"/>
      <c r="T12" s="3"/>
      <c r="U12" s="3"/>
      <c r="V12" s="3"/>
      <c r="W12" s="3"/>
      <c r="X12" s="3"/>
      <c r="Y12" s="3"/>
      <c r="Z12" s="3"/>
    </row>
    <row r="13" spans="1:26" ht="12" customHeight="1">
      <c r="A13" s="52"/>
      <c r="B13" s="320" t="str">
        <f t="shared" si="1"/>
        <v>Street Light.Monthly Service Charge</v>
      </c>
      <c r="C13" s="320" t="s">
        <v>218</v>
      </c>
      <c r="D13" s="306" t="s">
        <v>224</v>
      </c>
      <c r="E13" s="321">
        <v>1.1200000000000001</v>
      </c>
      <c r="F13" s="322">
        <v>1.25</v>
      </c>
      <c r="G13" s="322">
        <v>1.21</v>
      </c>
      <c r="H13" s="322">
        <v>1.27</v>
      </c>
      <c r="I13" s="322">
        <v>1.29</v>
      </c>
      <c r="J13" s="322">
        <v>1.35</v>
      </c>
      <c r="K13" s="3"/>
      <c r="L13" s="3"/>
      <c r="M13" s="3"/>
      <c r="N13" s="3"/>
      <c r="O13" s="3"/>
      <c r="P13" s="3"/>
      <c r="Q13" s="3"/>
      <c r="R13" s="3"/>
      <c r="S13" s="3"/>
      <c r="T13" s="3"/>
      <c r="U13" s="3"/>
      <c r="V13" s="3"/>
      <c r="W13" s="3"/>
      <c r="X13" s="3"/>
      <c r="Y13" s="3"/>
      <c r="Z13" s="3"/>
    </row>
    <row r="14" spans="1:26" ht="12" customHeight="1">
      <c r="A14" s="52"/>
      <c r="B14" s="320" t="str">
        <f t="shared" si="1"/>
        <v>Sentinel Lights.Monthly Service Charge</v>
      </c>
      <c r="C14" s="320" t="s">
        <v>218</v>
      </c>
      <c r="D14" s="306" t="s">
        <v>225</v>
      </c>
      <c r="E14" s="321">
        <v>7.02</v>
      </c>
      <c r="F14" s="322">
        <v>8.41</v>
      </c>
      <c r="G14" s="322">
        <v>9.0500000000000007</v>
      </c>
      <c r="H14" s="322">
        <v>9.86</v>
      </c>
      <c r="I14" s="322">
        <v>10.49</v>
      </c>
      <c r="J14" s="322">
        <v>11.09</v>
      </c>
      <c r="K14" s="3"/>
      <c r="L14" s="3"/>
      <c r="M14" s="3"/>
      <c r="N14" s="3"/>
      <c r="O14" s="3"/>
      <c r="P14" s="3"/>
      <c r="Q14" s="3"/>
      <c r="R14" s="3"/>
      <c r="S14" s="3"/>
      <c r="T14" s="3"/>
      <c r="U14" s="3"/>
      <c r="V14" s="3"/>
      <c r="W14" s="3"/>
      <c r="X14" s="3"/>
      <c r="Y14" s="3"/>
      <c r="Z14" s="3"/>
    </row>
    <row r="15" spans="1:26" ht="12" customHeight="1">
      <c r="A15" s="52"/>
      <c r="B15" s="320" t="str">
        <f t="shared" si="1"/>
        <v>Unmetered Scattered Load.Monthly Service Charge</v>
      </c>
      <c r="C15" s="320" t="s">
        <v>218</v>
      </c>
      <c r="D15" s="306" t="s">
        <v>226</v>
      </c>
      <c r="E15" s="321">
        <v>7.09</v>
      </c>
      <c r="F15" s="322">
        <v>8.1300000000000008</v>
      </c>
      <c r="G15" s="322">
        <v>8.69</v>
      </c>
      <c r="H15" s="322">
        <v>9.39</v>
      </c>
      <c r="I15" s="322">
        <v>9.98</v>
      </c>
      <c r="J15" s="322">
        <v>10.55</v>
      </c>
      <c r="K15" s="3"/>
      <c r="L15" s="3"/>
      <c r="M15" s="3"/>
      <c r="N15" s="3"/>
      <c r="O15" s="3"/>
      <c r="P15" s="3"/>
      <c r="Q15" s="3"/>
      <c r="R15" s="3"/>
      <c r="S15" s="3"/>
      <c r="T15" s="3"/>
      <c r="U15" s="3"/>
      <c r="V15" s="3"/>
      <c r="W15" s="3"/>
      <c r="X15" s="3"/>
      <c r="Y15" s="3"/>
      <c r="Z15" s="3"/>
    </row>
    <row r="16" spans="1:26" ht="12" customHeight="1">
      <c r="A16" s="52"/>
      <c r="B16" s="320" t="str">
        <f t="shared" si="1"/>
        <v>Standby Power General Service 50 to 1,499 KW.Monthly Service Charge</v>
      </c>
      <c r="C16" s="320" t="s">
        <v>218</v>
      </c>
      <c r="D16" s="306" t="s">
        <v>227</v>
      </c>
      <c r="E16" s="321">
        <v>186.89</v>
      </c>
      <c r="F16" s="324">
        <v>186.89</v>
      </c>
      <c r="G16" s="324">
        <v>186.89</v>
      </c>
      <c r="H16" s="324">
        <v>186.89</v>
      </c>
      <c r="I16" s="324">
        <v>186.89</v>
      </c>
      <c r="J16" s="324">
        <v>186.89</v>
      </c>
      <c r="K16" s="3"/>
      <c r="L16" s="3"/>
      <c r="M16" s="3"/>
      <c r="N16" s="3"/>
      <c r="O16" s="3"/>
      <c r="P16" s="3"/>
      <c r="Q16" s="3"/>
      <c r="R16" s="3"/>
      <c r="S16" s="3"/>
      <c r="T16" s="3"/>
      <c r="U16" s="3"/>
      <c r="V16" s="3"/>
      <c r="W16" s="3"/>
      <c r="X16" s="3"/>
      <c r="Y16" s="3"/>
      <c r="Z16" s="3"/>
    </row>
    <row r="17" spans="1:26" ht="12" customHeight="1">
      <c r="A17" s="52"/>
      <c r="B17" s="320" t="str">
        <f t="shared" si="1"/>
        <v>Standby Power General Service 1,500 to 4,999 KW.Monthly Service Charge</v>
      </c>
      <c r="C17" s="320" t="s">
        <v>218</v>
      </c>
      <c r="D17" s="306" t="s">
        <v>228</v>
      </c>
      <c r="E17" s="321">
        <v>186.89</v>
      </c>
      <c r="F17" s="324">
        <v>186.89</v>
      </c>
      <c r="G17" s="324">
        <v>186.89</v>
      </c>
      <c r="H17" s="324">
        <v>186.89</v>
      </c>
      <c r="I17" s="324">
        <v>186.89</v>
      </c>
      <c r="J17" s="324">
        <v>186.89</v>
      </c>
      <c r="K17" s="3"/>
      <c r="L17" s="3"/>
      <c r="M17" s="3"/>
      <c r="N17" s="3"/>
      <c r="O17" s="3"/>
      <c r="P17" s="3"/>
      <c r="Q17" s="3"/>
      <c r="R17" s="3"/>
      <c r="S17" s="3"/>
      <c r="T17" s="3"/>
      <c r="U17" s="3"/>
      <c r="V17" s="3"/>
      <c r="W17" s="3"/>
      <c r="X17" s="3"/>
      <c r="Y17" s="3"/>
      <c r="Z17" s="3"/>
    </row>
    <row r="18" spans="1:26" ht="12" customHeight="1">
      <c r="A18" s="52"/>
      <c r="B18" s="320" t="str">
        <f t="shared" si="1"/>
        <v>Standby Power Large Use.Monthly Service Charge</v>
      </c>
      <c r="C18" s="320" t="s">
        <v>218</v>
      </c>
      <c r="D18" s="306" t="s">
        <v>229</v>
      </c>
      <c r="E18" s="321">
        <v>186.89</v>
      </c>
      <c r="F18" s="324">
        <v>186.89</v>
      </c>
      <c r="G18" s="324">
        <v>186.89</v>
      </c>
      <c r="H18" s="324">
        <v>186.89</v>
      </c>
      <c r="I18" s="324">
        <v>186.89</v>
      </c>
      <c r="J18" s="324">
        <v>186.89</v>
      </c>
      <c r="K18" s="3"/>
      <c r="L18" s="3"/>
      <c r="M18" s="3"/>
      <c r="N18" s="3"/>
      <c r="O18" s="3"/>
      <c r="P18" s="3"/>
      <c r="Q18" s="3"/>
      <c r="R18" s="3"/>
      <c r="S18" s="3"/>
      <c r="T18" s="3"/>
      <c r="U18" s="3"/>
      <c r="V18" s="3"/>
      <c r="W18" s="3"/>
      <c r="X18" s="3"/>
      <c r="Y18" s="3"/>
      <c r="Z18" s="3"/>
    </row>
    <row r="19" spans="1:26" ht="12" customHeight="1">
      <c r="A19" s="52"/>
      <c r="B19" s="52"/>
      <c r="C19" s="52"/>
      <c r="D19" s="3"/>
      <c r="E19" s="3"/>
      <c r="F19" s="306"/>
      <c r="G19" s="306"/>
      <c r="H19" s="306"/>
      <c r="I19" s="306"/>
      <c r="J19" s="306"/>
      <c r="K19" s="3"/>
      <c r="L19" s="3"/>
      <c r="M19" s="3"/>
      <c r="N19" s="3"/>
      <c r="O19" s="3"/>
      <c r="P19" s="3"/>
      <c r="Q19" s="3"/>
      <c r="R19" s="3"/>
      <c r="S19" s="3"/>
      <c r="T19" s="3"/>
      <c r="U19" s="3"/>
      <c r="V19" s="3"/>
      <c r="W19" s="3"/>
      <c r="X19" s="3"/>
      <c r="Y19" s="3"/>
      <c r="Z19" s="3"/>
    </row>
    <row r="20" spans="1:26" ht="12" customHeight="1">
      <c r="A20" s="52"/>
      <c r="B20" s="306"/>
      <c r="C20" s="317" t="s">
        <v>230</v>
      </c>
      <c r="D20" s="52"/>
      <c r="E20" s="318" t="s">
        <v>215</v>
      </c>
      <c r="F20" s="319" t="str">
        <f t="shared" ref="F20:J20" si="2">F$4</f>
        <v>2026F</v>
      </c>
      <c r="G20" s="319" t="str">
        <f t="shared" si="2"/>
        <v>2027F</v>
      </c>
      <c r="H20" s="319" t="str">
        <f t="shared" si="2"/>
        <v>2028F</v>
      </c>
      <c r="I20" s="319" t="str">
        <f t="shared" si="2"/>
        <v>2029F</v>
      </c>
      <c r="J20" s="319" t="str">
        <f t="shared" si="2"/>
        <v>2030F</v>
      </c>
      <c r="K20" s="3"/>
      <c r="L20" s="3"/>
      <c r="M20" s="3"/>
      <c r="N20" s="3"/>
      <c r="O20" s="3"/>
      <c r="P20" s="3"/>
      <c r="Q20" s="3"/>
      <c r="R20" s="3"/>
      <c r="S20" s="3"/>
      <c r="T20" s="3"/>
      <c r="U20" s="3"/>
      <c r="V20" s="3"/>
      <c r="W20" s="3"/>
      <c r="X20" s="3"/>
      <c r="Y20" s="3"/>
      <c r="Z20" s="3"/>
    </row>
    <row r="21" spans="1:26" ht="12" customHeight="1">
      <c r="A21" s="52" t="s">
        <v>46</v>
      </c>
      <c r="B21" s="320" t="str">
        <f t="shared" ref="B21:B31" si="3">D21&amp;"."&amp;C21</f>
        <v>Residential.Distribution Volumetric Rate</v>
      </c>
      <c r="C21" s="320" t="s">
        <v>59</v>
      </c>
      <c r="D21" s="306" t="s">
        <v>219</v>
      </c>
      <c r="E21" s="3">
        <v>0</v>
      </c>
      <c r="F21" s="325">
        <v>0</v>
      </c>
      <c r="G21" s="325">
        <v>0</v>
      </c>
      <c r="H21" s="325">
        <v>0</v>
      </c>
      <c r="I21" s="325">
        <v>0</v>
      </c>
      <c r="J21" s="325">
        <v>0</v>
      </c>
      <c r="K21" s="3"/>
      <c r="L21" s="3"/>
      <c r="M21" s="3"/>
      <c r="N21" s="3"/>
      <c r="O21" s="3"/>
      <c r="P21" s="3"/>
      <c r="Q21" s="3"/>
      <c r="R21" s="3"/>
      <c r="S21" s="3"/>
      <c r="T21" s="3"/>
      <c r="U21" s="3"/>
      <c r="V21" s="3"/>
      <c r="W21" s="3"/>
      <c r="X21" s="3"/>
      <c r="Y21" s="3"/>
      <c r="Z21" s="3"/>
    </row>
    <row r="22" spans="1:26" ht="12" customHeight="1">
      <c r="A22" s="52" t="s">
        <v>46</v>
      </c>
      <c r="B22" s="320" t="str">
        <f t="shared" si="3"/>
        <v>General Service &lt; 50 kW.Distribution Volumetric Rate</v>
      </c>
      <c r="C22" s="320" t="s">
        <v>59</v>
      </c>
      <c r="D22" s="306" t="s">
        <v>220</v>
      </c>
      <c r="E22" s="305">
        <v>3.0499999999999999E-2</v>
      </c>
      <c r="F22" s="326">
        <v>3.6400000000000002E-2</v>
      </c>
      <c r="G22" s="326">
        <v>3.9100000000000003E-2</v>
      </c>
      <c r="H22" s="326">
        <v>4.2599999999999999E-2</v>
      </c>
      <c r="I22" s="326">
        <v>4.53E-2</v>
      </c>
      <c r="J22" s="326">
        <v>4.7899999999999998E-2</v>
      </c>
      <c r="K22" s="3"/>
      <c r="L22" s="3"/>
      <c r="M22" s="3"/>
      <c r="N22" s="3"/>
      <c r="O22" s="3"/>
      <c r="P22" s="3"/>
      <c r="Q22" s="3"/>
      <c r="R22" s="3"/>
      <c r="S22" s="3"/>
      <c r="T22" s="3"/>
      <c r="U22" s="3"/>
      <c r="V22" s="3"/>
      <c r="W22" s="3"/>
      <c r="X22" s="3"/>
      <c r="Y22" s="3"/>
      <c r="Z22" s="3"/>
    </row>
    <row r="23" spans="1:26" ht="12" customHeight="1">
      <c r="A23" s="52" t="s">
        <v>66</v>
      </c>
      <c r="B23" s="320" t="str">
        <f t="shared" si="3"/>
        <v>General Service 50 to 1,499 KW.Distribution Volumetric Rate</v>
      </c>
      <c r="C23" s="320" t="s">
        <v>59</v>
      </c>
      <c r="D23" s="306" t="s">
        <v>221</v>
      </c>
      <c r="E23" s="305">
        <v>6.5552999999999999</v>
      </c>
      <c r="F23" s="326">
        <v>8.0635999999999992</v>
      </c>
      <c r="G23" s="326">
        <v>8.7552000000000003</v>
      </c>
      <c r="H23" s="326">
        <v>9.6349999999999998</v>
      </c>
      <c r="I23" s="326">
        <v>10.3217</v>
      </c>
      <c r="J23" s="326">
        <v>10.9739</v>
      </c>
      <c r="K23" s="3"/>
      <c r="L23" s="3"/>
      <c r="M23" s="3"/>
      <c r="N23" s="3"/>
      <c r="O23" s="3"/>
      <c r="P23" s="3"/>
      <c r="Q23" s="3"/>
      <c r="R23" s="3"/>
      <c r="S23" s="3"/>
      <c r="T23" s="3"/>
      <c r="U23" s="3"/>
      <c r="V23" s="3"/>
      <c r="W23" s="3"/>
      <c r="X23" s="3"/>
      <c r="Y23" s="3"/>
      <c r="Z23" s="3"/>
    </row>
    <row r="24" spans="1:26" ht="12" customHeight="1">
      <c r="A24" s="52" t="s">
        <v>66</v>
      </c>
      <c r="B24" s="320" t="str">
        <f t="shared" si="3"/>
        <v>General Service 1,500 to 4,999 KW.Distribution Volumetric Rate</v>
      </c>
      <c r="C24" s="320" t="s">
        <v>59</v>
      </c>
      <c r="D24" s="306" t="s">
        <v>222</v>
      </c>
      <c r="E24" s="305">
        <v>6.0796000000000001</v>
      </c>
      <c r="F24" s="326">
        <v>7.7050000000000001</v>
      </c>
      <c r="G24" s="326">
        <v>8.4490999999999996</v>
      </c>
      <c r="H24" s="326">
        <v>9.3969000000000005</v>
      </c>
      <c r="I24" s="326">
        <v>10.138</v>
      </c>
      <c r="J24" s="326">
        <v>10.843</v>
      </c>
      <c r="K24" s="3"/>
      <c r="L24" s="3"/>
      <c r="M24" s="3"/>
      <c r="N24" s="3"/>
      <c r="O24" s="3"/>
      <c r="P24" s="3"/>
      <c r="Q24" s="3"/>
      <c r="R24" s="3"/>
      <c r="S24" s="3"/>
      <c r="T24" s="3"/>
      <c r="U24" s="3"/>
      <c r="V24" s="3"/>
      <c r="W24" s="3"/>
      <c r="X24" s="3"/>
      <c r="Y24" s="3"/>
      <c r="Z24" s="3"/>
    </row>
    <row r="25" spans="1:26" ht="12" customHeight="1">
      <c r="A25" s="52" t="s">
        <v>66</v>
      </c>
      <c r="B25" s="320" t="str">
        <f t="shared" si="3"/>
        <v>Large User.Distribution Volumetric Rate</v>
      </c>
      <c r="C25" s="320" t="s">
        <v>59</v>
      </c>
      <c r="D25" s="306" t="s">
        <v>223</v>
      </c>
      <c r="E25" s="305">
        <v>6.0316000000000001</v>
      </c>
      <c r="F25" s="326">
        <v>7.8982000000000001</v>
      </c>
      <c r="G25" s="326">
        <v>8.8231999999999999</v>
      </c>
      <c r="H25" s="326">
        <v>9.8528000000000002</v>
      </c>
      <c r="I25" s="326">
        <v>10.6686</v>
      </c>
      <c r="J25" s="326">
        <v>11.3901</v>
      </c>
      <c r="K25" s="3"/>
      <c r="L25" s="3"/>
      <c r="M25" s="3"/>
      <c r="N25" s="3"/>
      <c r="O25" s="3"/>
      <c r="P25" s="3"/>
      <c r="Q25" s="3"/>
      <c r="R25" s="3"/>
      <c r="S25" s="3"/>
      <c r="T25" s="3"/>
      <c r="U25" s="3"/>
      <c r="V25" s="3"/>
      <c r="W25" s="3"/>
      <c r="X25" s="3"/>
      <c r="Y25" s="3"/>
      <c r="Z25" s="3"/>
    </row>
    <row r="26" spans="1:26" ht="12" customHeight="1">
      <c r="A26" s="52" t="s">
        <v>66</v>
      </c>
      <c r="B26" s="320" t="str">
        <f t="shared" si="3"/>
        <v>Street Light.Distribution Volumetric Rate</v>
      </c>
      <c r="C26" s="320" t="s">
        <v>59</v>
      </c>
      <c r="D26" s="306" t="s">
        <v>224</v>
      </c>
      <c r="E26" s="305">
        <v>7.8163999999999998</v>
      </c>
      <c r="F26" s="326">
        <v>8.6377000000000006</v>
      </c>
      <c r="G26" s="326">
        <v>8.4458000000000002</v>
      </c>
      <c r="H26" s="326">
        <v>8.9296000000000006</v>
      </c>
      <c r="I26" s="326">
        <v>9.0349000000000004</v>
      </c>
      <c r="J26" s="326">
        <v>9.4875000000000007</v>
      </c>
      <c r="K26" s="3"/>
      <c r="L26" s="3"/>
      <c r="M26" s="3"/>
      <c r="N26" s="3"/>
      <c r="O26" s="3"/>
      <c r="P26" s="3"/>
      <c r="Q26" s="3"/>
      <c r="R26" s="3"/>
      <c r="S26" s="3"/>
      <c r="T26" s="3"/>
      <c r="U26" s="3"/>
      <c r="V26" s="3"/>
      <c r="W26" s="3"/>
      <c r="X26" s="3"/>
      <c r="Y26" s="3"/>
      <c r="Z26" s="3"/>
    </row>
    <row r="27" spans="1:26" ht="12" customHeight="1">
      <c r="A27" s="52" t="s">
        <v>66</v>
      </c>
      <c r="B27" s="320" t="str">
        <f t="shared" si="3"/>
        <v>Sentinel Lights.Distribution Volumetric Rate</v>
      </c>
      <c r="C27" s="320" t="s">
        <v>59</v>
      </c>
      <c r="D27" s="306" t="s">
        <v>225</v>
      </c>
      <c r="E27" s="305">
        <v>32.929699999999997</v>
      </c>
      <c r="F27" s="326">
        <v>39.417299999999997</v>
      </c>
      <c r="G27" s="326">
        <v>42.374499999999998</v>
      </c>
      <c r="H27" s="326">
        <v>46.154299999999999</v>
      </c>
      <c r="I27" s="326">
        <v>49.113</v>
      </c>
      <c r="J27" s="326">
        <v>51.912999999999997</v>
      </c>
      <c r="K27" s="3"/>
      <c r="L27" s="3"/>
      <c r="M27" s="3"/>
      <c r="N27" s="3"/>
      <c r="O27" s="3"/>
      <c r="P27" s="3"/>
      <c r="Q27" s="3"/>
      <c r="R27" s="3"/>
      <c r="S27" s="3"/>
      <c r="T27" s="3"/>
      <c r="U27" s="3"/>
      <c r="V27" s="3"/>
      <c r="W27" s="3"/>
      <c r="X27" s="3"/>
      <c r="Y27" s="3"/>
      <c r="Z27" s="3"/>
    </row>
    <row r="28" spans="1:26" ht="12" customHeight="1">
      <c r="A28" s="52" t="s">
        <v>46</v>
      </c>
      <c r="B28" s="320" t="str">
        <f t="shared" si="3"/>
        <v>Unmetered Scattered Load.Distribution Volumetric Rate</v>
      </c>
      <c r="C28" s="320" t="s">
        <v>59</v>
      </c>
      <c r="D28" s="306" t="s">
        <v>226</v>
      </c>
      <c r="E28" s="305">
        <v>3.3799999999999997E-2</v>
      </c>
      <c r="F28" s="326">
        <v>3.8800000000000001E-2</v>
      </c>
      <c r="G28" s="326">
        <v>4.1500000000000002E-2</v>
      </c>
      <c r="H28" s="326">
        <v>4.4900000000000002E-2</v>
      </c>
      <c r="I28" s="326">
        <v>4.7699999999999999E-2</v>
      </c>
      <c r="J28" s="326">
        <v>5.0500000000000003E-2</v>
      </c>
      <c r="K28" s="3"/>
      <c r="L28" s="3"/>
      <c r="M28" s="3"/>
      <c r="N28" s="3"/>
      <c r="O28" s="3"/>
      <c r="P28" s="3"/>
      <c r="Q28" s="3"/>
      <c r="R28" s="3"/>
      <c r="S28" s="3"/>
      <c r="T28" s="3"/>
      <c r="U28" s="3"/>
      <c r="V28" s="3"/>
      <c r="W28" s="3"/>
      <c r="X28" s="3"/>
      <c r="Y28" s="3"/>
      <c r="Z28" s="3"/>
    </row>
    <row r="29" spans="1:26" ht="12" customHeight="1">
      <c r="A29" s="52" t="s">
        <v>66</v>
      </c>
      <c r="B29" s="320" t="str">
        <f t="shared" si="3"/>
        <v>Standby Power General Service 50 to 1,499 KW.Distribution Volumetric Rate</v>
      </c>
      <c r="C29" s="320" t="s">
        <v>59</v>
      </c>
      <c r="D29" s="306" t="s">
        <v>227</v>
      </c>
      <c r="E29" s="305">
        <v>2.4940000000000002</v>
      </c>
      <c r="F29" s="327">
        <v>4.0312000000000001</v>
      </c>
      <c r="G29" s="327">
        <v>4.3769999999999998</v>
      </c>
      <c r="H29" s="327">
        <v>4.8169000000000004</v>
      </c>
      <c r="I29" s="327">
        <v>5.1601999999999997</v>
      </c>
      <c r="J29" s="327">
        <v>5.4863</v>
      </c>
      <c r="K29" s="3"/>
      <c r="L29" s="3"/>
      <c r="M29" s="3"/>
      <c r="N29" s="3"/>
      <c r="O29" s="3"/>
      <c r="P29" s="3"/>
      <c r="Q29" s="3"/>
      <c r="R29" s="3"/>
      <c r="S29" s="3"/>
      <c r="T29" s="3"/>
      <c r="U29" s="3"/>
      <c r="V29" s="3"/>
      <c r="W29" s="3"/>
      <c r="X29" s="3"/>
      <c r="Y29" s="3"/>
      <c r="Z29" s="3"/>
    </row>
    <row r="30" spans="1:26" ht="12" customHeight="1">
      <c r="A30" s="52" t="s">
        <v>66</v>
      </c>
      <c r="B30" s="320" t="str">
        <f t="shared" si="3"/>
        <v>Standby Power General Service 1,500 to 4,999 KW.Distribution Volumetric Rate</v>
      </c>
      <c r="C30" s="320" t="s">
        <v>59</v>
      </c>
      <c r="D30" s="306" t="s">
        <v>228</v>
      </c>
      <c r="E30" s="305">
        <v>2.2877000000000001</v>
      </c>
      <c r="F30" s="327">
        <v>3.8504999999999998</v>
      </c>
      <c r="G30" s="327">
        <v>4.2225999999999999</v>
      </c>
      <c r="H30" s="327">
        <v>4.6963999999999997</v>
      </c>
      <c r="I30" s="327">
        <v>5.0670000000000002</v>
      </c>
      <c r="J30" s="327">
        <v>5.4194000000000004</v>
      </c>
      <c r="K30" s="3"/>
      <c r="L30" s="3"/>
      <c r="M30" s="3"/>
      <c r="N30" s="3"/>
      <c r="O30" s="3"/>
      <c r="P30" s="3"/>
      <c r="Q30" s="3"/>
      <c r="R30" s="3"/>
      <c r="S30" s="3"/>
      <c r="T30" s="3"/>
      <c r="U30" s="3"/>
      <c r="V30" s="3"/>
      <c r="W30" s="3"/>
      <c r="X30" s="3"/>
      <c r="Y30" s="3"/>
      <c r="Z30" s="3"/>
    </row>
    <row r="31" spans="1:26" ht="12" customHeight="1">
      <c r="A31" s="52" t="s">
        <v>66</v>
      </c>
      <c r="B31" s="320" t="str">
        <f t="shared" si="3"/>
        <v>Standby Power Large Use.Distribution Volumetric Rate</v>
      </c>
      <c r="C31" s="320" t="s">
        <v>59</v>
      </c>
      <c r="D31" s="306" t="s">
        <v>229</v>
      </c>
      <c r="E31" s="305">
        <v>2.5388000000000002</v>
      </c>
      <c r="F31" s="327">
        <v>3.9487999999999999</v>
      </c>
      <c r="G31" s="327">
        <v>4.4112999999999998</v>
      </c>
      <c r="H31" s="327">
        <v>4.9260999999999999</v>
      </c>
      <c r="I31" s="327">
        <v>5.3339999999999996</v>
      </c>
      <c r="J31" s="327">
        <v>5.6947000000000001</v>
      </c>
      <c r="K31" s="3"/>
      <c r="L31" s="3"/>
      <c r="M31" s="3"/>
      <c r="N31" s="3"/>
      <c r="O31" s="3"/>
      <c r="P31" s="3"/>
      <c r="Q31" s="3"/>
      <c r="R31" s="3"/>
      <c r="S31" s="3"/>
      <c r="T31" s="3"/>
      <c r="U31" s="3"/>
      <c r="V31" s="3"/>
      <c r="W31" s="3"/>
      <c r="X31" s="3"/>
      <c r="Y31" s="3"/>
      <c r="Z31" s="3"/>
    </row>
    <row r="32" spans="1:26" ht="12" customHeight="1">
      <c r="A32" s="52"/>
      <c r="B32" s="52"/>
      <c r="C32" s="52"/>
      <c r="D32" s="3"/>
      <c r="E32" s="3"/>
      <c r="F32" s="328"/>
      <c r="G32" s="3"/>
      <c r="H32" s="3"/>
      <c r="I32" s="3"/>
      <c r="J32" s="3"/>
      <c r="K32" s="3"/>
      <c r="L32" s="3"/>
      <c r="M32" s="3"/>
      <c r="N32" s="3"/>
      <c r="O32" s="3"/>
      <c r="P32" s="3"/>
      <c r="Q32" s="3"/>
      <c r="R32" s="3"/>
      <c r="S32" s="3"/>
      <c r="T32" s="3"/>
      <c r="U32" s="3"/>
      <c r="V32" s="3"/>
      <c r="W32" s="3"/>
      <c r="X32" s="3"/>
      <c r="Y32" s="3"/>
      <c r="Z32" s="3"/>
    </row>
    <row r="33" spans="1:26" ht="12" customHeight="1">
      <c r="A33" s="310" t="s">
        <v>231</v>
      </c>
      <c r="B33" s="311"/>
      <c r="C33" s="311"/>
      <c r="D33" s="311"/>
      <c r="E33" s="312"/>
      <c r="F33" s="313"/>
      <c r="G33" s="313"/>
      <c r="H33" s="311"/>
      <c r="I33" s="311"/>
      <c r="J33" s="311"/>
      <c r="K33" s="314"/>
      <c r="L33" s="314"/>
      <c r="M33" s="314"/>
      <c r="N33" s="314"/>
      <c r="O33" s="314"/>
      <c r="P33" s="314"/>
      <c r="Q33" s="314"/>
      <c r="R33" s="314"/>
      <c r="S33" s="314"/>
      <c r="T33" s="314"/>
      <c r="U33" s="314"/>
      <c r="V33" s="314"/>
      <c r="W33" s="314"/>
      <c r="X33" s="314"/>
      <c r="Y33" s="314"/>
      <c r="Z33" s="314"/>
    </row>
    <row r="34" spans="1:26" ht="12" customHeight="1">
      <c r="A34" s="306"/>
      <c r="B34" s="52"/>
      <c r="C34" s="52"/>
      <c r="D34" s="52"/>
      <c r="E34" s="315"/>
      <c r="F34" s="316"/>
      <c r="G34" s="316"/>
      <c r="H34" s="52"/>
      <c r="I34" s="52"/>
      <c r="J34" s="52"/>
      <c r="K34" s="3"/>
      <c r="L34" s="3"/>
      <c r="M34" s="3"/>
      <c r="N34" s="3"/>
      <c r="O34" s="3"/>
      <c r="P34" s="3"/>
      <c r="Q34" s="3"/>
      <c r="R34" s="3"/>
      <c r="S34" s="3"/>
      <c r="T34" s="3"/>
      <c r="U34" s="3"/>
      <c r="V34" s="3"/>
      <c r="W34" s="3"/>
      <c r="X34" s="3"/>
      <c r="Y34" s="3"/>
      <c r="Z34" s="3"/>
    </row>
    <row r="35" spans="1:26" ht="12" customHeight="1">
      <c r="A35" s="52"/>
      <c r="B35" s="306"/>
      <c r="C35" s="317" t="s">
        <v>232</v>
      </c>
      <c r="D35" s="3"/>
      <c r="E35" s="3"/>
      <c r="F35" s="3"/>
      <c r="G35" s="3"/>
      <c r="H35" s="329"/>
      <c r="I35" s="3"/>
      <c r="J35" s="3"/>
      <c r="K35" s="3"/>
      <c r="L35" s="3"/>
      <c r="M35" s="3"/>
      <c r="N35" s="3"/>
      <c r="O35" s="3"/>
      <c r="P35" s="3"/>
      <c r="Q35" s="3"/>
      <c r="R35" s="3"/>
      <c r="S35" s="3"/>
      <c r="T35" s="3"/>
      <c r="U35" s="3"/>
      <c r="V35" s="3"/>
      <c r="W35" s="3"/>
      <c r="X35" s="3"/>
      <c r="Y35" s="3"/>
      <c r="Z35" s="3"/>
    </row>
    <row r="36" spans="1:26" ht="12" customHeight="1">
      <c r="A36" s="52"/>
      <c r="B36" s="52"/>
      <c r="C36" s="317" t="s">
        <v>233</v>
      </c>
      <c r="D36" s="3"/>
      <c r="E36" s="318" t="s">
        <v>215</v>
      </c>
      <c r="F36" s="319" t="str">
        <f t="shared" ref="F36:J36" si="4">F$4</f>
        <v>2026F</v>
      </c>
      <c r="G36" s="319" t="str">
        <f t="shared" si="4"/>
        <v>2027F</v>
      </c>
      <c r="H36" s="319" t="str">
        <f t="shared" si="4"/>
        <v>2028F</v>
      </c>
      <c r="I36" s="319" t="str">
        <f t="shared" si="4"/>
        <v>2029F</v>
      </c>
      <c r="J36" s="319" t="str">
        <f t="shared" si="4"/>
        <v>2030F</v>
      </c>
      <c r="K36" s="3"/>
      <c r="L36" s="3"/>
      <c r="M36" s="3"/>
      <c r="N36" s="3"/>
      <c r="O36" s="3"/>
      <c r="P36" s="3"/>
      <c r="Q36" s="3"/>
      <c r="R36" s="3"/>
      <c r="S36" s="3"/>
      <c r="T36" s="3"/>
      <c r="U36" s="3"/>
      <c r="V36" s="3"/>
      <c r="W36" s="3"/>
      <c r="X36" s="3"/>
      <c r="Y36" s="3"/>
      <c r="Z36" s="3"/>
    </row>
    <row r="37" spans="1:26" ht="12" customHeight="1">
      <c r="A37" s="52" t="s">
        <v>46</v>
      </c>
      <c r="B37" s="320" t="str">
        <f t="shared" ref="B37:B47" si="5">D37&amp;"."&amp;C37</f>
        <v>Residential.DVA Disposition Rate Rider Group 1 -2025</v>
      </c>
      <c r="C37" s="320" t="s">
        <v>234</v>
      </c>
      <c r="D37" s="306" t="s">
        <v>219</v>
      </c>
      <c r="E37" s="330">
        <v>-2.0000000000000001E-4</v>
      </c>
      <c r="F37" s="331">
        <v>-5.9999999999999995E-4</v>
      </c>
      <c r="G37" s="332">
        <v>0</v>
      </c>
      <c r="H37" s="332">
        <v>0</v>
      </c>
      <c r="I37" s="332">
        <v>0</v>
      </c>
      <c r="J37" s="332">
        <v>0</v>
      </c>
      <c r="K37" s="3"/>
      <c r="L37" s="3"/>
      <c r="M37" s="3"/>
      <c r="N37" s="3"/>
      <c r="O37" s="3"/>
      <c r="P37" s="3"/>
      <c r="Q37" s="3"/>
      <c r="R37" s="3"/>
      <c r="S37" s="3"/>
      <c r="T37" s="3"/>
      <c r="U37" s="3"/>
      <c r="V37" s="3"/>
      <c r="W37" s="3"/>
      <c r="X37" s="3"/>
      <c r="Y37" s="3"/>
      <c r="Z37" s="3"/>
    </row>
    <row r="38" spans="1:26" ht="12" customHeight="1">
      <c r="A38" s="52" t="s">
        <v>46</v>
      </c>
      <c r="B38" s="320" t="str">
        <f t="shared" si="5"/>
        <v>General Service &lt; 50 kW.DVA Disposition Rate Rider Group 1 -2025</v>
      </c>
      <c r="C38" s="320" t="s">
        <v>234</v>
      </c>
      <c r="D38" s="306" t="s">
        <v>220</v>
      </c>
      <c r="E38" s="330">
        <v>0</v>
      </c>
      <c r="F38" s="331">
        <v>-5.0000000000000001E-4</v>
      </c>
      <c r="G38" s="332">
        <v>0</v>
      </c>
      <c r="H38" s="332">
        <v>0</v>
      </c>
      <c r="I38" s="332">
        <v>0</v>
      </c>
      <c r="J38" s="332">
        <v>0</v>
      </c>
      <c r="K38" s="3"/>
      <c r="L38" s="3"/>
      <c r="M38" s="3"/>
      <c r="N38" s="3"/>
      <c r="O38" s="3"/>
      <c r="P38" s="3"/>
      <c r="Q38" s="3"/>
      <c r="R38" s="3"/>
      <c r="S38" s="3"/>
      <c r="T38" s="3"/>
      <c r="U38" s="3"/>
      <c r="V38" s="3"/>
      <c r="W38" s="3"/>
      <c r="X38" s="3"/>
      <c r="Y38" s="3"/>
      <c r="Z38" s="3"/>
    </row>
    <row r="39" spans="1:26" ht="12" customHeight="1">
      <c r="A39" s="52" t="s">
        <v>66</v>
      </c>
      <c r="B39" s="320" t="str">
        <f t="shared" si="5"/>
        <v>General Service 50 to 1,499 KW.DVA Disposition Rate Rider Group 1 -2025</v>
      </c>
      <c r="C39" s="320" t="s">
        <v>234</v>
      </c>
      <c r="D39" s="306" t="s">
        <v>221</v>
      </c>
      <c r="E39" s="330">
        <v>0.35310000000000002</v>
      </c>
      <c r="F39" s="331">
        <v>7.1999999999999998E-3</v>
      </c>
      <c r="G39" s="332">
        <v>0</v>
      </c>
      <c r="H39" s="332">
        <v>0</v>
      </c>
      <c r="I39" s="332">
        <v>0</v>
      </c>
      <c r="J39" s="332">
        <v>0</v>
      </c>
      <c r="K39" s="3"/>
      <c r="L39" s="3"/>
      <c r="M39" s="3"/>
      <c r="N39" s="3"/>
      <c r="O39" s="3"/>
      <c r="P39" s="3"/>
      <c r="Q39" s="3"/>
      <c r="R39" s="3"/>
      <c r="S39" s="3"/>
      <c r="T39" s="3"/>
      <c r="U39" s="3"/>
      <c r="V39" s="3"/>
      <c r="W39" s="3"/>
      <c r="X39" s="3"/>
      <c r="Y39" s="3"/>
      <c r="Z39" s="3"/>
    </row>
    <row r="40" spans="1:26" ht="12" customHeight="1">
      <c r="A40" s="52" t="s">
        <v>66</v>
      </c>
      <c r="B40" s="320" t="str">
        <f t="shared" si="5"/>
        <v>General Service 1,500 to 4,999 KW.DVA Disposition Rate Rider Group 1 -2025</v>
      </c>
      <c r="C40" s="320" t="s">
        <v>234</v>
      </c>
      <c r="D40" s="306" t="s">
        <v>222</v>
      </c>
      <c r="E40" s="330">
        <v>5.3600000000000002E-2</v>
      </c>
      <c r="F40" s="331">
        <v>-0.22459999999999999</v>
      </c>
      <c r="G40" s="332">
        <v>0</v>
      </c>
      <c r="H40" s="332">
        <v>0</v>
      </c>
      <c r="I40" s="332">
        <v>0</v>
      </c>
      <c r="J40" s="332">
        <v>0</v>
      </c>
      <c r="K40" s="3"/>
      <c r="L40" s="3"/>
      <c r="M40" s="3"/>
      <c r="N40" s="3"/>
      <c r="O40" s="3"/>
      <c r="P40" s="3"/>
      <c r="Q40" s="3"/>
      <c r="R40" s="3"/>
      <c r="S40" s="3"/>
      <c r="T40" s="3"/>
      <c r="U40" s="3"/>
      <c r="V40" s="3"/>
      <c r="W40" s="3"/>
      <c r="X40" s="3"/>
      <c r="Y40" s="3"/>
      <c r="Z40" s="3"/>
    </row>
    <row r="41" spans="1:26" ht="12" customHeight="1">
      <c r="A41" s="52" t="s">
        <v>66</v>
      </c>
      <c r="B41" s="320" t="str">
        <f t="shared" si="5"/>
        <v>Large User.DVA Disposition Rate Rider Group 1 -2025</v>
      </c>
      <c r="C41" s="320" t="s">
        <v>234</v>
      </c>
      <c r="D41" s="306" t="s">
        <v>223</v>
      </c>
      <c r="E41" s="330">
        <v>6.3399999999999998E-2</v>
      </c>
      <c r="F41" s="331">
        <v>-0.2767</v>
      </c>
      <c r="G41" s="332">
        <v>0</v>
      </c>
      <c r="H41" s="332">
        <v>0</v>
      </c>
      <c r="I41" s="332">
        <v>0</v>
      </c>
      <c r="J41" s="332">
        <v>0</v>
      </c>
      <c r="K41" s="3"/>
      <c r="L41" s="3"/>
      <c r="M41" s="3"/>
      <c r="N41" s="3"/>
      <c r="O41" s="3"/>
      <c r="P41" s="3"/>
      <c r="Q41" s="3"/>
      <c r="R41" s="3"/>
      <c r="S41" s="3"/>
      <c r="T41" s="3"/>
      <c r="U41" s="3"/>
      <c r="V41" s="3"/>
      <c r="W41" s="3"/>
      <c r="X41" s="3"/>
      <c r="Y41" s="3"/>
      <c r="Z41" s="3"/>
    </row>
    <row r="42" spans="1:26" ht="12" customHeight="1">
      <c r="A42" s="52" t="s">
        <v>66</v>
      </c>
      <c r="B42" s="320" t="str">
        <f t="shared" si="5"/>
        <v>Street Light.DVA Disposition Rate Rider Group 1 -2025</v>
      </c>
      <c r="C42" s="320" t="s">
        <v>234</v>
      </c>
      <c r="D42" s="306" t="s">
        <v>224</v>
      </c>
      <c r="E42" s="330">
        <v>4.1000000000000002E-2</v>
      </c>
      <c r="F42" s="331">
        <v>-0.2215</v>
      </c>
      <c r="G42" s="332">
        <v>0</v>
      </c>
      <c r="H42" s="332">
        <v>0</v>
      </c>
      <c r="I42" s="332">
        <v>0</v>
      </c>
      <c r="J42" s="332">
        <v>0</v>
      </c>
      <c r="K42" s="3"/>
      <c r="L42" s="3"/>
      <c r="M42" s="3"/>
      <c r="N42" s="3"/>
      <c r="O42" s="3"/>
      <c r="P42" s="3"/>
      <c r="Q42" s="3"/>
      <c r="R42" s="3"/>
      <c r="S42" s="3"/>
      <c r="T42" s="3"/>
      <c r="U42" s="3"/>
      <c r="V42" s="3"/>
      <c r="W42" s="3"/>
      <c r="X42" s="3"/>
      <c r="Y42" s="3"/>
      <c r="Z42" s="3"/>
    </row>
    <row r="43" spans="1:26" ht="12" customHeight="1">
      <c r="A43" s="52" t="s">
        <v>66</v>
      </c>
      <c r="B43" s="320" t="str">
        <f t="shared" si="5"/>
        <v>Sentinel Lights.DVA Disposition Rate Rider Group 1 -2025</v>
      </c>
      <c r="C43" s="320" t="s">
        <v>234</v>
      </c>
      <c r="D43" s="306" t="s">
        <v>225</v>
      </c>
      <c r="E43" s="330">
        <v>4.1399999999999999E-2</v>
      </c>
      <c r="F43" s="331">
        <v>-0.15459999999999999</v>
      </c>
      <c r="G43" s="332">
        <v>0</v>
      </c>
      <c r="H43" s="332">
        <v>0</v>
      </c>
      <c r="I43" s="332">
        <v>0</v>
      </c>
      <c r="J43" s="332">
        <v>0</v>
      </c>
      <c r="K43" s="3"/>
      <c r="L43" s="3"/>
      <c r="M43" s="3"/>
      <c r="N43" s="3"/>
      <c r="O43" s="3"/>
      <c r="P43" s="3"/>
      <c r="Q43" s="3"/>
      <c r="R43" s="3"/>
      <c r="S43" s="3"/>
      <c r="T43" s="3"/>
      <c r="U43" s="3"/>
      <c r="V43" s="3"/>
      <c r="W43" s="3"/>
      <c r="X43" s="3"/>
      <c r="Y43" s="3"/>
      <c r="Z43" s="3"/>
    </row>
    <row r="44" spans="1:26" ht="12" customHeight="1">
      <c r="A44" s="52" t="s">
        <v>46</v>
      </c>
      <c r="B44" s="320" t="str">
        <f t="shared" si="5"/>
        <v>Unmetered Scattered Load.DVA Disposition Rate Rider Group 1 -2025</v>
      </c>
      <c r="C44" s="320" t="s">
        <v>234</v>
      </c>
      <c r="D44" s="306" t="s">
        <v>226</v>
      </c>
      <c r="E44" s="330">
        <v>1E-4</v>
      </c>
      <c r="F44" s="331">
        <v>-5.0000000000000001E-4</v>
      </c>
      <c r="G44" s="332">
        <v>0</v>
      </c>
      <c r="H44" s="332">
        <v>0</v>
      </c>
      <c r="I44" s="332">
        <v>0</v>
      </c>
      <c r="J44" s="332">
        <v>0</v>
      </c>
      <c r="K44" s="3"/>
      <c r="L44" s="3"/>
      <c r="M44" s="3"/>
      <c r="N44" s="3"/>
      <c r="O44" s="3"/>
      <c r="P44" s="3"/>
      <c r="Q44" s="3"/>
      <c r="R44" s="3"/>
      <c r="S44" s="3"/>
      <c r="T44" s="3"/>
      <c r="U44" s="3"/>
      <c r="V44" s="3"/>
      <c r="W44" s="3"/>
      <c r="X44" s="3"/>
      <c r="Y44" s="3"/>
      <c r="Z44" s="3"/>
    </row>
    <row r="45" spans="1:26" ht="12" customHeight="1">
      <c r="A45" s="52" t="s">
        <v>66</v>
      </c>
      <c r="B45" s="320" t="str">
        <f t="shared" si="5"/>
        <v>Standby Power General Service 50 to 1,499 KW.DVA Disposition Rate Rider Group 1 -2025</v>
      </c>
      <c r="C45" s="320" t="s">
        <v>234</v>
      </c>
      <c r="D45" s="306" t="s">
        <v>227</v>
      </c>
      <c r="E45" s="3"/>
      <c r="F45" s="333"/>
      <c r="G45" s="3"/>
      <c r="H45" s="3"/>
      <c r="I45" s="3"/>
      <c r="J45" s="3"/>
      <c r="K45" s="3"/>
      <c r="L45" s="3"/>
      <c r="M45" s="3"/>
      <c r="N45" s="3"/>
      <c r="O45" s="3"/>
      <c r="P45" s="3"/>
      <c r="Q45" s="3"/>
      <c r="R45" s="3"/>
      <c r="S45" s="3"/>
      <c r="T45" s="3"/>
      <c r="U45" s="3"/>
      <c r="V45" s="3"/>
      <c r="W45" s="3"/>
      <c r="X45" s="3"/>
      <c r="Y45" s="3"/>
      <c r="Z45" s="3"/>
    </row>
    <row r="46" spans="1:26" ht="12" customHeight="1">
      <c r="A46" s="52" t="s">
        <v>66</v>
      </c>
      <c r="B46" s="320" t="str">
        <f t="shared" si="5"/>
        <v>Standby Power General Service 1,500 to 4,999 KW.DVA Disposition Rate Rider Group 1 -2025</v>
      </c>
      <c r="C46" s="320" t="s">
        <v>234</v>
      </c>
      <c r="D46" s="306" t="s">
        <v>228</v>
      </c>
      <c r="E46" s="3"/>
      <c r="F46" s="333"/>
      <c r="G46" s="3"/>
      <c r="H46" s="334"/>
      <c r="I46" s="3"/>
      <c r="J46" s="3"/>
      <c r="K46" s="3"/>
      <c r="L46" s="3"/>
      <c r="M46" s="3"/>
      <c r="N46" s="3"/>
      <c r="O46" s="3"/>
      <c r="P46" s="3"/>
      <c r="Q46" s="3"/>
      <c r="R46" s="3"/>
      <c r="S46" s="3"/>
      <c r="T46" s="3"/>
      <c r="U46" s="3"/>
      <c r="V46" s="3"/>
      <c r="W46" s="3"/>
      <c r="X46" s="3"/>
      <c r="Y46" s="3"/>
      <c r="Z46" s="3"/>
    </row>
    <row r="47" spans="1:26" ht="12" customHeight="1">
      <c r="A47" s="52" t="s">
        <v>66</v>
      </c>
      <c r="B47" s="320" t="str">
        <f t="shared" si="5"/>
        <v>Standby Power Large Use.DVA Disposition Rate Rider Group 1 -2025</v>
      </c>
      <c r="C47" s="320" t="s">
        <v>234</v>
      </c>
      <c r="D47" s="306" t="s">
        <v>229</v>
      </c>
      <c r="E47" s="3"/>
      <c r="F47" s="333"/>
      <c r="G47" s="3"/>
      <c r="H47" s="334"/>
      <c r="I47" s="3"/>
      <c r="J47" s="3"/>
      <c r="K47" s="3"/>
      <c r="L47" s="3"/>
      <c r="M47" s="3"/>
      <c r="N47" s="3"/>
      <c r="O47" s="3"/>
      <c r="P47" s="3"/>
      <c r="Q47" s="3"/>
      <c r="R47" s="3"/>
      <c r="S47" s="3"/>
      <c r="T47" s="3"/>
      <c r="U47" s="3"/>
      <c r="V47" s="3"/>
      <c r="W47" s="3"/>
      <c r="X47" s="3"/>
      <c r="Y47" s="3"/>
      <c r="Z47" s="3"/>
    </row>
    <row r="48" spans="1:26" ht="12" customHeight="1">
      <c r="A48" s="3"/>
      <c r="B48" s="306"/>
      <c r="C48" s="3"/>
      <c r="D48" s="3"/>
      <c r="E48" s="3"/>
      <c r="F48" s="3"/>
      <c r="G48" s="3"/>
      <c r="H48" s="3"/>
      <c r="I48" s="335"/>
      <c r="J48" s="3"/>
      <c r="K48" s="3"/>
      <c r="L48" s="3"/>
      <c r="M48" s="3"/>
      <c r="N48" s="3"/>
      <c r="O48" s="3"/>
      <c r="P48" s="3"/>
      <c r="Q48" s="3"/>
      <c r="R48" s="3"/>
      <c r="S48" s="3"/>
      <c r="T48" s="3"/>
      <c r="U48" s="3"/>
      <c r="V48" s="3"/>
      <c r="W48" s="3"/>
      <c r="X48" s="3"/>
      <c r="Y48" s="3"/>
      <c r="Z48" s="3"/>
    </row>
    <row r="49" spans="1:26" ht="12" customHeight="1">
      <c r="A49" s="3"/>
      <c r="B49" s="306"/>
      <c r="C49" s="317" t="s">
        <v>235</v>
      </c>
      <c r="D49" s="3"/>
      <c r="E49" s="3"/>
      <c r="F49" s="3"/>
      <c r="G49" s="3"/>
      <c r="H49" s="3"/>
      <c r="I49" s="3"/>
      <c r="J49" s="3"/>
      <c r="K49" s="3"/>
      <c r="L49" s="3"/>
      <c r="M49" s="3"/>
      <c r="N49" s="3"/>
      <c r="O49" s="3"/>
      <c r="P49" s="3"/>
      <c r="Q49" s="3"/>
      <c r="R49" s="3"/>
      <c r="S49" s="3"/>
      <c r="T49" s="3"/>
      <c r="U49" s="3"/>
      <c r="V49" s="3"/>
      <c r="W49" s="3"/>
      <c r="X49" s="3"/>
      <c r="Y49" s="3"/>
      <c r="Z49" s="3"/>
    </row>
    <row r="50" spans="1:26" ht="12" customHeight="1">
      <c r="A50" s="3"/>
      <c r="B50" s="52"/>
      <c r="C50" s="317" t="s">
        <v>233</v>
      </c>
      <c r="D50" s="3"/>
      <c r="E50" s="318" t="s">
        <v>215</v>
      </c>
      <c r="F50" s="319" t="str">
        <f t="shared" ref="F50:J50" si="6">F$4</f>
        <v>2026F</v>
      </c>
      <c r="G50" s="319" t="str">
        <f t="shared" si="6"/>
        <v>2027F</v>
      </c>
      <c r="H50" s="319" t="str">
        <f t="shared" si="6"/>
        <v>2028F</v>
      </c>
      <c r="I50" s="319" t="str">
        <f t="shared" si="6"/>
        <v>2029F</v>
      </c>
      <c r="J50" s="319" t="str">
        <f t="shared" si="6"/>
        <v>2030F</v>
      </c>
      <c r="K50" s="3"/>
      <c r="L50" s="3"/>
      <c r="M50" s="3"/>
      <c r="N50" s="3"/>
      <c r="O50" s="3"/>
      <c r="P50" s="3"/>
      <c r="Q50" s="3"/>
      <c r="R50" s="3"/>
      <c r="S50" s="3"/>
      <c r="T50" s="3"/>
      <c r="U50" s="3"/>
      <c r="V50" s="3"/>
      <c r="W50" s="3"/>
      <c r="X50" s="3"/>
      <c r="Y50" s="3"/>
      <c r="Z50" s="3"/>
    </row>
    <row r="51" spans="1:26" ht="12" customHeight="1">
      <c r="A51" s="52" t="s">
        <v>46</v>
      </c>
      <c r="B51" s="320" t="str">
        <f t="shared" ref="B51:B60" si="7">D51&amp;"."&amp;C51</f>
        <v>Residential.DVA Disposition Rate Rider Group 1 - 2024</v>
      </c>
      <c r="C51" s="320" t="s">
        <v>236</v>
      </c>
      <c r="D51" s="306" t="s">
        <v>219</v>
      </c>
      <c r="E51" s="305"/>
      <c r="F51" s="332">
        <v>0</v>
      </c>
      <c r="G51" s="332">
        <v>0</v>
      </c>
      <c r="H51" s="332">
        <v>0</v>
      </c>
      <c r="I51" s="332">
        <v>0</v>
      </c>
      <c r="J51" s="332">
        <v>0</v>
      </c>
      <c r="K51" s="3"/>
      <c r="L51" s="3"/>
      <c r="M51" s="3"/>
      <c r="N51" s="3"/>
      <c r="O51" s="3"/>
      <c r="P51" s="3"/>
      <c r="Q51" s="3"/>
      <c r="R51" s="3"/>
      <c r="S51" s="3"/>
      <c r="T51" s="3"/>
      <c r="U51" s="3"/>
      <c r="V51" s="3"/>
      <c r="W51" s="3"/>
      <c r="X51" s="3"/>
      <c r="Y51" s="3"/>
      <c r="Z51" s="3"/>
    </row>
    <row r="52" spans="1:26" ht="12" customHeight="1">
      <c r="A52" s="52" t="s">
        <v>46</v>
      </c>
      <c r="B52" s="320" t="str">
        <f t="shared" si="7"/>
        <v>General Service &lt; 50 kW.DVA Disposition Rate Rider Group 1 - 2024</v>
      </c>
      <c r="C52" s="320" t="s">
        <v>236</v>
      </c>
      <c r="D52" s="306" t="s">
        <v>220</v>
      </c>
      <c r="E52" s="305"/>
      <c r="F52" s="332">
        <v>0</v>
      </c>
      <c r="G52" s="332">
        <v>0</v>
      </c>
      <c r="H52" s="332">
        <v>0</v>
      </c>
      <c r="I52" s="332">
        <v>0</v>
      </c>
      <c r="J52" s="332">
        <v>0</v>
      </c>
      <c r="K52" s="3"/>
      <c r="L52" s="3"/>
      <c r="M52" s="3"/>
      <c r="N52" s="3"/>
      <c r="O52" s="3"/>
      <c r="P52" s="3"/>
      <c r="Q52" s="3"/>
      <c r="R52" s="3"/>
      <c r="S52" s="3"/>
      <c r="T52" s="3"/>
      <c r="U52" s="3"/>
      <c r="V52" s="3"/>
      <c r="W52" s="3"/>
      <c r="X52" s="3"/>
      <c r="Y52" s="3"/>
      <c r="Z52" s="3"/>
    </row>
    <row r="53" spans="1:26" ht="12" customHeight="1">
      <c r="A53" s="52" t="s">
        <v>66</v>
      </c>
      <c r="B53" s="320" t="str">
        <f t="shared" si="7"/>
        <v>General Service 50 to 1,499 KW.DVA Disposition Rate Rider Group 1 - 2024</v>
      </c>
      <c r="C53" s="320" t="s">
        <v>236</v>
      </c>
      <c r="D53" s="306" t="s">
        <v>221</v>
      </c>
      <c r="E53" s="305"/>
      <c r="F53" s="332">
        <v>0</v>
      </c>
      <c r="G53" s="332">
        <v>0</v>
      </c>
      <c r="H53" s="332">
        <v>0</v>
      </c>
      <c r="I53" s="332">
        <v>0</v>
      </c>
      <c r="J53" s="332">
        <v>0</v>
      </c>
      <c r="K53" s="3"/>
      <c r="L53" s="3"/>
      <c r="M53" s="3"/>
      <c r="N53" s="3"/>
      <c r="O53" s="3"/>
      <c r="P53" s="3"/>
      <c r="Q53" s="3"/>
      <c r="R53" s="3"/>
      <c r="S53" s="3"/>
      <c r="T53" s="3"/>
      <c r="U53" s="3"/>
      <c r="V53" s="3"/>
      <c r="W53" s="3"/>
      <c r="X53" s="3"/>
      <c r="Y53" s="3"/>
      <c r="Z53" s="3"/>
    </row>
    <row r="54" spans="1:26" ht="12" customHeight="1">
      <c r="A54" s="52" t="s">
        <v>66</v>
      </c>
      <c r="B54" s="320" t="str">
        <f t="shared" si="7"/>
        <v>General Service 1,500 to 4,999 KW.DVA Disposition Rate Rider Group 1 - 2024</v>
      </c>
      <c r="C54" s="320" t="s">
        <v>236</v>
      </c>
      <c r="D54" s="306" t="s">
        <v>222</v>
      </c>
      <c r="E54" s="305"/>
      <c r="F54" s="332">
        <v>0</v>
      </c>
      <c r="G54" s="332">
        <v>0</v>
      </c>
      <c r="H54" s="332">
        <v>0</v>
      </c>
      <c r="I54" s="332">
        <v>0</v>
      </c>
      <c r="J54" s="332">
        <v>0</v>
      </c>
      <c r="K54" s="3"/>
      <c r="L54" s="3"/>
      <c r="M54" s="3"/>
      <c r="N54" s="3"/>
      <c r="O54" s="3"/>
      <c r="P54" s="3"/>
      <c r="Q54" s="3"/>
      <c r="R54" s="3"/>
      <c r="S54" s="3"/>
      <c r="T54" s="3"/>
      <c r="U54" s="3"/>
      <c r="V54" s="3"/>
      <c r="W54" s="3"/>
      <c r="X54" s="3"/>
      <c r="Y54" s="3"/>
      <c r="Z54" s="3"/>
    </row>
    <row r="55" spans="1:26" ht="12" customHeight="1">
      <c r="A55" s="52" t="s">
        <v>66</v>
      </c>
      <c r="B55" s="320" t="str">
        <f t="shared" si="7"/>
        <v>Large User.DVA Disposition Rate Rider Group 1 - 2024</v>
      </c>
      <c r="C55" s="320" t="s">
        <v>236</v>
      </c>
      <c r="D55" s="306" t="s">
        <v>223</v>
      </c>
      <c r="E55" s="305"/>
      <c r="F55" s="332">
        <v>0</v>
      </c>
      <c r="G55" s="332">
        <v>0</v>
      </c>
      <c r="H55" s="332">
        <v>0</v>
      </c>
      <c r="I55" s="332">
        <v>0</v>
      </c>
      <c r="J55" s="332">
        <v>0</v>
      </c>
      <c r="K55" s="3"/>
      <c r="L55" s="3"/>
      <c r="M55" s="3"/>
      <c r="N55" s="3"/>
      <c r="O55" s="3"/>
      <c r="P55" s="3"/>
      <c r="Q55" s="3"/>
      <c r="R55" s="3"/>
      <c r="S55" s="3"/>
      <c r="T55" s="3"/>
      <c r="U55" s="3"/>
      <c r="V55" s="3"/>
      <c r="W55" s="3"/>
      <c r="X55" s="3"/>
      <c r="Y55" s="3"/>
      <c r="Z55" s="3"/>
    </row>
    <row r="56" spans="1:26" ht="12" customHeight="1">
      <c r="A56" s="52" t="s">
        <v>66</v>
      </c>
      <c r="B56" s="320" t="str">
        <f t="shared" si="7"/>
        <v>Street Light.DVA Disposition Rate Rider Group 1 - 2024</v>
      </c>
      <c r="C56" s="320" t="s">
        <v>236</v>
      </c>
      <c r="D56" s="306" t="s">
        <v>224</v>
      </c>
      <c r="E56" s="305"/>
      <c r="F56" s="332">
        <v>0</v>
      </c>
      <c r="G56" s="332">
        <v>0</v>
      </c>
      <c r="H56" s="332">
        <v>0</v>
      </c>
      <c r="I56" s="332">
        <v>0</v>
      </c>
      <c r="J56" s="332">
        <v>0</v>
      </c>
      <c r="K56" s="3"/>
      <c r="L56" s="3"/>
      <c r="M56" s="3"/>
      <c r="N56" s="3"/>
      <c r="O56" s="3"/>
      <c r="P56" s="3"/>
      <c r="Q56" s="3"/>
      <c r="R56" s="3"/>
      <c r="S56" s="3"/>
      <c r="T56" s="3"/>
      <c r="U56" s="3"/>
      <c r="V56" s="3"/>
      <c r="W56" s="3"/>
      <c r="X56" s="3"/>
      <c r="Y56" s="3"/>
      <c r="Z56" s="3"/>
    </row>
    <row r="57" spans="1:26" ht="12" customHeight="1">
      <c r="A57" s="52" t="s">
        <v>66</v>
      </c>
      <c r="B57" s="320" t="str">
        <f t="shared" si="7"/>
        <v>Sentinel Lights.DVA Disposition Rate Rider Group 1 - 2024</v>
      </c>
      <c r="C57" s="320" t="s">
        <v>236</v>
      </c>
      <c r="D57" s="306" t="s">
        <v>225</v>
      </c>
      <c r="E57" s="305"/>
      <c r="F57" s="332">
        <v>0</v>
      </c>
      <c r="G57" s="332">
        <v>0</v>
      </c>
      <c r="H57" s="332">
        <v>0</v>
      </c>
      <c r="I57" s="332">
        <v>0</v>
      </c>
      <c r="J57" s="332">
        <v>0</v>
      </c>
      <c r="K57" s="3"/>
      <c r="L57" s="3"/>
      <c r="M57" s="3"/>
      <c r="N57" s="3"/>
      <c r="O57" s="3"/>
      <c r="P57" s="3"/>
      <c r="Q57" s="3"/>
      <c r="R57" s="3"/>
      <c r="S57" s="3"/>
      <c r="T57" s="3"/>
      <c r="U57" s="3"/>
      <c r="V57" s="3"/>
      <c r="W57" s="3"/>
      <c r="X57" s="3"/>
      <c r="Y57" s="3"/>
      <c r="Z57" s="3"/>
    </row>
    <row r="58" spans="1:26" ht="12" customHeight="1">
      <c r="A58" s="52" t="s">
        <v>46</v>
      </c>
      <c r="B58" s="320" t="str">
        <f t="shared" si="7"/>
        <v>Unmetered Scattered Load.DVA Disposition Rate Rider Group 1 - 2024</v>
      </c>
      <c r="C58" s="320" t="s">
        <v>236</v>
      </c>
      <c r="D58" s="306" t="s">
        <v>226</v>
      </c>
      <c r="E58" s="305"/>
      <c r="F58" s="332">
        <v>0</v>
      </c>
      <c r="G58" s="332">
        <v>0</v>
      </c>
      <c r="H58" s="332">
        <v>0</v>
      </c>
      <c r="I58" s="332">
        <v>0</v>
      </c>
      <c r="J58" s="332">
        <v>0</v>
      </c>
      <c r="K58" s="3"/>
      <c r="L58" s="3"/>
      <c r="M58" s="3"/>
      <c r="N58" s="3"/>
      <c r="O58" s="3"/>
      <c r="P58" s="3"/>
      <c r="Q58" s="3"/>
      <c r="R58" s="3"/>
      <c r="S58" s="3"/>
      <c r="T58" s="3"/>
      <c r="U58" s="3"/>
      <c r="V58" s="3"/>
      <c r="W58" s="3"/>
      <c r="X58" s="3"/>
      <c r="Y58" s="3"/>
      <c r="Z58" s="3"/>
    </row>
    <row r="59" spans="1:26" ht="12" customHeight="1">
      <c r="A59" s="52" t="s">
        <v>66</v>
      </c>
      <c r="B59" s="320" t="str">
        <f t="shared" si="7"/>
        <v>Standby Power General Service 50 to 1,499 KW.DVA Disposition Rate Rider Group 1 - 2024</v>
      </c>
      <c r="C59" s="320" t="s">
        <v>236</v>
      </c>
      <c r="D59" s="306" t="s">
        <v>227</v>
      </c>
      <c r="E59" s="3"/>
      <c r="F59" s="172"/>
      <c r="G59" s="3"/>
      <c r="H59" s="3"/>
      <c r="I59" s="3"/>
      <c r="J59" s="3"/>
      <c r="K59" s="3"/>
      <c r="L59" s="3"/>
      <c r="M59" s="3"/>
      <c r="N59" s="3"/>
      <c r="O59" s="3"/>
      <c r="P59" s="3"/>
      <c r="Q59" s="3"/>
      <c r="R59" s="3"/>
      <c r="S59" s="3"/>
      <c r="T59" s="3"/>
      <c r="U59" s="3"/>
      <c r="V59" s="3"/>
      <c r="W59" s="3"/>
      <c r="X59" s="3"/>
      <c r="Y59" s="3"/>
      <c r="Z59" s="3"/>
    </row>
    <row r="60" spans="1:26" ht="12" customHeight="1">
      <c r="A60" s="52" t="s">
        <v>66</v>
      </c>
      <c r="B60" s="320" t="str">
        <f t="shared" si="7"/>
        <v>Standby Power General Service 1,500 to 4,999 KW.DVA Disposition Rate Rider Group 1 - 2024</v>
      </c>
      <c r="C60" s="320" t="s">
        <v>236</v>
      </c>
      <c r="D60" s="306" t="s">
        <v>228</v>
      </c>
      <c r="E60" s="3"/>
      <c r="F60" s="333"/>
      <c r="G60" s="3"/>
      <c r="H60" s="334"/>
      <c r="I60" s="3"/>
      <c r="J60" s="3"/>
      <c r="K60" s="3"/>
      <c r="L60" s="3"/>
      <c r="M60" s="3"/>
      <c r="N60" s="3"/>
      <c r="O60" s="3"/>
      <c r="P60" s="3"/>
      <c r="Q60" s="3"/>
      <c r="R60" s="3"/>
      <c r="S60" s="3"/>
      <c r="T60" s="3"/>
      <c r="U60" s="3"/>
      <c r="V60" s="3"/>
      <c r="W60" s="3"/>
      <c r="X60" s="3"/>
      <c r="Y60" s="3"/>
      <c r="Z60" s="3"/>
    </row>
    <row r="61" spans="1:26" ht="12" customHeight="1">
      <c r="A61" s="52" t="s">
        <v>66</v>
      </c>
      <c r="B61" s="320" t="s">
        <v>237</v>
      </c>
      <c r="C61" s="320" t="s">
        <v>236</v>
      </c>
      <c r="D61" s="306" t="s">
        <v>229</v>
      </c>
      <c r="E61" s="3"/>
      <c r="F61" s="333"/>
      <c r="G61" s="3"/>
      <c r="H61" s="334"/>
      <c r="I61" s="3"/>
      <c r="J61" s="3"/>
      <c r="K61" s="3"/>
      <c r="L61" s="3"/>
      <c r="M61" s="3"/>
      <c r="N61" s="3"/>
      <c r="O61" s="3"/>
      <c r="P61" s="3"/>
      <c r="Q61" s="3"/>
      <c r="R61" s="3"/>
      <c r="S61" s="3"/>
      <c r="T61" s="3"/>
      <c r="U61" s="3"/>
      <c r="V61" s="3"/>
      <c r="W61" s="3"/>
      <c r="X61" s="3"/>
      <c r="Y61" s="3"/>
      <c r="Z61" s="3"/>
    </row>
    <row r="62" spans="1:26" ht="12" customHeight="1">
      <c r="A62" s="52"/>
      <c r="B62" s="306"/>
      <c r="C62" s="3"/>
      <c r="D62" s="306"/>
      <c r="E62" s="3"/>
      <c r="F62" s="3"/>
      <c r="G62" s="306"/>
      <c r="H62" s="306"/>
      <c r="I62" s="306"/>
      <c r="J62" s="306"/>
      <c r="K62" s="3"/>
      <c r="L62" s="3"/>
      <c r="M62" s="3"/>
      <c r="N62" s="3"/>
      <c r="O62" s="3"/>
      <c r="P62" s="3"/>
      <c r="Q62" s="3"/>
      <c r="R62" s="3"/>
      <c r="S62" s="3"/>
      <c r="T62" s="3"/>
      <c r="U62" s="3"/>
      <c r="V62" s="3"/>
      <c r="W62" s="3"/>
      <c r="X62" s="3"/>
      <c r="Y62" s="3"/>
      <c r="Z62" s="3"/>
    </row>
    <row r="63" spans="1:26" ht="12" customHeight="1">
      <c r="A63" s="336"/>
      <c r="B63" s="320"/>
      <c r="C63" s="317" t="s">
        <v>238</v>
      </c>
      <c r="D63" s="306"/>
      <c r="E63" s="318" t="s">
        <v>215</v>
      </c>
      <c r="F63" s="319" t="str">
        <f t="shared" ref="F63:J63" si="8">F$4</f>
        <v>2026F</v>
      </c>
      <c r="G63" s="319" t="str">
        <f t="shared" si="8"/>
        <v>2027F</v>
      </c>
      <c r="H63" s="319" t="str">
        <f t="shared" si="8"/>
        <v>2028F</v>
      </c>
      <c r="I63" s="319" t="str">
        <f t="shared" si="8"/>
        <v>2029F</v>
      </c>
      <c r="J63" s="319" t="str">
        <f t="shared" si="8"/>
        <v>2030F</v>
      </c>
      <c r="K63" s="3"/>
      <c r="L63" s="3"/>
      <c r="M63" s="3"/>
      <c r="N63" s="3"/>
      <c r="O63" s="3"/>
      <c r="P63" s="3"/>
      <c r="Q63" s="3"/>
      <c r="R63" s="3"/>
      <c r="S63" s="3"/>
      <c r="T63" s="3"/>
      <c r="U63" s="3"/>
      <c r="V63" s="3"/>
      <c r="W63" s="3"/>
      <c r="X63" s="3"/>
      <c r="Y63" s="3"/>
      <c r="Z63" s="3"/>
    </row>
    <row r="64" spans="1:26" ht="12" customHeight="1">
      <c r="A64" s="52" t="s">
        <v>239</v>
      </c>
      <c r="B64" s="320" t="str">
        <f t="shared" ref="B64:B71" si="9">D64&amp;"."&amp;C64</f>
        <v>Residential.Deferral/Variance Account Disposition Rate Rider Group 2</v>
      </c>
      <c r="C64" s="320" t="s">
        <v>237</v>
      </c>
      <c r="D64" s="306" t="s">
        <v>219</v>
      </c>
      <c r="E64" s="330">
        <v>0</v>
      </c>
      <c r="F64" s="337">
        <v>-0.54</v>
      </c>
      <c r="G64" s="332">
        <v>0</v>
      </c>
      <c r="H64" s="332">
        <v>0</v>
      </c>
      <c r="I64" s="332">
        <v>0</v>
      </c>
      <c r="J64" s="332">
        <v>0</v>
      </c>
      <c r="K64" s="3"/>
      <c r="L64" s="3"/>
      <c r="M64" s="3"/>
      <c r="N64" s="3"/>
      <c r="O64" s="3"/>
      <c r="P64" s="3"/>
      <c r="Q64" s="3"/>
      <c r="R64" s="3"/>
      <c r="S64" s="3"/>
      <c r="T64" s="3"/>
      <c r="U64" s="3"/>
      <c r="V64" s="3"/>
      <c r="W64" s="3"/>
      <c r="X64" s="3"/>
      <c r="Y64" s="3"/>
      <c r="Z64" s="3"/>
    </row>
    <row r="65" spans="1:26" ht="12" customHeight="1">
      <c r="A65" s="52" t="s">
        <v>46</v>
      </c>
      <c r="B65" s="320" t="str">
        <f t="shared" si="9"/>
        <v>General Service &lt; 50 kW.Deferral/Variance Account Disposition Rate Rider Group 2</v>
      </c>
      <c r="C65" s="320" t="s">
        <v>237</v>
      </c>
      <c r="D65" s="306" t="s">
        <v>220</v>
      </c>
      <c r="E65" s="330">
        <v>0</v>
      </c>
      <c r="F65" s="337">
        <v>-5.9999999999999995E-4</v>
      </c>
      <c r="G65" s="332">
        <v>0</v>
      </c>
      <c r="H65" s="332">
        <v>0</v>
      </c>
      <c r="I65" s="332">
        <v>0</v>
      </c>
      <c r="J65" s="332">
        <v>0</v>
      </c>
      <c r="K65" s="3"/>
      <c r="L65" s="3"/>
      <c r="M65" s="3"/>
      <c r="N65" s="3"/>
      <c r="O65" s="3"/>
      <c r="P65" s="3"/>
      <c r="Q65" s="3"/>
      <c r="R65" s="3"/>
      <c r="S65" s="3"/>
      <c r="T65" s="3"/>
      <c r="U65" s="3"/>
      <c r="V65" s="3"/>
      <c r="W65" s="3"/>
      <c r="X65" s="3"/>
      <c r="Y65" s="3"/>
      <c r="Z65" s="3"/>
    </row>
    <row r="66" spans="1:26" ht="12" customHeight="1">
      <c r="A66" s="52" t="s">
        <v>66</v>
      </c>
      <c r="B66" s="320" t="str">
        <f t="shared" si="9"/>
        <v>General Service 50 to 1,499 KW.Deferral/Variance Account Disposition Rate Rider Group 2</v>
      </c>
      <c r="C66" s="320" t="s">
        <v>237</v>
      </c>
      <c r="D66" s="306" t="s">
        <v>221</v>
      </c>
      <c r="E66" s="330">
        <v>0</v>
      </c>
      <c r="F66" s="337">
        <v>-0.1202</v>
      </c>
      <c r="G66" s="332">
        <v>0</v>
      </c>
      <c r="H66" s="332">
        <v>0</v>
      </c>
      <c r="I66" s="332">
        <v>0</v>
      </c>
      <c r="J66" s="332">
        <v>0</v>
      </c>
      <c r="K66" s="3"/>
      <c r="L66" s="3"/>
      <c r="M66" s="3"/>
      <c r="N66" s="3"/>
      <c r="O66" s="3"/>
      <c r="P66" s="3"/>
      <c r="Q66" s="3"/>
      <c r="R66" s="3"/>
      <c r="S66" s="3"/>
      <c r="T66" s="3"/>
      <c r="U66" s="3"/>
      <c r="V66" s="3"/>
      <c r="W66" s="3"/>
      <c r="X66" s="3"/>
      <c r="Y66" s="3"/>
      <c r="Z66" s="3"/>
    </row>
    <row r="67" spans="1:26" ht="12" customHeight="1">
      <c r="A67" s="52" t="s">
        <v>66</v>
      </c>
      <c r="B67" s="320" t="str">
        <f t="shared" si="9"/>
        <v>General Service 1,500 to 4,999 KW.Deferral/Variance Account Disposition Rate Rider Group 2</v>
      </c>
      <c r="C67" s="320" t="s">
        <v>237</v>
      </c>
      <c r="D67" s="306" t="s">
        <v>222</v>
      </c>
      <c r="E67" s="330">
        <v>0</v>
      </c>
      <c r="F67" s="337">
        <v>-0.1241</v>
      </c>
      <c r="G67" s="332">
        <v>0</v>
      </c>
      <c r="H67" s="332">
        <v>0</v>
      </c>
      <c r="I67" s="332">
        <v>0</v>
      </c>
      <c r="J67" s="332">
        <v>0</v>
      </c>
      <c r="K67" s="3"/>
      <c r="L67" s="3"/>
      <c r="M67" s="3"/>
      <c r="N67" s="3"/>
      <c r="O67" s="3"/>
      <c r="P67" s="3"/>
      <c r="Q67" s="3"/>
      <c r="R67" s="3"/>
      <c r="S67" s="3"/>
      <c r="T67" s="3"/>
      <c r="U67" s="3"/>
      <c r="V67" s="3"/>
      <c r="W67" s="3"/>
      <c r="X67" s="3"/>
      <c r="Y67" s="3"/>
      <c r="Z67" s="3"/>
    </row>
    <row r="68" spans="1:26" ht="12" customHeight="1">
      <c r="A68" s="52" t="s">
        <v>66</v>
      </c>
      <c r="B68" s="320" t="str">
        <f t="shared" si="9"/>
        <v>Large User.Deferral/Variance Account Disposition Rate Rider Group 2</v>
      </c>
      <c r="C68" s="320" t="s">
        <v>237</v>
      </c>
      <c r="D68" s="306" t="s">
        <v>223</v>
      </c>
      <c r="E68" s="330">
        <v>0</v>
      </c>
      <c r="F68" s="337">
        <v>-0.1401</v>
      </c>
      <c r="G68" s="332">
        <v>0</v>
      </c>
      <c r="H68" s="332">
        <v>0</v>
      </c>
      <c r="I68" s="332">
        <v>0</v>
      </c>
      <c r="J68" s="332">
        <v>0</v>
      </c>
      <c r="K68" s="3"/>
      <c r="L68" s="3"/>
      <c r="M68" s="3"/>
      <c r="N68" s="3"/>
      <c r="O68" s="3"/>
      <c r="P68" s="3"/>
      <c r="Q68" s="3"/>
      <c r="R68" s="3"/>
      <c r="S68" s="3"/>
      <c r="T68" s="3"/>
      <c r="U68" s="3"/>
      <c r="V68" s="3"/>
      <c r="W68" s="3"/>
      <c r="X68" s="3"/>
      <c r="Y68" s="3"/>
      <c r="Z68" s="3"/>
    </row>
    <row r="69" spans="1:26" ht="12" customHeight="1">
      <c r="A69" s="52" t="s">
        <v>66</v>
      </c>
      <c r="B69" s="320" t="str">
        <f t="shared" si="9"/>
        <v>Street Light.Deferral/Variance Account Disposition Rate Rider Group 2</v>
      </c>
      <c r="C69" s="320" t="s">
        <v>237</v>
      </c>
      <c r="D69" s="306" t="s">
        <v>224</v>
      </c>
      <c r="E69" s="330">
        <v>0</v>
      </c>
      <c r="F69" s="337">
        <v>-0.33589999999999998</v>
      </c>
      <c r="G69" s="332">
        <v>0</v>
      </c>
      <c r="H69" s="332">
        <v>0</v>
      </c>
      <c r="I69" s="332">
        <v>0</v>
      </c>
      <c r="J69" s="332">
        <v>0</v>
      </c>
      <c r="K69" s="3"/>
      <c r="L69" s="3"/>
      <c r="M69" s="3"/>
      <c r="N69" s="3"/>
      <c r="O69" s="3"/>
      <c r="P69" s="3"/>
      <c r="Q69" s="3"/>
      <c r="R69" s="3"/>
      <c r="S69" s="3"/>
      <c r="T69" s="3"/>
      <c r="U69" s="3"/>
      <c r="V69" s="3"/>
      <c r="W69" s="3"/>
      <c r="X69" s="3"/>
      <c r="Y69" s="3"/>
      <c r="Z69" s="3"/>
    </row>
    <row r="70" spans="1:26" ht="12" customHeight="1">
      <c r="A70" s="52" t="s">
        <v>66</v>
      </c>
      <c r="B70" s="320" t="str">
        <f t="shared" si="9"/>
        <v>Sentinel Lights.Deferral/Variance Account Disposition Rate Rider Group 2</v>
      </c>
      <c r="C70" s="320" t="s">
        <v>237</v>
      </c>
      <c r="D70" s="306" t="s">
        <v>225</v>
      </c>
      <c r="E70" s="330">
        <v>0</v>
      </c>
      <c r="F70" s="337">
        <v>-0.95689999999999997</v>
      </c>
      <c r="G70" s="332">
        <v>0</v>
      </c>
      <c r="H70" s="332">
        <v>0</v>
      </c>
      <c r="I70" s="332">
        <v>0</v>
      </c>
      <c r="J70" s="332">
        <v>0</v>
      </c>
      <c r="K70" s="3"/>
      <c r="L70" s="3"/>
      <c r="M70" s="3"/>
      <c r="N70" s="3"/>
      <c r="O70" s="3"/>
      <c r="P70" s="3"/>
      <c r="Q70" s="3"/>
      <c r="R70" s="3"/>
      <c r="S70" s="3"/>
      <c r="T70" s="3"/>
      <c r="U70" s="3"/>
      <c r="V70" s="3"/>
      <c r="W70" s="3"/>
      <c r="X70" s="3"/>
      <c r="Y70" s="3"/>
      <c r="Z70" s="3"/>
    </row>
    <row r="71" spans="1:26" ht="12" customHeight="1">
      <c r="A71" s="52" t="s">
        <v>46</v>
      </c>
      <c r="B71" s="320" t="str">
        <f t="shared" si="9"/>
        <v>Unmetered Scattered Load.Deferral/Variance Account Disposition Rate Rider Group 2</v>
      </c>
      <c r="C71" s="320" t="s">
        <v>237</v>
      </c>
      <c r="D71" s="306" t="s">
        <v>226</v>
      </c>
      <c r="E71" s="330">
        <v>0</v>
      </c>
      <c r="F71" s="337">
        <v>-8.9999999999999998E-4</v>
      </c>
      <c r="G71" s="332">
        <v>0</v>
      </c>
      <c r="H71" s="332">
        <v>0</v>
      </c>
      <c r="I71" s="332">
        <v>0</v>
      </c>
      <c r="J71" s="332">
        <v>0</v>
      </c>
      <c r="K71" s="3"/>
      <c r="L71" s="3"/>
      <c r="M71" s="3"/>
      <c r="N71" s="3"/>
      <c r="O71" s="3"/>
      <c r="P71" s="3"/>
      <c r="Q71" s="3"/>
      <c r="R71" s="3"/>
      <c r="S71" s="3"/>
      <c r="T71" s="3"/>
      <c r="U71" s="3"/>
      <c r="V71" s="3"/>
      <c r="W71" s="3"/>
      <c r="X71" s="3"/>
      <c r="Y71" s="3"/>
      <c r="Z71" s="3"/>
    </row>
    <row r="72" spans="1:26" ht="12" customHeight="1">
      <c r="A72" s="52" t="s">
        <v>66</v>
      </c>
      <c r="B72" s="320"/>
      <c r="C72" s="320"/>
      <c r="D72" s="306" t="s">
        <v>227</v>
      </c>
      <c r="E72" s="305"/>
      <c r="F72" s="338"/>
      <c r="G72" s="338"/>
      <c r="H72" s="172"/>
      <c r="I72" s="172"/>
      <c r="J72" s="172"/>
      <c r="K72" s="3"/>
      <c r="L72" s="3"/>
      <c r="M72" s="3"/>
      <c r="N72" s="3"/>
      <c r="O72" s="3"/>
      <c r="P72" s="3"/>
      <c r="Q72" s="3"/>
      <c r="R72" s="3"/>
      <c r="S72" s="3"/>
      <c r="T72" s="3"/>
      <c r="U72" s="3"/>
      <c r="V72" s="3"/>
      <c r="W72" s="3"/>
      <c r="X72" s="3"/>
      <c r="Y72" s="3"/>
      <c r="Z72" s="3"/>
    </row>
    <row r="73" spans="1:26" ht="12" customHeight="1">
      <c r="A73" s="52" t="s">
        <v>66</v>
      </c>
      <c r="B73" s="320"/>
      <c r="C73" s="320"/>
      <c r="D73" s="306" t="s">
        <v>228</v>
      </c>
      <c r="E73" s="305"/>
      <c r="F73" s="338"/>
      <c r="G73" s="338"/>
      <c r="H73" s="172"/>
      <c r="I73" s="172"/>
      <c r="J73" s="172"/>
      <c r="K73" s="3"/>
      <c r="L73" s="3"/>
      <c r="M73" s="3"/>
      <c r="N73" s="3"/>
      <c r="O73" s="3"/>
      <c r="P73" s="3"/>
      <c r="Q73" s="3"/>
      <c r="R73" s="3"/>
      <c r="S73" s="3"/>
      <c r="T73" s="3"/>
      <c r="U73" s="3"/>
      <c r="V73" s="3"/>
      <c r="W73" s="3"/>
      <c r="X73" s="3"/>
      <c r="Y73" s="3"/>
      <c r="Z73" s="3"/>
    </row>
    <row r="74" spans="1:26" ht="12" customHeight="1">
      <c r="A74" s="52" t="s">
        <v>66</v>
      </c>
      <c r="B74" s="320"/>
      <c r="C74" s="52"/>
      <c r="D74" s="306" t="s">
        <v>229</v>
      </c>
      <c r="E74" s="305"/>
      <c r="F74" s="338"/>
      <c r="G74" s="338"/>
      <c r="H74" s="172"/>
      <c r="I74" s="172"/>
      <c r="J74" s="172"/>
      <c r="K74" s="3"/>
      <c r="L74" s="3"/>
      <c r="M74" s="3"/>
      <c r="N74" s="3"/>
      <c r="O74" s="3"/>
      <c r="P74" s="3"/>
      <c r="Q74" s="3"/>
      <c r="R74" s="3"/>
      <c r="S74" s="3"/>
      <c r="T74" s="3"/>
      <c r="U74" s="3"/>
      <c r="V74" s="3"/>
      <c r="W74" s="3"/>
      <c r="X74" s="3"/>
      <c r="Y74" s="3"/>
      <c r="Z74" s="3"/>
    </row>
    <row r="75" spans="1:26" ht="12" customHeight="1">
      <c r="A75" s="3"/>
      <c r="B75" s="306"/>
      <c r="C75" s="3"/>
      <c r="D75" s="306"/>
      <c r="E75" s="3"/>
      <c r="F75" s="339"/>
      <c r="G75" s="3"/>
      <c r="H75" s="52"/>
      <c r="I75" s="52"/>
      <c r="J75" s="3"/>
      <c r="K75" s="3"/>
      <c r="L75" s="3"/>
      <c r="M75" s="3"/>
      <c r="N75" s="3"/>
      <c r="O75" s="3"/>
      <c r="P75" s="3"/>
      <c r="Q75" s="3"/>
      <c r="R75" s="3"/>
      <c r="S75" s="3"/>
      <c r="T75" s="3"/>
      <c r="U75" s="3"/>
      <c r="V75" s="3"/>
      <c r="W75" s="3"/>
      <c r="X75" s="3"/>
      <c r="Y75" s="3"/>
      <c r="Z75" s="3"/>
    </row>
    <row r="76" spans="1:26" ht="12" customHeight="1">
      <c r="A76" s="52" t="s">
        <v>239</v>
      </c>
      <c r="B76" s="320" t="str">
        <f t="shared" ref="B76:B86" si="10">D76&amp;"."&amp;C76</f>
        <v>.Approved Rate Riders Year 2 for Accounts 1595 [1568] (2026)</v>
      </c>
      <c r="C76" s="317" t="s">
        <v>240</v>
      </c>
      <c r="D76" s="306"/>
      <c r="E76" s="3"/>
      <c r="F76" s="339"/>
      <c r="G76" s="3"/>
      <c r="H76" s="52"/>
      <c r="I76" s="52"/>
      <c r="J76" s="3"/>
      <c r="K76" s="3"/>
      <c r="L76" s="3"/>
      <c r="M76" s="3"/>
      <c r="N76" s="3"/>
      <c r="O76" s="3"/>
      <c r="P76" s="3"/>
      <c r="Q76" s="3"/>
      <c r="R76" s="3"/>
      <c r="S76" s="3"/>
      <c r="T76" s="3"/>
      <c r="U76" s="3"/>
      <c r="V76" s="3"/>
      <c r="W76" s="3"/>
      <c r="X76" s="3"/>
      <c r="Y76" s="3"/>
      <c r="Z76" s="3"/>
    </row>
    <row r="77" spans="1:26" ht="12" customHeight="1">
      <c r="A77" s="52" t="s">
        <v>46</v>
      </c>
      <c r="B77" s="320" t="str">
        <f t="shared" si="10"/>
        <v>Residential.LRAM Rate Rider</v>
      </c>
      <c r="C77" s="320" t="s">
        <v>241</v>
      </c>
      <c r="D77" s="306" t="s">
        <v>219</v>
      </c>
      <c r="E77" s="305">
        <v>0.25</v>
      </c>
      <c r="F77" s="172">
        <v>0</v>
      </c>
      <c r="G77" s="172">
        <v>0</v>
      </c>
      <c r="H77" s="172">
        <v>0</v>
      </c>
      <c r="I77" s="172">
        <v>0</v>
      </c>
      <c r="J77" s="172">
        <v>0</v>
      </c>
      <c r="K77" s="3"/>
      <c r="L77" s="3"/>
      <c r="M77" s="3"/>
      <c r="N77" s="3"/>
      <c r="O77" s="3"/>
      <c r="P77" s="3"/>
      <c r="Q77" s="3"/>
      <c r="R77" s="3"/>
      <c r="S77" s="3"/>
      <c r="T77" s="3"/>
      <c r="U77" s="3"/>
      <c r="V77" s="3"/>
      <c r="W77" s="3"/>
      <c r="X77" s="3"/>
      <c r="Y77" s="3"/>
      <c r="Z77" s="3"/>
    </row>
    <row r="78" spans="1:26" ht="12" customHeight="1">
      <c r="A78" s="52" t="s">
        <v>66</v>
      </c>
      <c r="B78" s="320" t="str">
        <f t="shared" si="10"/>
        <v>General Service &lt; 50 kW.LRAM Rate Rider</v>
      </c>
      <c r="C78" s="320" t="s">
        <v>241</v>
      </c>
      <c r="D78" s="306" t="s">
        <v>220</v>
      </c>
      <c r="E78" s="305">
        <v>6.9999999999999999E-4</v>
      </c>
      <c r="F78" s="172">
        <v>0</v>
      </c>
      <c r="G78" s="172">
        <v>0</v>
      </c>
      <c r="H78" s="172">
        <v>0</v>
      </c>
      <c r="I78" s="172">
        <v>0</v>
      </c>
      <c r="J78" s="172">
        <v>0</v>
      </c>
      <c r="K78" s="3"/>
      <c r="L78" s="3"/>
      <c r="M78" s="3"/>
      <c r="N78" s="3"/>
      <c r="O78" s="3"/>
      <c r="P78" s="3"/>
      <c r="Q78" s="3"/>
      <c r="R78" s="3"/>
      <c r="S78" s="3"/>
      <c r="T78" s="3"/>
      <c r="U78" s="3"/>
      <c r="V78" s="3"/>
      <c r="W78" s="3"/>
      <c r="X78" s="3"/>
      <c r="Y78" s="3"/>
      <c r="Z78" s="3"/>
    </row>
    <row r="79" spans="1:26" ht="12" customHeight="1">
      <c r="A79" s="52" t="s">
        <v>66</v>
      </c>
      <c r="B79" s="320" t="str">
        <f t="shared" si="10"/>
        <v>General Service 50 to 1,499 KW.LRAM Rate Rider</v>
      </c>
      <c r="C79" s="320" t="s">
        <v>241</v>
      </c>
      <c r="D79" s="306" t="s">
        <v>221</v>
      </c>
      <c r="E79" s="305">
        <v>-0.2477</v>
      </c>
      <c r="F79" s="172">
        <v>0</v>
      </c>
      <c r="G79" s="172">
        <v>0</v>
      </c>
      <c r="H79" s="172">
        <v>0</v>
      </c>
      <c r="I79" s="172">
        <v>0</v>
      </c>
      <c r="J79" s="172">
        <v>0</v>
      </c>
      <c r="K79" s="3"/>
      <c r="L79" s="3"/>
      <c r="M79" s="3"/>
      <c r="N79" s="3"/>
      <c r="O79" s="3"/>
      <c r="P79" s="3"/>
      <c r="Q79" s="3"/>
      <c r="R79" s="3"/>
      <c r="S79" s="3"/>
      <c r="T79" s="3"/>
      <c r="U79" s="3"/>
      <c r="V79" s="3"/>
      <c r="W79" s="3"/>
      <c r="X79" s="3"/>
      <c r="Y79" s="3"/>
      <c r="Z79" s="3"/>
    </row>
    <row r="80" spans="1:26" ht="12" customHeight="1">
      <c r="A80" s="52" t="s">
        <v>66</v>
      </c>
      <c r="B80" s="320" t="str">
        <f t="shared" si="10"/>
        <v>General Service 1,500 to 4,999 KW.LRAM Rate Rider</v>
      </c>
      <c r="C80" s="320" t="s">
        <v>241</v>
      </c>
      <c r="D80" s="306" t="s">
        <v>222</v>
      </c>
      <c r="E80" s="305">
        <v>0.2021</v>
      </c>
      <c r="F80" s="172">
        <v>0</v>
      </c>
      <c r="G80" s="172">
        <v>0</v>
      </c>
      <c r="H80" s="172">
        <v>0</v>
      </c>
      <c r="I80" s="172">
        <v>0</v>
      </c>
      <c r="J80" s="172">
        <v>0</v>
      </c>
      <c r="K80" s="3"/>
      <c r="L80" s="3"/>
      <c r="M80" s="3"/>
      <c r="N80" s="3"/>
      <c r="O80" s="3"/>
      <c r="P80" s="3"/>
      <c r="Q80" s="3"/>
      <c r="R80" s="3"/>
      <c r="S80" s="3"/>
      <c r="T80" s="3"/>
      <c r="U80" s="3"/>
      <c r="V80" s="3"/>
      <c r="W80" s="3"/>
      <c r="X80" s="3"/>
      <c r="Y80" s="3"/>
      <c r="Z80" s="3"/>
    </row>
    <row r="81" spans="1:26" ht="12" customHeight="1">
      <c r="A81" s="52" t="s">
        <v>66</v>
      </c>
      <c r="B81" s="320" t="str">
        <f t="shared" si="10"/>
        <v>Large User.LRAM Rate Rider</v>
      </c>
      <c r="C81" s="320" t="s">
        <v>241</v>
      </c>
      <c r="D81" s="306" t="s">
        <v>223</v>
      </c>
      <c r="E81" s="305">
        <v>0.2011</v>
      </c>
      <c r="F81" s="172">
        <v>0</v>
      </c>
      <c r="G81" s="172">
        <v>0</v>
      </c>
      <c r="H81" s="172">
        <v>0</v>
      </c>
      <c r="I81" s="172">
        <v>0</v>
      </c>
      <c r="J81" s="172">
        <v>0</v>
      </c>
      <c r="K81" s="3"/>
      <c r="L81" s="3"/>
      <c r="M81" s="3"/>
      <c r="N81" s="3"/>
      <c r="O81" s="3"/>
      <c r="P81" s="3"/>
      <c r="Q81" s="3"/>
      <c r="R81" s="3"/>
      <c r="S81" s="3"/>
      <c r="T81" s="3"/>
      <c r="U81" s="3"/>
      <c r="V81" s="3"/>
      <c r="W81" s="3"/>
      <c r="X81" s="3"/>
      <c r="Y81" s="3"/>
      <c r="Z81" s="3"/>
    </row>
    <row r="82" spans="1:26" ht="12" customHeight="1">
      <c r="A82" s="52" t="s">
        <v>66</v>
      </c>
      <c r="B82" s="320" t="str">
        <f t="shared" si="10"/>
        <v>Street Light.LRAM Rate Rider</v>
      </c>
      <c r="C82" s="320" t="s">
        <v>241</v>
      </c>
      <c r="D82" s="306" t="s">
        <v>224</v>
      </c>
      <c r="E82" s="305">
        <v>4.8925000000000001</v>
      </c>
      <c r="F82" s="172">
        <v>4.8925000000000001</v>
      </c>
      <c r="G82" s="172">
        <v>0</v>
      </c>
      <c r="H82" s="172">
        <v>0</v>
      </c>
      <c r="I82" s="172">
        <v>0</v>
      </c>
      <c r="J82" s="172">
        <v>0</v>
      </c>
      <c r="K82" s="3"/>
      <c r="L82" s="3"/>
      <c r="M82" s="3"/>
      <c r="N82" s="3"/>
      <c r="O82" s="3"/>
      <c r="P82" s="3"/>
      <c r="Q82" s="3"/>
      <c r="R82" s="3"/>
      <c r="S82" s="3"/>
      <c r="T82" s="3"/>
      <c r="U82" s="3"/>
      <c r="V82" s="3"/>
      <c r="W82" s="3"/>
      <c r="X82" s="3"/>
      <c r="Y82" s="3"/>
      <c r="Z82" s="3"/>
    </row>
    <row r="83" spans="1:26" ht="12" customHeight="1">
      <c r="A83" s="52" t="s">
        <v>46</v>
      </c>
      <c r="B83" s="320" t="str">
        <f t="shared" si="10"/>
        <v>Sentinel Lights.LRAM Rate Rider</v>
      </c>
      <c r="C83" s="320" t="s">
        <v>241</v>
      </c>
      <c r="D83" s="306" t="s">
        <v>225</v>
      </c>
      <c r="E83" s="305">
        <v>0</v>
      </c>
      <c r="F83" s="172"/>
      <c r="G83" s="172">
        <v>0</v>
      </c>
      <c r="H83" s="172">
        <v>0</v>
      </c>
      <c r="I83" s="172">
        <v>0</v>
      </c>
      <c r="J83" s="172">
        <v>0</v>
      </c>
      <c r="K83" s="3"/>
      <c r="L83" s="3"/>
      <c r="M83" s="3"/>
      <c r="N83" s="3"/>
      <c r="O83" s="3"/>
      <c r="P83" s="3"/>
      <c r="Q83" s="3"/>
      <c r="R83" s="3"/>
      <c r="S83" s="3"/>
      <c r="T83" s="3"/>
      <c r="U83" s="3"/>
      <c r="V83" s="3"/>
      <c r="W83" s="3"/>
      <c r="X83" s="3"/>
      <c r="Y83" s="3"/>
      <c r="Z83" s="3"/>
    </row>
    <row r="84" spans="1:26" ht="12" customHeight="1">
      <c r="A84" s="52" t="s">
        <v>66</v>
      </c>
      <c r="B84" s="320" t="str">
        <f t="shared" si="10"/>
        <v>Unmetered Scattered Load.LRAM Rate Rider</v>
      </c>
      <c r="C84" s="320" t="s">
        <v>241</v>
      </c>
      <c r="D84" s="306" t="s">
        <v>226</v>
      </c>
      <c r="E84" s="305">
        <v>0</v>
      </c>
      <c r="F84" s="172">
        <v>0</v>
      </c>
      <c r="G84" s="172">
        <v>0</v>
      </c>
      <c r="H84" s="172">
        <v>0</v>
      </c>
      <c r="I84" s="172">
        <v>0</v>
      </c>
      <c r="J84" s="172">
        <v>0</v>
      </c>
      <c r="K84" s="3"/>
      <c r="L84" s="3"/>
      <c r="M84" s="3"/>
      <c r="N84" s="3"/>
      <c r="O84" s="3"/>
      <c r="P84" s="3"/>
      <c r="Q84" s="3"/>
      <c r="R84" s="3"/>
      <c r="S84" s="3"/>
      <c r="T84" s="3"/>
      <c r="U84" s="3"/>
      <c r="V84" s="3"/>
      <c r="W84" s="3"/>
      <c r="X84" s="3"/>
      <c r="Y84" s="3"/>
      <c r="Z84" s="3"/>
    </row>
    <row r="85" spans="1:26" ht="12" customHeight="1">
      <c r="A85" s="52" t="s">
        <v>66</v>
      </c>
      <c r="B85" s="320" t="str">
        <f t="shared" si="10"/>
        <v>Standby Power General Service 50 to 1,499 KW.</v>
      </c>
      <c r="C85" s="320"/>
      <c r="D85" s="306" t="s">
        <v>227</v>
      </c>
      <c r="E85" s="305"/>
      <c r="F85" s="340"/>
      <c r="G85" s="3"/>
      <c r="H85" s="3"/>
      <c r="I85" s="3"/>
      <c r="J85" s="3"/>
      <c r="K85" s="3"/>
      <c r="L85" s="3"/>
      <c r="M85" s="3"/>
      <c r="N85" s="3"/>
      <c r="O85" s="3"/>
      <c r="P85" s="3"/>
      <c r="Q85" s="3"/>
      <c r="R85" s="3"/>
      <c r="S85" s="3"/>
      <c r="T85" s="3"/>
      <c r="U85" s="3"/>
      <c r="V85" s="3"/>
      <c r="W85" s="3"/>
      <c r="X85" s="3"/>
      <c r="Y85" s="3"/>
      <c r="Z85" s="3"/>
    </row>
    <row r="86" spans="1:26" ht="12" customHeight="1">
      <c r="A86" s="52" t="s">
        <v>66</v>
      </c>
      <c r="B86" s="320" t="str">
        <f t="shared" si="10"/>
        <v>Standby Power General Service 1,500 to 4,999 KW.</v>
      </c>
      <c r="C86" s="320"/>
      <c r="D86" s="306" t="s">
        <v>228</v>
      </c>
      <c r="E86" s="305"/>
      <c r="F86" s="340"/>
      <c r="G86" s="3"/>
      <c r="H86" s="3"/>
      <c r="I86" s="3"/>
      <c r="J86" s="3"/>
      <c r="K86" s="3"/>
      <c r="L86" s="3"/>
      <c r="M86" s="3"/>
      <c r="N86" s="3"/>
      <c r="O86" s="3"/>
      <c r="P86" s="3"/>
      <c r="Q86" s="3"/>
      <c r="R86" s="3"/>
      <c r="S86" s="3"/>
      <c r="T86" s="3"/>
      <c r="U86" s="3"/>
      <c r="V86" s="3"/>
      <c r="W86" s="3"/>
      <c r="X86" s="3"/>
      <c r="Y86" s="3"/>
      <c r="Z86" s="3"/>
    </row>
    <row r="87" spans="1:26" ht="12" customHeight="1">
      <c r="A87" s="3"/>
      <c r="B87" s="306"/>
      <c r="C87" s="320"/>
      <c r="D87" s="306" t="s">
        <v>229</v>
      </c>
      <c r="E87" s="305"/>
      <c r="F87" s="340"/>
      <c r="G87" s="3"/>
      <c r="H87" s="3"/>
      <c r="I87" s="3"/>
      <c r="J87" s="3"/>
      <c r="K87" s="3"/>
      <c r="L87" s="3"/>
      <c r="M87" s="3"/>
      <c r="N87" s="3"/>
      <c r="O87" s="3"/>
      <c r="P87" s="3"/>
      <c r="Q87" s="3"/>
      <c r="R87" s="3"/>
      <c r="S87" s="3"/>
      <c r="T87" s="3"/>
      <c r="U87" s="3"/>
      <c r="V87" s="3"/>
      <c r="W87" s="3"/>
      <c r="X87" s="3"/>
      <c r="Y87" s="3"/>
      <c r="Z87" s="3"/>
    </row>
    <row r="88" spans="1:26" ht="12" customHeight="1">
      <c r="A88" s="3"/>
      <c r="B88" s="306"/>
      <c r="C88" s="3"/>
      <c r="D88" s="306"/>
      <c r="E88" s="3"/>
      <c r="F88" s="339"/>
      <c r="G88" s="3"/>
      <c r="H88" s="52"/>
      <c r="I88" s="52"/>
      <c r="J88" s="3"/>
      <c r="K88" s="3"/>
      <c r="L88" s="3"/>
      <c r="M88" s="3"/>
      <c r="N88" s="3"/>
      <c r="O88" s="3"/>
      <c r="P88" s="3"/>
      <c r="Q88" s="3"/>
      <c r="R88" s="3"/>
      <c r="S88" s="3"/>
      <c r="T88" s="3"/>
      <c r="U88" s="3"/>
      <c r="V88" s="3"/>
      <c r="W88" s="3"/>
      <c r="X88" s="3"/>
      <c r="Y88" s="3"/>
      <c r="Z88" s="3"/>
    </row>
    <row r="89" spans="1:26" ht="12" customHeight="1">
      <c r="A89" s="3"/>
      <c r="B89" s="306"/>
      <c r="C89" s="341" t="s">
        <v>242</v>
      </c>
      <c r="D89" s="3"/>
      <c r="E89" s="318" t="s">
        <v>215</v>
      </c>
      <c r="F89" s="319" t="str">
        <f t="shared" ref="F89:J89" si="11">F$4</f>
        <v>2026F</v>
      </c>
      <c r="G89" s="319" t="str">
        <f t="shared" si="11"/>
        <v>2027F</v>
      </c>
      <c r="H89" s="319" t="str">
        <f t="shared" si="11"/>
        <v>2028F</v>
      </c>
      <c r="I89" s="319" t="str">
        <f t="shared" si="11"/>
        <v>2029F</v>
      </c>
      <c r="J89" s="319" t="str">
        <f t="shared" si="11"/>
        <v>2030F</v>
      </c>
      <c r="K89" s="3"/>
      <c r="L89" s="3"/>
      <c r="M89" s="3"/>
      <c r="N89" s="3"/>
      <c r="O89" s="3"/>
      <c r="P89" s="3"/>
      <c r="Q89" s="3"/>
      <c r="R89" s="3"/>
      <c r="S89" s="3"/>
      <c r="T89" s="3"/>
      <c r="U89" s="3"/>
      <c r="V89" s="3"/>
      <c r="W89" s="3"/>
      <c r="X89" s="3"/>
      <c r="Y89" s="3"/>
      <c r="Z89" s="3"/>
    </row>
    <row r="90" spans="1:26" ht="12" customHeight="1">
      <c r="A90" s="52" t="s">
        <v>239</v>
      </c>
      <c r="B90" s="320" t="str">
        <f t="shared" ref="B90:B100" si="12">D90&amp;"."&amp;C90&amp;"2"</f>
        <v>Residential.LRAM Rate Rider2</v>
      </c>
      <c r="C90" s="320" t="s">
        <v>241</v>
      </c>
      <c r="D90" s="306" t="s">
        <v>219</v>
      </c>
      <c r="E90" s="172">
        <v>0</v>
      </c>
      <c r="F90" s="172">
        <v>0</v>
      </c>
      <c r="G90" s="172">
        <v>0</v>
      </c>
      <c r="H90" s="172">
        <v>0</v>
      </c>
      <c r="I90" s="172">
        <v>0</v>
      </c>
      <c r="J90" s="172">
        <v>0</v>
      </c>
      <c r="K90" s="3"/>
      <c r="L90" s="3"/>
      <c r="M90" s="3"/>
      <c r="N90" s="3"/>
      <c r="O90" s="3"/>
      <c r="P90" s="3"/>
      <c r="Q90" s="3"/>
      <c r="R90" s="3"/>
      <c r="S90" s="3"/>
      <c r="T90" s="3"/>
      <c r="U90" s="3"/>
      <c r="V90" s="3"/>
      <c r="W90" s="3"/>
      <c r="X90" s="3"/>
      <c r="Y90" s="3"/>
      <c r="Z90" s="3"/>
    </row>
    <row r="91" spans="1:26" ht="12" customHeight="1">
      <c r="A91" s="52" t="s">
        <v>46</v>
      </c>
      <c r="B91" s="320" t="str">
        <f t="shared" si="12"/>
        <v>General Service &lt; 50 kW.LRAM Rate Rider2</v>
      </c>
      <c r="C91" s="320" t="s">
        <v>241</v>
      </c>
      <c r="D91" s="306" t="s">
        <v>220</v>
      </c>
      <c r="E91" s="172">
        <v>0</v>
      </c>
      <c r="F91" s="172">
        <v>4.0000000000000002E-4</v>
      </c>
      <c r="G91" s="172">
        <v>0</v>
      </c>
      <c r="H91" s="172">
        <v>0</v>
      </c>
      <c r="I91" s="172">
        <v>0</v>
      </c>
      <c r="J91" s="172">
        <v>0</v>
      </c>
      <c r="K91" s="3"/>
      <c r="L91" s="3"/>
      <c r="M91" s="3"/>
      <c r="N91" s="3"/>
      <c r="O91" s="3"/>
      <c r="P91" s="3"/>
      <c r="Q91" s="3"/>
      <c r="R91" s="3"/>
      <c r="S91" s="3"/>
      <c r="T91" s="3"/>
      <c r="U91" s="3"/>
      <c r="V91" s="3"/>
      <c r="W91" s="3"/>
      <c r="X91" s="3"/>
      <c r="Y91" s="3"/>
      <c r="Z91" s="3"/>
    </row>
    <row r="92" spans="1:26" ht="12" customHeight="1">
      <c r="A92" s="52" t="s">
        <v>66</v>
      </c>
      <c r="B92" s="320" t="str">
        <f t="shared" si="12"/>
        <v>General Service 50 to 1,499 KW.LRAM Rate Rider2</v>
      </c>
      <c r="C92" s="320" t="s">
        <v>241</v>
      </c>
      <c r="D92" s="306" t="s">
        <v>221</v>
      </c>
      <c r="E92" s="172">
        <v>0</v>
      </c>
      <c r="F92" s="172">
        <v>0</v>
      </c>
      <c r="G92" s="342">
        <v>2.9499999999999998E-2</v>
      </c>
      <c r="H92" s="172">
        <v>0</v>
      </c>
      <c r="I92" s="172">
        <v>0</v>
      </c>
      <c r="J92" s="172">
        <v>0</v>
      </c>
      <c r="K92" s="3"/>
      <c r="L92" s="3"/>
      <c r="M92" s="3"/>
      <c r="N92" s="3"/>
      <c r="O92" s="3"/>
      <c r="P92" s="3"/>
      <c r="Q92" s="3"/>
      <c r="R92" s="3"/>
      <c r="S92" s="3"/>
      <c r="T92" s="3"/>
      <c r="U92" s="3"/>
      <c r="V92" s="3"/>
      <c r="W92" s="3"/>
      <c r="X92" s="3"/>
      <c r="Y92" s="3"/>
      <c r="Z92" s="3"/>
    </row>
    <row r="93" spans="1:26" ht="12" customHeight="1">
      <c r="A93" s="52" t="s">
        <v>66</v>
      </c>
      <c r="B93" s="320" t="str">
        <f t="shared" si="12"/>
        <v>General Service 1,500 to 4,999 KW.LRAM Rate Rider2</v>
      </c>
      <c r="C93" s="320" t="s">
        <v>241</v>
      </c>
      <c r="D93" s="306" t="s">
        <v>222</v>
      </c>
      <c r="E93" s="172">
        <v>0</v>
      </c>
      <c r="F93" s="343">
        <v>-0.3846</v>
      </c>
      <c r="G93" s="172">
        <v>0</v>
      </c>
      <c r="H93" s="172">
        <v>0</v>
      </c>
      <c r="I93" s="172">
        <v>0</v>
      </c>
      <c r="J93" s="172">
        <v>0</v>
      </c>
      <c r="K93" s="3"/>
      <c r="L93" s="3"/>
      <c r="M93" s="3"/>
      <c r="N93" s="3"/>
      <c r="O93" s="3"/>
      <c r="P93" s="3"/>
      <c r="Q93" s="3"/>
      <c r="R93" s="3"/>
      <c r="S93" s="3"/>
      <c r="T93" s="3"/>
      <c r="U93" s="3"/>
      <c r="V93" s="3"/>
      <c r="W93" s="3"/>
      <c r="X93" s="3"/>
      <c r="Y93" s="3"/>
      <c r="Z93" s="3"/>
    </row>
    <row r="94" spans="1:26" ht="12" customHeight="1">
      <c r="A94" s="52" t="s">
        <v>66</v>
      </c>
      <c r="B94" s="320" t="str">
        <f t="shared" si="12"/>
        <v>Large User.LRAM Rate Rider2</v>
      </c>
      <c r="C94" s="320" t="s">
        <v>241</v>
      </c>
      <c r="D94" s="306" t="s">
        <v>223</v>
      </c>
      <c r="E94" s="172">
        <v>0</v>
      </c>
      <c r="F94" s="343">
        <v>-0.52569999999999995</v>
      </c>
      <c r="G94" s="172">
        <v>0</v>
      </c>
      <c r="H94" s="172">
        <v>0</v>
      </c>
      <c r="I94" s="172">
        <v>0</v>
      </c>
      <c r="J94" s="172">
        <v>0</v>
      </c>
      <c r="K94" s="3"/>
      <c r="L94" s="3"/>
      <c r="M94" s="3"/>
      <c r="N94" s="3"/>
      <c r="O94" s="3"/>
      <c r="P94" s="3"/>
      <c r="Q94" s="3"/>
      <c r="R94" s="3"/>
      <c r="S94" s="3"/>
      <c r="T94" s="3"/>
      <c r="U94" s="3"/>
      <c r="V94" s="3"/>
      <c r="W94" s="3"/>
      <c r="X94" s="3"/>
      <c r="Y94" s="3"/>
      <c r="Z94" s="3"/>
    </row>
    <row r="95" spans="1:26" ht="12" customHeight="1">
      <c r="A95" s="52" t="s">
        <v>66</v>
      </c>
      <c r="B95" s="320" t="str">
        <f t="shared" si="12"/>
        <v>Street Light.LRAM Rate Rider2</v>
      </c>
      <c r="C95" s="320" t="s">
        <v>241</v>
      </c>
      <c r="D95" s="306" t="s">
        <v>224</v>
      </c>
      <c r="E95" s="172">
        <v>0</v>
      </c>
      <c r="F95" s="344">
        <v>-0.60389999999999999</v>
      </c>
      <c r="G95" s="172">
        <v>0</v>
      </c>
      <c r="H95" s="172">
        <v>0</v>
      </c>
      <c r="I95" s="172">
        <v>0</v>
      </c>
      <c r="J95" s="172">
        <v>0</v>
      </c>
      <c r="K95" s="3"/>
      <c r="L95" s="3"/>
      <c r="M95" s="3"/>
      <c r="N95" s="3"/>
      <c r="O95" s="3"/>
      <c r="P95" s="3"/>
      <c r="Q95" s="3"/>
      <c r="R95" s="3"/>
      <c r="S95" s="3"/>
      <c r="T95" s="3"/>
      <c r="U95" s="3"/>
      <c r="V95" s="3"/>
      <c r="W95" s="3"/>
      <c r="X95" s="3"/>
      <c r="Y95" s="3"/>
      <c r="Z95" s="3"/>
    </row>
    <row r="96" spans="1:26" ht="12" customHeight="1">
      <c r="A96" s="52" t="s">
        <v>66</v>
      </c>
      <c r="B96" s="320" t="str">
        <f t="shared" si="12"/>
        <v>Sentinel Lights.LRAM Rate Rider2</v>
      </c>
      <c r="C96" s="320" t="s">
        <v>241</v>
      </c>
      <c r="D96" s="306" t="s">
        <v>225</v>
      </c>
      <c r="E96" s="172">
        <v>0</v>
      </c>
      <c r="F96" s="172"/>
      <c r="G96" s="172">
        <v>0</v>
      </c>
      <c r="H96" s="172">
        <v>0</v>
      </c>
      <c r="I96" s="172">
        <v>0</v>
      </c>
      <c r="J96" s="172">
        <v>0</v>
      </c>
      <c r="K96" s="3"/>
      <c r="L96" s="3"/>
      <c r="M96" s="3"/>
      <c r="N96" s="3"/>
      <c r="O96" s="3"/>
      <c r="P96" s="3"/>
      <c r="Q96" s="3"/>
      <c r="R96" s="3"/>
      <c r="S96" s="3"/>
      <c r="T96" s="3"/>
      <c r="U96" s="3"/>
      <c r="V96" s="3"/>
      <c r="W96" s="3"/>
      <c r="X96" s="3"/>
      <c r="Y96" s="3"/>
      <c r="Z96" s="3"/>
    </row>
    <row r="97" spans="1:26" ht="12" customHeight="1">
      <c r="A97" s="52" t="s">
        <v>46</v>
      </c>
      <c r="B97" s="320" t="str">
        <f t="shared" si="12"/>
        <v>Unmetered Scattered Load.LRAM Rate Rider2</v>
      </c>
      <c r="C97" s="320" t="s">
        <v>241</v>
      </c>
      <c r="D97" s="306" t="s">
        <v>226</v>
      </c>
      <c r="E97" s="172">
        <v>0</v>
      </c>
      <c r="F97" s="172">
        <v>-5.0000000000000001E-4</v>
      </c>
      <c r="G97" s="172">
        <v>0</v>
      </c>
      <c r="H97" s="172">
        <v>0</v>
      </c>
      <c r="I97" s="172">
        <v>0</v>
      </c>
      <c r="J97" s="172">
        <v>0</v>
      </c>
      <c r="K97" s="3"/>
      <c r="L97" s="3"/>
      <c r="M97" s="3"/>
      <c r="N97" s="3"/>
      <c r="O97" s="3"/>
      <c r="P97" s="3"/>
      <c r="Q97" s="3"/>
      <c r="R97" s="3"/>
      <c r="S97" s="3"/>
      <c r="T97" s="3"/>
      <c r="U97" s="3"/>
      <c r="V97" s="3"/>
      <c r="W97" s="3"/>
      <c r="X97" s="3"/>
      <c r="Y97" s="3"/>
      <c r="Z97" s="3"/>
    </row>
    <row r="98" spans="1:26" ht="12" customHeight="1">
      <c r="A98" s="52" t="s">
        <v>66</v>
      </c>
      <c r="B98" s="320" t="str">
        <f t="shared" si="12"/>
        <v>Standby Power General Service 50 to 1,499 KW.2</v>
      </c>
      <c r="C98" s="320"/>
      <c r="D98" s="306" t="s">
        <v>227</v>
      </c>
      <c r="E98" s="305"/>
      <c r="F98" s="340"/>
      <c r="G98" s="3"/>
      <c r="H98" s="3"/>
      <c r="I98" s="3"/>
      <c r="J98" s="3"/>
      <c r="K98" s="3"/>
      <c r="L98" s="3"/>
      <c r="M98" s="3"/>
      <c r="N98" s="3"/>
      <c r="O98" s="3"/>
      <c r="P98" s="3"/>
      <c r="Q98" s="3"/>
      <c r="R98" s="3"/>
      <c r="S98" s="3"/>
      <c r="T98" s="3"/>
      <c r="U98" s="3"/>
      <c r="V98" s="3"/>
      <c r="W98" s="3"/>
      <c r="X98" s="3"/>
      <c r="Y98" s="3"/>
      <c r="Z98" s="3"/>
    </row>
    <row r="99" spans="1:26" ht="12" customHeight="1">
      <c r="A99" s="52" t="s">
        <v>66</v>
      </c>
      <c r="B99" s="320" t="str">
        <f t="shared" si="12"/>
        <v>Standby Power General Service 1,500 to 4,999 KW.2</v>
      </c>
      <c r="C99" s="320"/>
      <c r="D99" s="306" t="s">
        <v>228</v>
      </c>
      <c r="E99" s="305"/>
      <c r="F99" s="340"/>
      <c r="G99" s="3"/>
      <c r="H99" s="3"/>
      <c r="I99" s="3"/>
      <c r="J99" s="3"/>
      <c r="K99" s="3"/>
      <c r="L99" s="3"/>
      <c r="M99" s="3"/>
      <c r="N99" s="3"/>
      <c r="O99" s="3"/>
      <c r="P99" s="3"/>
      <c r="Q99" s="3"/>
      <c r="R99" s="3"/>
      <c r="S99" s="3"/>
      <c r="T99" s="3"/>
      <c r="U99" s="3"/>
      <c r="V99" s="3"/>
      <c r="W99" s="3"/>
      <c r="X99" s="3"/>
      <c r="Y99" s="3"/>
      <c r="Z99" s="3"/>
    </row>
    <row r="100" spans="1:26" ht="12" customHeight="1">
      <c r="A100" s="52" t="s">
        <v>66</v>
      </c>
      <c r="B100" s="320" t="str">
        <f t="shared" si="12"/>
        <v>Standby Power Large Use.2</v>
      </c>
      <c r="C100" s="320"/>
      <c r="D100" s="306" t="s">
        <v>229</v>
      </c>
      <c r="E100" s="305"/>
      <c r="F100" s="340"/>
      <c r="G100" s="3"/>
      <c r="H100" s="3"/>
      <c r="I100" s="3"/>
      <c r="J100" s="3"/>
      <c r="K100" s="3"/>
      <c r="L100" s="3"/>
      <c r="M100" s="3"/>
      <c r="N100" s="3"/>
      <c r="O100" s="3"/>
      <c r="P100" s="3"/>
      <c r="Q100" s="3"/>
      <c r="R100" s="3"/>
      <c r="S100" s="3"/>
      <c r="T100" s="3"/>
      <c r="U100" s="3"/>
      <c r="V100" s="3"/>
      <c r="W100" s="3"/>
      <c r="X100" s="3"/>
      <c r="Y100" s="3"/>
      <c r="Z100" s="3"/>
    </row>
    <row r="101" spans="1:26" ht="12" customHeight="1">
      <c r="A101" s="3"/>
      <c r="B101" s="306"/>
      <c r="C101" s="3"/>
      <c r="D101" s="306"/>
      <c r="E101" s="345"/>
      <c r="F101" s="306"/>
      <c r="G101" s="3"/>
      <c r="H101" s="346"/>
      <c r="I101" s="346"/>
      <c r="J101" s="3"/>
      <c r="K101" s="3"/>
      <c r="L101" s="3"/>
      <c r="M101" s="3"/>
      <c r="N101" s="3"/>
      <c r="O101" s="3"/>
      <c r="P101" s="3"/>
      <c r="Q101" s="3"/>
      <c r="R101" s="3"/>
      <c r="S101" s="3"/>
      <c r="T101" s="3"/>
      <c r="U101" s="3"/>
      <c r="V101" s="3"/>
      <c r="W101" s="3"/>
      <c r="X101" s="3"/>
      <c r="Y101" s="3"/>
      <c r="Z101" s="3"/>
    </row>
    <row r="102" spans="1:26" ht="12" customHeight="1">
      <c r="A102" s="3"/>
      <c r="B102" s="306"/>
      <c r="C102" s="317" t="s">
        <v>243</v>
      </c>
      <c r="D102" s="3"/>
      <c r="E102" s="318" t="s">
        <v>215</v>
      </c>
      <c r="F102" s="319" t="str">
        <f t="shared" ref="F102:J102" si="13">F$4</f>
        <v>2026F</v>
      </c>
      <c r="G102" s="319" t="str">
        <f t="shared" si="13"/>
        <v>2027F</v>
      </c>
      <c r="H102" s="319" t="str">
        <f t="shared" si="13"/>
        <v>2028F</v>
      </c>
      <c r="I102" s="319" t="str">
        <f t="shared" si="13"/>
        <v>2029F</v>
      </c>
      <c r="J102" s="319" t="str">
        <f t="shared" si="13"/>
        <v>2030F</v>
      </c>
      <c r="K102" s="3"/>
      <c r="L102" s="3"/>
      <c r="M102" s="3"/>
      <c r="N102" s="3"/>
      <c r="O102" s="3"/>
      <c r="P102" s="3"/>
      <c r="Q102" s="3"/>
      <c r="R102" s="3"/>
      <c r="S102" s="3"/>
      <c r="T102" s="3"/>
      <c r="U102" s="3"/>
      <c r="V102" s="3"/>
      <c r="W102" s="3"/>
      <c r="X102" s="3"/>
      <c r="Y102" s="3"/>
      <c r="Z102" s="3"/>
    </row>
    <row r="103" spans="1:26" ht="12" customHeight="1">
      <c r="A103" s="52" t="s">
        <v>46</v>
      </c>
      <c r="B103" s="320" t="str">
        <f t="shared" ref="B103:B113" si="14">D103&amp;"."&amp;C103</f>
        <v>Residential.CBR Class B Rate Riders</v>
      </c>
      <c r="C103" s="320" t="s">
        <v>244</v>
      </c>
      <c r="D103" s="306" t="s">
        <v>219</v>
      </c>
      <c r="E103" s="330">
        <v>2.0000000000000001E-4</v>
      </c>
      <c r="F103" s="331">
        <v>4.0000000000000002E-4</v>
      </c>
      <c r="G103" s="332">
        <v>0</v>
      </c>
      <c r="H103" s="332">
        <v>0</v>
      </c>
      <c r="I103" s="332">
        <v>0</v>
      </c>
      <c r="J103" s="332">
        <v>0</v>
      </c>
      <c r="K103" s="3"/>
      <c r="L103" s="3"/>
      <c r="M103" s="3"/>
      <c r="N103" s="3"/>
      <c r="O103" s="3"/>
      <c r="P103" s="3"/>
      <c r="Q103" s="3"/>
      <c r="R103" s="3"/>
      <c r="S103" s="3"/>
      <c r="T103" s="3"/>
      <c r="U103" s="3"/>
      <c r="V103" s="3"/>
      <c r="W103" s="3"/>
      <c r="X103" s="3"/>
      <c r="Y103" s="3"/>
      <c r="Z103" s="3"/>
    </row>
    <row r="104" spans="1:26" ht="12" customHeight="1">
      <c r="A104" s="52" t="s">
        <v>46</v>
      </c>
      <c r="B104" s="320" t="str">
        <f t="shared" si="14"/>
        <v>General Service &lt; 50 kW.CBR Class B Rate Riders</v>
      </c>
      <c r="C104" s="320" t="s">
        <v>244</v>
      </c>
      <c r="D104" s="306" t="s">
        <v>220</v>
      </c>
      <c r="E104" s="330">
        <v>2.0000000000000001E-4</v>
      </c>
      <c r="F104" s="331">
        <v>4.0000000000000002E-4</v>
      </c>
      <c r="G104" s="332">
        <v>0</v>
      </c>
      <c r="H104" s="332">
        <v>0</v>
      </c>
      <c r="I104" s="332">
        <v>0</v>
      </c>
      <c r="J104" s="332">
        <v>0</v>
      </c>
      <c r="K104" s="3"/>
      <c r="L104" s="3"/>
      <c r="M104" s="3"/>
      <c r="N104" s="3"/>
      <c r="O104" s="3"/>
      <c r="P104" s="3"/>
      <c r="Q104" s="3"/>
      <c r="R104" s="3"/>
      <c r="S104" s="3"/>
      <c r="T104" s="3"/>
      <c r="U104" s="3"/>
      <c r="V104" s="3"/>
      <c r="W104" s="3"/>
      <c r="X104" s="3"/>
      <c r="Y104" s="3"/>
      <c r="Z104" s="3"/>
    </row>
    <row r="105" spans="1:26" ht="12" customHeight="1">
      <c r="A105" s="52" t="s">
        <v>46</v>
      </c>
      <c r="B105" s="320" t="str">
        <f t="shared" si="14"/>
        <v>General Service 50 to 1,499 KW.CBR Class B Rate Riders</v>
      </c>
      <c r="C105" s="320" t="s">
        <v>244</v>
      </c>
      <c r="D105" s="306" t="s">
        <v>221</v>
      </c>
      <c r="E105" s="330">
        <v>2.0000000000000001E-4</v>
      </c>
      <c r="F105" s="331">
        <v>4.0000000000000002E-4</v>
      </c>
      <c r="G105" s="332">
        <v>0</v>
      </c>
      <c r="H105" s="332">
        <v>0</v>
      </c>
      <c r="I105" s="332">
        <v>0</v>
      </c>
      <c r="J105" s="332">
        <v>0</v>
      </c>
      <c r="K105" s="3"/>
      <c r="L105" s="3"/>
      <c r="M105" s="3"/>
      <c r="N105" s="3"/>
      <c r="O105" s="3"/>
      <c r="P105" s="3"/>
      <c r="Q105" s="3"/>
      <c r="R105" s="3"/>
      <c r="S105" s="3"/>
      <c r="T105" s="3"/>
      <c r="U105" s="3"/>
      <c r="V105" s="3"/>
      <c r="W105" s="3"/>
      <c r="X105" s="3"/>
      <c r="Y105" s="3"/>
      <c r="Z105" s="3"/>
    </row>
    <row r="106" spans="1:26" ht="12" customHeight="1">
      <c r="A106" s="52" t="s">
        <v>46</v>
      </c>
      <c r="B106" s="320" t="str">
        <f t="shared" si="14"/>
        <v>General Service 1,500 to 4,999 KW.CBR Class B Rate Riders</v>
      </c>
      <c r="C106" s="320" t="s">
        <v>244</v>
      </c>
      <c r="D106" s="306" t="s">
        <v>222</v>
      </c>
      <c r="E106" s="330">
        <v>2.0000000000000001E-4</v>
      </c>
      <c r="F106" s="331">
        <v>4.0000000000000002E-4</v>
      </c>
      <c r="G106" s="332">
        <v>0</v>
      </c>
      <c r="H106" s="332">
        <v>0</v>
      </c>
      <c r="I106" s="332">
        <v>0</v>
      </c>
      <c r="J106" s="332">
        <v>0</v>
      </c>
      <c r="K106" s="3"/>
      <c r="L106" s="3"/>
      <c r="M106" s="3"/>
      <c r="N106" s="3"/>
      <c r="O106" s="3"/>
      <c r="P106" s="3"/>
      <c r="Q106" s="3"/>
      <c r="R106" s="3"/>
      <c r="S106" s="3"/>
      <c r="T106" s="3"/>
      <c r="U106" s="3"/>
      <c r="V106" s="3"/>
      <c r="W106" s="3"/>
      <c r="X106" s="3"/>
      <c r="Y106" s="3"/>
      <c r="Z106" s="3"/>
    </row>
    <row r="107" spans="1:26" ht="12" customHeight="1">
      <c r="A107" s="52" t="s">
        <v>46</v>
      </c>
      <c r="B107" s="320" t="str">
        <f t="shared" si="14"/>
        <v>Large User.CBR Class B Rate Riders</v>
      </c>
      <c r="C107" s="320" t="s">
        <v>244</v>
      </c>
      <c r="D107" s="306" t="s">
        <v>223</v>
      </c>
      <c r="E107" s="330">
        <v>2.0000000000000001E-4</v>
      </c>
      <c r="F107" s="331">
        <v>4.0000000000000002E-4</v>
      </c>
      <c r="G107" s="332">
        <v>0</v>
      </c>
      <c r="H107" s="332">
        <v>0</v>
      </c>
      <c r="I107" s="332">
        <v>0</v>
      </c>
      <c r="J107" s="332">
        <v>0</v>
      </c>
      <c r="K107" s="3"/>
      <c r="L107" s="3"/>
      <c r="M107" s="3"/>
      <c r="N107" s="3"/>
      <c r="O107" s="3"/>
      <c r="P107" s="3"/>
      <c r="Q107" s="3"/>
      <c r="R107" s="3"/>
      <c r="S107" s="3"/>
      <c r="T107" s="3"/>
      <c r="U107" s="3"/>
      <c r="V107" s="3"/>
      <c r="W107" s="3"/>
      <c r="X107" s="3"/>
      <c r="Y107" s="3"/>
      <c r="Z107" s="3"/>
    </row>
    <row r="108" spans="1:26" ht="12" customHeight="1">
      <c r="A108" s="52" t="s">
        <v>46</v>
      </c>
      <c r="B108" s="320" t="str">
        <f t="shared" si="14"/>
        <v>Street Light.CBR Class B Rate Riders</v>
      </c>
      <c r="C108" s="320" t="s">
        <v>244</v>
      </c>
      <c r="D108" s="306" t="s">
        <v>224</v>
      </c>
      <c r="E108" s="330">
        <v>2.0000000000000001E-4</v>
      </c>
      <c r="F108" s="331">
        <v>4.0000000000000002E-4</v>
      </c>
      <c r="G108" s="332">
        <v>0</v>
      </c>
      <c r="H108" s="332">
        <v>0</v>
      </c>
      <c r="I108" s="332">
        <v>0</v>
      </c>
      <c r="J108" s="332">
        <v>0</v>
      </c>
      <c r="K108" s="3"/>
      <c r="L108" s="3"/>
      <c r="M108" s="3"/>
      <c r="N108" s="3"/>
      <c r="O108" s="3"/>
      <c r="P108" s="3"/>
      <c r="Q108" s="3"/>
      <c r="R108" s="3"/>
      <c r="S108" s="3"/>
      <c r="T108" s="3"/>
      <c r="U108" s="3"/>
      <c r="V108" s="3"/>
      <c r="W108" s="3"/>
      <c r="X108" s="3"/>
      <c r="Y108" s="3"/>
      <c r="Z108" s="3"/>
    </row>
    <row r="109" spans="1:26" ht="12" customHeight="1">
      <c r="A109" s="52" t="s">
        <v>46</v>
      </c>
      <c r="B109" s="320" t="str">
        <f t="shared" si="14"/>
        <v>Sentinel Lights.CBR Class B Rate Riders</v>
      </c>
      <c r="C109" s="320" t="s">
        <v>244</v>
      </c>
      <c r="D109" s="306" t="s">
        <v>225</v>
      </c>
      <c r="E109" s="330">
        <v>2.0000000000000001E-4</v>
      </c>
      <c r="F109" s="331">
        <v>4.0000000000000002E-4</v>
      </c>
      <c r="G109" s="332">
        <v>0</v>
      </c>
      <c r="H109" s="332">
        <v>0</v>
      </c>
      <c r="I109" s="332">
        <v>0</v>
      </c>
      <c r="J109" s="332">
        <v>0</v>
      </c>
      <c r="K109" s="3"/>
      <c r="L109" s="3"/>
      <c r="M109" s="3"/>
      <c r="N109" s="3"/>
      <c r="O109" s="3"/>
      <c r="P109" s="3"/>
      <c r="Q109" s="3"/>
      <c r="R109" s="3"/>
      <c r="S109" s="3"/>
      <c r="T109" s="3"/>
      <c r="U109" s="3"/>
      <c r="V109" s="3"/>
      <c r="W109" s="3"/>
      <c r="X109" s="3"/>
      <c r="Y109" s="3"/>
      <c r="Z109" s="3"/>
    </row>
    <row r="110" spans="1:26" ht="12" customHeight="1">
      <c r="A110" s="52" t="s">
        <v>46</v>
      </c>
      <c r="B110" s="320" t="str">
        <f t="shared" si="14"/>
        <v>Unmetered Scattered Load.CBR Class B Rate Riders</v>
      </c>
      <c r="C110" s="320" t="s">
        <v>244</v>
      </c>
      <c r="D110" s="306" t="s">
        <v>226</v>
      </c>
      <c r="E110" s="330">
        <v>2.0000000000000001E-4</v>
      </c>
      <c r="F110" s="331">
        <v>4.0000000000000002E-4</v>
      </c>
      <c r="G110" s="332">
        <v>0</v>
      </c>
      <c r="H110" s="332">
        <v>0</v>
      </c>
      <c r="I110" s="332">
        <v>0</v>
      </c>
      <c r="J110" s="332">
        <v>0</v>
      </c>
      <c r="K110" s="3"/>
      <c r="L110" s="3"/>
      <c r="M110" s="3"/>
      <c r="N110" s="3"/>
      <c r="O110" s="3"/>
      <c r="P110" s="3"/>
      <c r="Q110" s="3"/>
      <c r="R110" s="3"/>
      <c r="S110" s="3"/>
      <c r="T110" s="3"/>
      <c r="U110" s="3"/>
      <c r="V110" s="3"/>
      <c r="W110" s="3"/>
      <c r="X110" s="3"/>
      <c r="Y110" s="3"/>
      <c r="Z110" s="3"/>
    </row>
    <row r="111" spans="1:26" ht="12" customHeight="1">
      <c r="A111" s="52" t="s">
        <v>46</v>
      </c>
      <c r="B111" s="320" t="str">
        <f t="shared" si="14"/>
        <v>Standby Power General Service 50 to 1,499 KW.</v>
      </c>
      <c r="C111" s="320"/>
      <c r="D111" s="306" t="s">
        <v>227</v>
      </c>
      <c r="E111" s="3"/>
      <c r="F111" s="340"/>
      <c r="G111" s="3"/>
      <c r="H111" s="3"/>
      <c r="I111" s="3"/>
      <c r="J111" s="128"/>
      <c r="K111" s="3"/>
      <c r="L111" s="3"/>
      <c r="M111" s="3"/>
      <c r="N111" s="3"/>
      <c r="O111" s="3"/>
      <c r="P111" s="3"/>
      <c r="Q111" s="3"/>
      <c r="R111" s="3"/>
      <c r="S111" s="3"/>
      <c r="T111" s="3"/>
      <c r="U111" s="3"/>
      <c r="V111" s="3"/>
      <c r="W111" s="3"/>
      <c r="X111" s="3"/>
      <c r="Y111" s="3"/>
      <c r="Z111" s="3"/>
    </row>
    <row r="112" spans="1:26" ht="12" customHeight="1">
      <c r="A112" s="52" t="s">
        <v>46</v>
      </c>
      <c r="B112" s="320" t="str">
        <f t="shared" si="14"/>
        <v>Standby Power General Service 1,500 to 4,999 KW.</v>
      </c>
      <c r="C112" s="320"/>
      <c r="D112" s="306" t="s">
        <v>228</v>
      </c>
      <c r="E112" s="3"/>
      <c r="F112" s="340"/>
      <c r="G112" s="3"/>
      <c r="H112" s="3"/>
      <c r="I112" s="3"/>
      <c r="J112" s="128"/>
      <c r="K112" s="3"/>
      <c r="L112" s="3"/>
      <c r="M112" s="3"/>
      <c r="N112" s="3"/>
      <c r="O112" s="3"/>
      <c r="P112" s="3"/>
      <c r="Q112" s="3"/>
      <c r="R112" s="3"/>
      <c r="S112" s="3"/>
      <c r="T112" s="3"/>
      <c r="U112" s="3"/>
      <c r="V112" s="3"/>
      <c r="W112" s="3"/>
      <c r="X112" s="3"/>
      <c r="Y112" s="3"/>
      <c r="Z112" s="3"/>
    </row>
    <row r="113" spans="1:26" ht="12" customHeight="1">
      <c r="A113" s="52" t="s">
        <v>46</v>
      </c>
      <c r="B113" s="320" t="str">
        <f t="shared" si="14"/>
        <v>Standby Power Large Use.</v>
      </c>
      <c r="C113" s="320"/>
      <c r="D113" s="306" t="s">
        <v>229</v>
      </c>
      <c r="E113" s="3"/>
      <c r="F113" s="340"/>
      <c r="G113" s="3"/>
      <c r="H113" s="3"/>
      <c r="I113" s="3"/>
      <c r="J113" s="128"/>
      <c r="K113" s="3"/>
      <c r="L113" s="3"/>
      <c r="M113" s="3"/>
      <c r="N113" s="3"/>
      <c r="O113" s="3"/>
      <c r="P113" s="3"/>
      <c r="Q113" s="3"/>
      <c r="R113" s="3"/>
      <c r="S113" s="3"/>
      <c r="T113" s="3"/>
      <c r="U113" s="3"/>
      <c r="V113" s="3"/>
      <c r="W113" s="3"/>
      <c r="X113" s="3"/>
      <c r="Y113" s="3"/>
      <c r="Z113" s="3"/>
    </row>
    <row r="114" spans="1:26" ht="12" hidden="1" customHeight="1">
      <c r="A114" s="3"/>
      <c r="B114" s="306"/>
      <c r="C114" s="3"/>
      <c r="D114" s="52"/>
      <c r="E114" s="3"/>
      <c r="F114" s="52" t="s">
        <v>245</v>
      </c>
      <c r="G114" s="3"/>
      <c r="H114" s="3"/>
      <c r="I114" s="3"/>
      <c r="J114" s="3"/>
      <c r="K114" s="3"/>
      <c r="L114" s="3"/>
      <c r="M114" s="3"/>
      <c r="N114" s="3"/>
      <c r="O114" s="3"/>
      <c r="P114" s="3"/>
      <c r="Q114" s="3"/>
      <c r="R114" s="3"/>
      <c r="S114" s="3"/>
      <c r="T114" s="3"/>
      <c r="U114" s="3"/>
      <c r="V114" s="3"/>
      <c r="W114" s="3"/>
      <c r="X114" s="3"/>
      <c r="Y114" s="3"/>
      <c r="Z114" s="3"/>
    </row>
    <row r="115" spans="1:26" ht="12" hidden="1" customHeight="1">
      <c r="A115" s="52"/>
      <c r="B115" s="52"/>
      <c r="C115" s="347" t="s">
        <v>246</v>
      </c>
      <c r="D115" s="348"/>
      <c r="E115" s="345">
        <v>2025</v>
      </c>
      <c r="F115" s="306">
        <v>2021</v>
      </c>
      <c r="G115" s="306">
        <v>2022</v>
      </c>
      <c r="H115" s="306">
        <v>2023</v>
      </c>
      <c r="I115" s="306">
        <v>2024</v>
      </c>
      <c r="J115" s="306">
        <v>2025</v>
      </c>
      <c r="K115" s="3"/>
      <c r="L115" s="3"/>
      <c r="M115" s="3"/>
      <c r="N115" s="3"/>
      <c r="O115" s="3"/>
      <c r="P115" s="3"/>
      <c r="Q115" s="3"/>
      <c r="R115" s="3"/>
      <c r="S115" s="3"/>
      <c r="T115" s="3"/>
      <c r="U115" s="3"/>
      <c r="V115" s="3"/>
      <c r="W115" s="3"/>
      <c r="X115" s="3"/>
      <c r="Y115" s="3"/>
      <c r="Z115" s="3"/>
    </row>
    <row r="116" spans="1:26" ht="12" hidden="1" customHeight="1">
      <c r="A116" s="52"/>
      <c r="B116" s="320" t="str">
        <f t="shared" ref="B116:B126" si="15">D116&amp;"."&amp;C116</f>
        <v>Residential.Rate Rider Calculation for PILs</v>
      </c>
      <c r="C116" s="320" t="str">
        <f t="shared" ref="C116:C126" si="16">C$115</f>
        <v>Rate Rider Calculation for PILs</v>
      </c>
      <c r="D116" s="306" t="s">
        <v>219</v>
      </c>
      <c r="E116" s="3"/>
      <c r="F116" s="340"/>
      <c r="G116" s="52"/>
      <c r="H116" s="52"/>
      <c r="I116" s="52"/>
      <c r="J116" s="52"/>
      <c r="K116" s="3"/>
      <c r="L116" s="3"/>
      <c r="M116" s="3"/>
      <c r="N116" s="3"/>
      <c r="O116" s="3"/>
      <c r="P116" s="3"/>
      <c r="Q116" s="3"/>
      <c r="R116" s="3"/>
      <c r="S116" s="3"/>
      <c r="T116" s="3"/>
      <c r="U116" s="3"/>
      <c r="V116" s="3"/>
      <c r="W116" s="3"/>
      <c r="X116" s="3"/>
      <c r="Y116" s="3"/>
      <c r="Z116" s="3"/>
    </row>
    <row r="117" spans="1:26" ht="12" hidden="1" customHeight="1">
      <c r="A117" s="52"/>
      <c r="B117" s="320" t="str">
        <f t="shared" si="15"/>
        <v>General Service &lt; 50 kW.Rate Rider Calculation for PILs</v>
      </c>
      <c r="C117" s="320" t="str">
        <f t="shared" si="16"/>
        <v>Rate Rider Calculation for PILs</v>
      </c>
      <c r="D117" s="306" t="s">
        <v>220</v>
      </c>
      <c r="E117" s="3"/>
      <c r="F117" s="340"/>
      <c r="G117" s="52"/>
      <c r="H117" s="52"/>
      <c r="I117" s="52"/>
      <c r="J117" s="52"/>
      <c r="K117" s="3"/>
      <c r="L117" s="3"/>
      <c r="M117" s="3"/>
      <c r="N117" s="3"/>
      <c r="O117" s="3"/>
      <c r="P117" s="3"/>
      <c r="Q117" s="3"/>
      <c r="R117" s="3"/>
      <c r="S117" s="3"/>
      <c r="T117" s="3"/>
      <c r="U117" s="3"/>
      <c r="V117" s="3"/>
      <c r="W117" s="3"/>
      <c r="X117" s="3"/>
      <c r="Y117" s="3"/>
      <c r="Z117" s="3"/>
    </row>
    <row r="118" spans="1:26" ht="12" hidden="1" customHeight="1">
      <c r="A118" s="52"/>
      <c r="B118" s="320" t="str">
        <f t="shared" si="15"/>
        <v>General Service 50 to 1,499 KW.Rate Rider Calculation for PILs</v>
      </c>
      <c r="C118" s="320" t="str">
        <f t="shared" si="16"/>
        <v>Rate Rider Calculation for PILs</v>
      </c>
      <c r="D118" s="306" t="s">
        <v>221</v>
      </c>
      <c r="E118" s="3"/>
      <c r="F118" s="340"/>
      <c r="G118" s="52"/>
      <c r="H118" s="52"/>
      <c r="I118" s="52"/>
      <c r="J118" s="52"/>
      <c r="K118" s="3"/>
      <c r="L118" s="3"/>
      <c r="M118" s="3"/>
      <c r="N118" s="3"/>
      <c r="O118" s="3"/>
      <c r="P118" s="3"/>
      <c r="Q118" s="3"/>
      <c r="R118" s="3"/>
      <c r="S118" s="3"/>
      <c r="T118" s="3"/>
      <c r="U118" s="3"/>
      <c r="V118" s="3"/>
      <c r="W118" s="3"/>
      <c r="X118" s="3"/>
      <c r="Y118" s="3"/>
      <c r="Z118" s="3"/>
    </row>
    <row r="119" spans="1:26" ht="12" hidden="1" customHeight="1">
      <c r="A119" s="52"/>
      <c r="B119" s="320" t="str">
        <f t="shared" si="15"/>
        <v>General Service 1,500 to 4,999 KW.Rate Rider Calculation for PILs</v>
      </c>
      <c r="C119" s="320" t="str">
        <f t="shared" si="16"/>
        <v>Rate Rider Calculation for PILs</v>
      </c>
      <c r="D119" s="306" t="s">
        <v>222</v>
      </c>
      <c r="E119" s="3"/>
      <c r="F119" s="340"/>
      <c r="G119" s="52"/>
      <c r="H119" s="52"/>
      <c r="I119" s="52"/>
      <c r="J119" s="52"/>
      <c r="K119" s="3"/>
      <c r="L119" s="3"/>
      <c r="M119" s="3"/>
      <c r="N119" s="3"/>
      <c r="O119" s="3"/>
      <c r="P119" s="3"/>
      <c r="Q119" s="3"/>
      <c r="R119" s="3"/>
      <c r="S119" s="3"/>
      <c r="T119" s="3"/>
      <c r="U119" s="3"/>
      <c r="V119" s="3"/>
      <c r="W119" s="3"/>
      <c r="X119" s="3"/>
      <c r="Y119" s="3"/>
      <c r="Z119" s="3"/>
    </row>
    <row r="120" spans="1:26" ht="12" hidden="1" customHeight="1">
      <c r="A120" s="52"/>
      <c r="B120" s="320" t="str">
        <f t="shared" si="15"/>
        <v>Large User.Rate Rider Calculation for PILs</v>
      </c>
      <c r="C120" s="320" t="str">
        <f t="shared" si="16"/>
        <v>Rate Rider Calculation for PILs</v>
      </c>
      <c r="D120" s="306" t="s">
        <v>223</v>
      </c>
      <c r="E120" s="3"/>
      <c r="F120" s="340"/>
      <c r="G120" s="52"/>
      <c r="H120" s="52"/>
      <c r="I120" s="52"/>
      <c r="J120" s="52"/>
      <c r="K120" s="3"/>
      <c r="L120" s="3"/>
      <c r="M120" s="3"/>
      <c r="N120" s="3"/>
      <c r="O120" s="3"/>
      <c r="P120" s="3"/>
      <c r="Q120" s="3"/>
      <c r="R120" s="3"/>
      <c r="S120" s="3"/>
      <c r="T120" s="3"/>
      <c r="U120" s="3"/>
      <c r="V120" s="3"/>
      <c r="W120" s="3"/>
      <c r="X120" s="3"/>
      <c r="Y120" s="3"/>
      <c r="Z120" s="3"/>
    </row>
    <row r="121" spans="1:26" ht="12" hidden="1" customHeight="1">
      <c r="A121" s="52"/>
      <c r="B121" s="320" t="str">
        <f t="shared" si="15"/>
        <v>Street Light.Rate Rider Calculation for PILs</v>
      </c>
      <c r="C121" s="320" t="str">
        <f t="shared" si="16"/>
        <v>Rate Rider Calculation for PILs</v>
      </c>
      <c r="D121" s="306" t="s">
        <v>224</v>
      </c>
      <c r="E121" s="3"/>
      <c r="F121" s="340"/>
      <c r="G121" s="52"/>
      <c r="H121" s="52"/>
      <c r="I121" s="52"/>
      <c r="J121" s="52"/>
      <c r="K121" s="3"/>
      <c r="L121" s="3"/>
      <c r="M121" s="3"/>
      <c r="N121" s="3"/>
      <c r="O121" s="3"/>
      <c r="P121" s="3"/>
      <c r="Q121" s="3"/>
      <c r="R121" s="3"/>
      <c r="S121" s="3"/>
      <c r="T121" s="3"/>
      <c r="U121" s="3"/>
      <c r="V121" s="3"/>
      <c r="W121" s="3"/>
      <c r="X121" s="3"/>
      <c r="Y121" s="3"/>
      <c r="Z121" s="3"/>
    </row>
    <row r="122" spans="1:26" ht="12" hidden="1" customHeight="1">
      <c r="A122" s="52"/>
      <c r="B122" s="320" t="str">
        <f t="shared" si="15"/>
        <v>Sentinel Lights.Rate Rider Calculation for PILs</v>
      </c>
      <c r="C122" s="320" t="str">
        <f t="shared" si="16"/>
        <v>Rate Rider Calculation for PILs</v>
      </c>
      <c r="D122" s="306" t="s">
        <v>225</v>
      </c>
      <c r="E122" s="3"/>
      <c r="F122" s="340"/>
      <c r="G122" s="52"/>
      <c r="H122" s="52"/>
      <c r="I122" s="52"/>
      <c r="J122" s="52"/>
      <c r="K122" s="3"/>
      <c r="L122" s="3"/>
      <c r="M122" s="3"/>
      <c r="N122" s="3"/>
      <c r="O122" s="3"/>
      <c r="P122" s="3"/>
      <c r="Q122" s="3"/>
      <c r="R122" s="3"/>
      <c r="S122" s="3"/>
      <c r="T122" s="3"/>
      <c r="U122" s="3"/>
      <c r="V122" s="3"/>
      <c r="W122" s="3"/>
      <c r="X122" s="3"/>
      <c r="Y122" s="3"/>
      <c r="Z122" s="3"/>
    </row>
    <row r="123" spans="1:26" ht="12" hidden="1" customHeight="1">
      <c r="A123" s="52"/>
      <c r="B123" s="320" t="str">
        <f t="shared" si="15"/>
        <v>Unmetered Scattered Load.Rate Rider Calculation for PILs</v>
      </c>
      <c r="C123" s="320" t="str">
        <f t="shared" si="16"/>
        <v>Rate Rider Calculation for PILs</v>
      </c>
      <c r="D123" s="306" t="s">
        <v>226</v>
      </c>
      <c r="E123" s="3"/>
      <c r="F123" s="340"/>
      <c r="G123" s="52"/>
      <c r="H123" s="52"/>
      <c r="I123" s="52"/>
      <c r="J123" s="52"/>
      <c r="K123" s="3"/>
      <c r="L123" s="3"/>
      <c r="M123" s="3"/>
      <c r="N123" s="3"/>
      <c r="O123" s="3"/>
      <c r="P123" s="3"/>
      <c r="Q123" s="3"/>
      <c r="R123" s="3"/>
      <c r="S123" s="3"/>
      <c r="T123" s="3"/>
      <c r="U123" s="3"/>
      <c r="V123" s="3"/>
      <c r="W123" s="3"/>
      <c r="X123" s="3"/>
      <c r="Y123" s="3"/>
      <c r="Z123" s="3"/>
    </row>
    <row r="124" spans="1:26" ht="12" hidden="1" customHeight="1">
      <c r="A124" s="52"/>
      <c r="B124" s="320" t="str">
        <f t="shared" si="15"/>
        <v>Standby Power General Service 50 to 1,499 KW.Rate Rider Calculation for PILs</v>
      </c>
      <c r="C124" s="320" t="str">
        <f t="shared" si="16"/>
        <v>Rate Rider Calculation for PILs</v>
      </c>
      <c r="D124" s="306" t="s">
        <v>227</v>
      </c>
      <c r="E124" s="3"/>
      <c r="F124" s="340"/>
      <c r="G124" s="52"/>
      <c r="H124" s="52"/>
      <c r="I124" s="52"/>
      <c r="J124" s="52"/>
      <c r="K124" s="3"/>
      <c r="L124" s="3"/>
      <c r="M124" s="3"/>
      <c r="N124" s="3"/>
      <c r="O124" s="3"/>
      <c r="P124" s="3"/>
      <c r="Q124" s="3"/>
      <c r="R124" s="3"/>
      <c r="S124" s="3"/>
      <c r="T124" s="3"/>
      <c r="U124" s="3"/>
      <c r="V124" s="3"/>
      <c r="W124" s="3"/>
      <c r="X124" s="3"/>
      <c r="Y124" s="3"/>
      <c r="Z124" s="3"/>
    </row>
    <row r="125" spans="1:26" ht="12" hidden="1" customHeight="1">
      <c r="A125" s="52"/>
      <c r="B125" s="320" t="str">
        <f t="shared" si="15"/>
        <v>Standby Power General Service 1,500 to 4,999 KW.Rate Rider Calculation for PILs</v>
      </c>
      <c r="C125" s="320" t="str">
        <f t="shared" si="16"/>
        <v>Rate Rider Calculation for PILs</v>
      </c>
      <c r="D125" s="306" t="s">
        <v>228</v>
      </c>
      <c r="E125" s="3"/>
      <c r="F125" s="340"/>
      <c r="G125" s="52"/>
      <c r="H125" s="52"/>
      <c r="I125" s="52"/>
      <c r="J125" s="52"/>
      <c r="K125" s="3"/>
      <c r="L125" s="3"/>
      <c r="M125" s="3"/>
      <c r="N125" s="3"/>
      <c r="O125" s="3"/>
      <c r="P125" s="3"/>
      <c r="Q125" s="3"/>
      <c r="R125" s="3"/>
      <c r="S125" s="3"/>
      <c r="T125" s="3"/>
      <c r="U125" s="3"/>
      <c r="V125" s="3"/>
      <c r="W125" s="3"/>
      <c r="X125" s="3"/>
      <c r="Y125" s="3"/>
      <c r="Z125" s="3"/>
    </row>
    <row r="126" spans="1:26" ht="12" hidden="1" customHeight="1">
      <c r="A126" s="52"/>
      <c r="B126" s="320" t="str">
        <f t="shared" si="15"/>
        <v>Standby Power Large Use.Rate Rider Calculation for PILs</v>
      </c>
      <c r="C126" s="320" t="str">
        <f t="shared" si="16"/>
        <v>Rate Rider Calculation for PILs</v>
      </c>
      <c r="D126" s="306" t="s">
        <v>229</v>
      </c>
      <c r="E126" s="3"/>
      <c r="F126" s="340"/>
      <c r="G126" s="52"/>
      <c r="H126" s="52"/>
      <c r="I126" s="52"/>
      <c r="J126" s="52"/>
      <c r="K126" s="3"/>
      <c r="L126" s="3"/>
      <c r="M126" s="3"/>
      <c r="N126" s="3"/>
      <c r="O126" s="3"/>
      <c r="P126" s="3"/>
      <c r="Q126" s="3"/>
      <c r="R126" s="3"/>
      <c r="S126" s="3"/>
      <c r="T126" s="3"/>
      <c r="U126" s="3"/>
      <c r="V126" s="3"/>
      <c r="W126" s="3"/>
      <c r="X126" s="3"/>
      <c r="Y126" s="3"/>
      <c r="Z126" s="3"/>
    </row>
    <row r="127" spans="1:26" ht="12" hidden="1" customHeight="1">
      <c r="A127" s="3"/>
      <c r="B127" s="306"/>
      <c r="C127" s="3"/>
      <c r="D127" s="52"/>
      <c r="E127" s="3"/>
      <c r="F127" s="52" t="s">
        <v>245</v>
      </c>
      <c r="G127" s="3"/>
      <c r="H127" s="3"/>
      <c r="I127" s="3"/>
      <c r="J127" s="3"/>
      <c r="K127" s="3"/>
      <c r="L127" s="3"/>
      <c r="M127" s="3"/>
      <c r="N127" s="3"/>
      <c r="O127" s="3"/>
      <c r="P127" s="3"/>
      <c r="Q127" s="3"/>
      <c r="R127" s="3"/>
      <c r="S127" s="3"/>
      <c r="T127" s="3"/>
      <c r="U127" s="3"/>
      <c r="V127" s="3"/>
      <c r="W127" s="3"/>
      <c r="X127" s="3"/>
      <c r="Y127" s="3"/>
      <c r="Z127" s="3"/>
    </row>
    <row r="128" spans="1:26" ht="12" hidden="1" customHeight="1">
      <c r="A128" s="3"/>
      <c r="B128" s="320"/>
      <c r="C128" s="347" t="s">
        <v>247</v>
      </c>
      <c r="D128" s="349"/>
      <c r="E128" s="318" t="s">
        <v>215</v>
      </c>
      <c r="F128" s="319" t="str">
        <f t="shared" ref="F128:J128" si="17">F$4</f>
        <v>2026F</v>
      </c>
      <c r="G128" s="319" t="str">
        <f t="shared" si="17"/>
        <v>2027F</v>
      </c>
      <c r="H128" s="319" t="str">
        <f t="shared" si="17"/>
        <v>2028F</v>
      </c>
      <c r="I128" s="319" t="str">
        <f t="shared" si="17"/>
        <v>2029F</v>
      </c>
      <c r="J128" s="319" t="str">
        <f t="shared" si="17"/>
        <v>2030F</v>
      </c>
      <c r="K128" s="3"/>
      <c r="L128" s="3"/>
      <c r="M128" s="3"/>
      <c r="N128" s="3"/>
      <c r="O128" s="3"/>
      <c r="P128" s="3"/>
      <c r="Q128" s="3"/>
      <c r="R128" s="3"/>
      <c r="S128" s="3"/>
      <c r="T128" s="3"/>
      <c r="U128" s="3"/>
      <c r="V128" s="3"/>
      <c r="W128" s="3"/>
      <c r="X128" s="3"/>
      <c r="Y128" s="3"/>
      <c r="Z128" s="3"/>
    </row>
    <row r="129" spans="1:26" ht="12" hidden="1" customHeight="1">
      <c r="A129" s="52"/>
      <c r="B129" s="320" t="str">
        <f t="shared" ref="B129:B139" si="18">D129&amp;"."&amp;C129</f>
        <v>Residential.Rate Rider Calculation for Generic</v>
      </c>
      <c r="C129" s="320" t="str">
        <f t="shared" ref="C129:C139" si="19">$C$128</f>
        <v>Rate Rider Calculation for Generic</v>
      </c>
      <c r="D129" s="306" t="s">
        <v>219</v>
      </c>
      <c r="E129" s="3"/>
      <c r="F129" s="340"/>
      <c r="G129" s="52"/>
      <c r="H129" s="52"/>
      <c r="I129" s="52"/>
      <c r="J129" s="52"/>
      <c r="K129" s="3"/>
      <c r="L129" s="3"/>
      <c r="M129" s="3"/>
      <c r="N129" s="3"/>
      <c r="O129" s="3"/>
      <c r="P129" s="3"/>
      <c r="Q129" s="3"/>
      <c r="R129" s="3"/>
      <c r="S129" s="3"/>
      <c r="T129" s="3"/>
      <c r="U129" s="3"/>
      <c r="V129" s="3"/>
      <c r="W129" s="3"/>
      <c r="X129" s="3"/>
      <c r="Y129" s="3"/>
      <c r="Z129" s="3"/>
    </row>
    <row r="130" spans="1:26" ht="12" hidden="1" customHeight="1">
      <c r="A130" s="52"/>
      <c r="B130" s="320" t="str">
        <f t="shared" si="18"/>
        <v>General Service &lt; 50 kW.Rate Rider Calculation for Generic</v>
      </c>
      <c r="C130" s="320" t="str">
        <f t="shared" si="19"/>
        <v>Rate Rider Calculation for Generic</v>
      </c>
      <c r="D130" s="306" t="s">
        <v>220</v>
      </c>
      <c r="E130" s="3"/>
      <c r="F130" s="340"/>
      <c r="G130" s="52"/>
      <c r="H130" s="52"/>
      <c r="I130" s="52"/>
      <c r="J130" s="52"/>
      <c r="K130" s="3"/>
      <c r="L130" s="3"/>
      <c r="M130" s="3"/>
      <c r="N130" s="3"/>
      <c r="O130" s="3"/>
      <c r="P130" s="3"/>
      <c r="Q130" s="3"/>
      <c r="R130" s="3"/>
      <c r="S130" s="3"/>
      <c r="T130" s="3"/>
      <c r="U130" s="3"/>
      <c r="V130" s="3"/>
      <c r="W130" s="3"/>
      <c r="X130" s="3"/>
      <c r="Y130" s="3"/>
      <c r="Z130" s="3"/>
    </row>
    <row r="131" spans="1:26" ht="12" hidden="1" customHeight="1">
      <c r="A131" s="52"/>
      <c r="B131" s="320" t="str">
        <f t="shared" si="18"/>
        <v>General Service 50 to 1,499 KW.Rate Rider Calculation for Generic</v>
      </c>
      <c r="C131" s="320" t="str">
        <f t="shared" si="19"/>
        <v>Rate Rider Calculation for Generic</v>
      </c>
      <c r="D131" s="306" t="s">
        <v>221</v>
      </c>
      <c r="E131" s="3"/>
      <c r="F131" s="340"/>
      <c r="G131" s="52"/>
      <c r="H131" s="52"/>
      <c r="I131" s="52"/>
      <c r="J131" s="52"/>
      <c r="K131" s="3"/>
      <c r="L131" s="3"/>
      <c r="M131" s="3"/>
      <c r="N131" s="3"/>
      <c r="O131" s="3"/>
      <c r="P131" s="3"/>
      <c r="Q131" s="3"/>
      <c r="R131" s="3"/>
      <c r="S131" s="3"/>
      <c r="T131" s="3"/>
      <c r="U131" s="3"/>
      <c r="V131" s="3"/>
      <c r="W131" s="3"/>
      <c r="X131" s="3"/>
      <c r="Y131" s="3"/>
      <c r="Z131" s="3"/>
    </row>
    <row r="132" spans="1:26" ht="12" hidden="1" customHeight="1">
      <c r="A132" s="52"/>
      <c r="B132" s="320" t="str">
        <f t="shared" si="18"/>
        <v>General Service 1,500 to 4,999 KW.Rate Rider Calculation for Generic</v>
      </c>
      <c r="C132" s="320" t="str">
        <f t="shared" si="19"/>
        <v>Rate Rider Calculation for Generic</v>
      </c>
      <c r="D132" s="306" t="s">
        <v>222</v>
      </c>
      <c r="E132" s="3"/>
      <c r="F132" s="340"/>
      <c r="G132" s="52"/>
      <c r="H132" s="52"/>
      <c r="I132" s="52"/>
      <c r="J132" s="52"/>
      <c r="K132" s="3"/>
      <c r="L132" s="3"/>
      <c r="M132" s="3"/>
      <c r="N132" s="3"/>
      <c r="O132" s="3"/>
      <c r="P132" s="3"/>
      <c r="Q132" s="3"/>
      <c r="R132" s="3"/>
      <c r="S132" s="3"/>
      <c r="T132" s="3"/>
      <c r="U132" s="3"/>
      <c r="V132" s="3"/>
      <c r="W132" s="3"/>
      <c r="X132" s="3"/>
      <c r="Y132" s="3"/>
      <c r="Z132" s="3"/>
    </row>
    <row r="133" spans="1:26" ht="12" hidden="1" customHeight="1">
      <c r="A133" s="52"/>
      <c r="B133" s="320" t="str">
        <f t="shared" si="18"/>
        <v>Large User.Rate Rider Calculation for Generic</v>
      </c>
      <c r="C133" s="320" t="str">
        <f t="shared" si="19"/>
        <v>Rate Rider Calculation for Generic</v>
      </c>
      <c r="D133" s="306" t="s">
        <v>223</v>
      </c>
      <c r="E133" s="3"/>
      <c r="F133" s="340"/>
      <c r="G133" s="52"/>
      <c r="H133" s="52"/>
      <c r="I133" s="52"/>
      <c r="J133" s="52"/>
      <c r="K133" s="3"/>
      <c r="L133" s="3"/>
      <c r="M133" s="3"/>
      <c r="N133" s="3"/>
      <c r="O133" s="3"/>
      <c r="P133" s="3"/>
      <c r="Q133" s="3"/>
      <c r="R133" s="3"/>
      <c r="S133" s="3"/>
      <c r="T133" s="3"/>
      <c r="U133" s="3"/>
      <c r="V133" s="3"/>
      <c r="W133" s="3"/>
      <c r="X133" s="3"/>
      <c r="Y133" s="3"/>
      <c r="Z133" s="3"/>
    </row>
    <row r="134" spans="1:26" ht="12" hidden="1" customHeight="1">
      <c r="A134" s="52"/>
      <c r="B134" s="320" t="str">
        <f t="shared" si="18"/>
        <v>Street Light.Rate Rider Calculation for Generic</v>
      </c>
      <c r="C134" s="320" t="str">
        <f t="shared" si="19"/>
        <v>Rate Rider Calculation for Generic</v>
      </c>
      <c r="D134" s="306" t="s">
        <v>224</v>
      </c>
      <c r="E134" s="3"/>
      <c r="F134" s="340"/>
      <c r="G134" s="52"/>
      <c r="H134" s="52"/>
      <c r="I134" s="52"/>
      <c r="J134" s="52"/>
      <c r="K134" s="3"/>
      <c r="L134" s="3"/>
      <c r="M134" s="3"/>
      <c r="N134" s="3"/>
      <c r="O134" s="3"/>
      <c r="P134" s="3"/>
      <c r="Q134" s="3"/>
      <c r="R134" s="3"/>
      <c r="S134" s="3"/>
      <c r="T134" s="3"/>
      <c r="U134" s="3"/>
      <c r="V134" s="3"/>
      <c r="W134" s="3"/>
      <c r="X134" s="3"/>
      <c r="Y134" s="3"/>
      <c r="Z134" s="3"/>
    </row>
    <row r="135" spans="1:26" ht="12" hidden="1" customHeight="1">
      <c r="A135" s="52"/>
      <c r="B135" s="320" t="str">
        <f t="shared" si="18"/>
        <v>Sentinel Lights.Rate Rider Calculation for Generic</v>
      </c>
      <c r="C135" s="320" t="str">
        <f t="shared" si="19"/>
        <v>Rate Rider Calculation for Generic</v>
      </c>
      <c r="D135" s="306" t="s">
        <v>225</v>
      </c>
      <c r="E135" s="3"/>
      <c r="F135" s="340"/>
      <c r="G135" s="52"/>
      <c r="H135" s="52"/>
      <c r="I135" s="52"/>
      <c r="J135" s="52"/>
      <c r="K135" s="3"/>
      <c r="L135" s="3"/>
      <c r="M135" s="3"/>
      <c r="N135" s="3"/>
      <c r="O135" s="3"/>
      <c r="P135" s="3"/>
      <c r="Q135" s="3"/>
      <c r="R135" s="3"/>
      <c r="S135" s="3"/>
      <c r="T135" s="3"/>
      <c r="U135" s="3"/>
      <c r="V135" s="3"/>
      <c r="W135" s="3"/>
      <c r="X135" s="3"/>
      <c r="Y135" s="3"/>
      <c r="Z135" s="3"/>
    </row>
    <row r="136" spans="1:26" ht="12" hidden="1" customHeight="1">
      <c r="A136" s="52"/>
      <c r="B136" s="320" t="str">
        <f t="shared" si="18"/>
        <v>Unmetered Scattered Load.Rate Rider Calculation for Generic</v>
      </c>
      <c r="C136" s="320" t="str">
        <f t="shared" si="19"/>
        <v>Rate Rider Calculation for Generic</v>
      </c>
      <c r="D136" s="306" t="s">
        <v>226</v>
      </c>
      <c r="E136" s="3"/>
      <c r="F136" s="340"/>
      <c r="G136" s="52"/>
      <c r="H136" s="52"/>
      <c r="I136" s="52"/>
      <c r="J136" s="52"/>
      <c r="K136" s="3"/>
      <c r="L136" s="3"/>
      <c r="M136" s="3"/>
      <c r="N136" s="3"/>
      <c r="O136" s="3"/>
      <c r="P136" s="3"/>
      <c r="Q136" s="3"/>
      <c r="R136" s="3"/>
      <c r="S136" s="3"/>
      <c r="T136" s="3"/>
      <c r="U136" s="3"/>
      <c r="V136" s="3"/>
      <c r="W136" s="3"/>
      <c r="X136" s="3"/>
      <c r="Y136" s="3"/>
      <c r="Z136" s="3"/>
    </row>
    <row r="137" spans="1:26" ht="12" hidden="1" customHeight="1">
      <c r="A137" s="52"/>
      <c r="B137" s="320" t="str">
        <f t="shared" si="18"/>
        <v>Standby Power General Service 50 to 1,499 KW.Rate Rider Calculation for Generic</v>
      </c>
      <c r="C137" s="320" t="str">
        <f t="shared" si="19"/>
        <v>Rate Rider Calculation for Generic</v>
      </c>
      <c r="D137" s="306" t="s">
        <v>227</v>
      </c>
      <c r="E137" s="3"/>
      <c r="F137" s="340"/>
      <c r="G137" s="52"/>
      <c r="H137" s="52"/>
      <c r="I137" s="52"/>
      <c r="J137" s="52"/>
      <c r="K137" s="3"/>
      <c r="L137" s="3"/>
      <c r="M137" s="3"/>
      <c r="N137" s="3"/>
      <c r="O137" s="3"/>
      <c r="P137" s="3"/>
      <c r="Q137" s="3"/>
      <c r="R137" s="3"/>
      <c r="S137" s="3"/>
      <c r="T137" s="3"/>
      <c r="U137" s="3"/>
      <c r="V137" s="3"/>
      <c r="W137" s="3"/>
      <c r="X137" s="3"/>
      <c r="Y137" s="3"/>
      <c r="Z137" s="3"/>
    </row>
    <row r="138" spans="1:26" ht="12" hidden="1" customHeight="1">
      <c r="A138" s="52"/>
      <c r="B138" s="320" t="str">
        <f t="shared" si="18"/>
        <v>Standby Power General Service 1,500 to 4,999 KW.Rate Rider Calculation for Generic</v>
      </c>
      <c r="C138" s="320" t="str">
        <f t="shared" si="19"/>
        <v>Rate Rider Calculation for Generic</v>
      </c>
      <c r="D138" s="306" t="s">
        <v>228</v>
      </c>
      <c r="E138" s="3"/>
      <c r="F138" s="340"/>
      <c r="G138" s="52"/>
      <c r="H138" s="52"/>
      <c r="I138" s="52"/>
      <c r="J138" s="52"/>
      <c r="K138" s="3"/>
      <c r="L138" s="3"/>
      <c r="M138" s="3"/>
      <c r="N138" s="3"/>
      <c r="O138" s="3"/>
      <c r="P138" s="3"/>
      <c r="Q138" s="3"/>
      <c r="R138" s="3"/>
      <c r="S138" s="3"/>
      <c r="T138" s="3"/>
      <c r="U138" s="3"/>
      <c r="V138" s="3"/>
      <c r="W138" s="3"/>
      <c r="X138" s="3"/>
      <c r="Y138" s="3"/>
      <c r="Z138" s="3"/>
    </row>
    <row r="139" spans="1:26" ht="12" hidden="1" customHeight="1">
      <c r="A139" s="52"/>
      <c r="B139" s="320" t="str">
        <f t="shared" si="18"/>
        <v>Standby Power Large Use.Rate Rider Calculation for Generic</v>
      </c>
      <c r="C139" s="320" t="str">
        <f t="shared" si="19"/>
        <v>Rate Rider Calculation for Generic</v>
      </c>
      <c r="D139" s="306" t="s">
        <v>229</v>
      </c>
      <c r="E139" s="3"/>
      <c r="F139" s="340"/>
      <c r="G139" s="52"/>
      <c r="H139" s="52"/>
      <c r="I139" s="52"/>
      <c r="J139" s="52"/>
      <c r="K139" s="3"/>
      <c r="L139" s="3"/>
      <c r="M139" s="3"/>
      <c r="N139" s="3"/>
      <c r="O139" s="3"/>
      <c r="P139" s="3"/>
      <c r="Q139" s="3"/>
      <c r="R139" s="3"/>
      <c r="S139" s="3"/>
      <c r="T139" s="3"/>
      <c r="U139" s="3"/>
      <c r="V139" s="3"/>
      <c r="W139" s="3"/>
      <c r="X139" s="3"/>
      <c r="Y139" s="3"/>
      <c r="Z139" s="3"/>
    </row>
    <row r="140" spans="1:26" ht="12" customHeight="1">
      <c r="A140" s="3"/>
      <c r="B140" s="306"/>
      <c r="C140" s="3"/>
      <c r="D140" s="3"/>
      <c r="E140" s="3"/>
      <c r="F140" s="3"/>
      <c r="G140" s="3"/>
      <c r="H140" s="346"/>
      <c r="I140" s="346"/>
      <c r="J140" s="3"/>
      <c r="K140" s="3"/>
      <c r="L140" s="3"/>
      <c r="M140" s="3"/>
      <c r="N140" s="3"/>
      <c r="O140" s="3"/>
      <c r="P140" s="3"/>
      <c r="Q140" s="3"/>
      <c r="R140" s="3"/>
      <c r="S140" s="3"/>
      <c r="T140" s="3"/>
      <c r="U140" s="3"/>
      <c r="V140" s="3"/>
      <c r="W140" s="3"/>
      <c r="X140" s="3"/>
      <c r="Y140" s="3"/>
      <c r="Z140" s="3"/>
    </row>
    <row r="141" spans="1:26" ht="12" customHeight="1">
      <c r="A141" s="3"/>
      <c r="B141" s="52"/>
      <c r="C141" s="317" t="s">
        <v>248</v>
      </c>
      <c r="D141" s="3"/>
      <c r="E141" s="318" t="s">
        <v>215</v>
      </c>
      <c r="F141" s="319" t="str">
        <f t="shared" ref="F141:J141" si="20">F$4</f>
        <v>2026F</v>
      </c>
      <c r="G141" s="319" t="str">
        <f t="shared" si="20"/>
        <v>2027F</v>
      </c>
      <c r="H141" s="319" t="str">
        <f t="shared" si="20"/>
        <v>2028F</v>
      </c>
      <c r="I141" s="319" t="str">
        <f t="shared" si="20"/>
        <v>2029F</v>
      </c>
      <c r="J141" s="319" t="str">
        <f t="shared" si="20"/>
        <v>2030F</v>
      </c>
      <c r="K141" s="3"/>
      <c r="L141" s="3"/>
      <c r="M141" s="3"/>
      <c r="N141" s="3"/>
      <c r="O141" s="3"/>
      <c r="P141" s="3"/>
      <c r="Q141" s="3"/>
      <c r="R141" s="3"/>
      <c r="S141" s="3"/>
      <c r="T141" s="3"/>
      <c r="U141" s="3"/>
      <c r="V141" s="3"/>
      <c r="W141" s="3"/>
      <c r="X141" s="3"/>
      <c r="Y141" s="3"/>
      <c r="Z141" s="3"/>
    </row>
    <row r="142" spans="1:26" ht="12" customHeight="1">
      <c r="A142" s="3"/>
      <c r="B142" s="320" t="str">
        <f t="shared" ref="B142:B152" si="21">D142&amp;"."&amp;C142</f>
        <v>Residential.GA Rate Riders</v>
      </c>
      <c r="C142" s="320" t="s">
        <v>249</v>
      </c>
      <c r="D142" s="306" t="s">
        <v>219</v>
      </c>
      <c r="E142" s="330">
        <v>3.8999999999999998E-3</v>
      </c>
      <c r="F142" s="331">
        <v>4.4999999999999997E-3</v>
      </c>
      <c r="G142" s="332">
        <v>0</v>
      </c>
      <c r="H142" s="332">
        <v>0</v>
      </c>
      <c r="I142" s="332">
        <v>0</v>
      </c>
      <c r="J142" s="332">
        <v>0</v>
      </c>
      <c r="K142" s="3"/>
      <c r="L142" s="3"/>
      <c r="M142" s="3"/>
      <c r="N142" s="3"/>
      <c r="O142" s="3"/>
      <c r="P142" s="3"/>
      <c r="Q142" s="3"/>
      <c r="R142" s="3"/>
      <c r="S142" s="3"/>
      <c r="T142" s="3"/>
      <c r="U142" s="3"/>
      <c r="V142" s="3"/>
      <c r="W142" s="3"/>
      <c r="X142" s="3"/>
      <c r="Y142" s="3"/>
      <c r="Z142" s="3"/>
    </row>
    <row r="143" spans="1:26" ht="12" customHeight="1">
      <c r="A143" s="3"/>
      <c r="B143" s="320" t="str">
        <f t="shared" si="21"/>
        <v>General Service &lt; 50 kW.GA Rate Riders</v>
      </c>
      <c r="C143" s="320" t="s">
        <v>249</v>
      </c>
      <c r="D143" s="306" t="s">
        <v>220</v>
      </c>
      <c r="E143" s="330">
        <v>3.8999999999999998E-3</v>
      </c>
      <c r="F143" s="331">
        <v>4.4999999999999997E-3</v>
      </c>
      <c r="G143" s="332">
        <v>0</v>
      </c>
      <c r="H143" s="332">
        <v>0</v>
      </c>
      <c r="I143" s="332">
        <v>0</v>
      </c>
      <c r="J143" s="332">
        <v>0</v>
      </c>
      <c r="K143" s="3"/>
      <c r="L143" s="3"/>
      <c r="M143" s="3"/>
      <c r="N143" s="3"/>
      <c r="O143" s="3"/>
      <c r="P143" s="3"/>
      <c r="Q143" s="3"/>
      <c r="R143" s="3"/>
      <c r="S143" s="3"/>
      <c r="T143" s="3"/>
      <c r="U143" s="3"/>
      <c r="V143" s="3"/>
      <c r="W143" s="3"/>
      <c r="X143" s="3"/>
      <c r="Y143" s="3"/>
      <c r="Z143" s="3"/>
    </row>
    <row r="144" spans="1:26" ht="12" customHeight="1">
      <c r="A144" s="3"/>
      <c r="B144" s="320" t="str">
        <f t="shared" si="21"/>
        <v>General Service 50 to 1,499 KW.GA Rate Riders</v>
      </c>
      <c r="C144" s="320" t="s">
        <v>249</v>
      </c>
      <c r="D144" s="306" t="s">
        <v>221</v>
      </c>
      <c r="E144" s="330">
        <v>3.8999999999999998E-3</v>
      </c>
      <c r="F144" s="331">
        <v>4.4999999999999997E-3</v>
      </c>
      <c r="G144" s="332">
        <v>0</v>
      </c>
      <c r="H144" s="332">
        <v>0</v>
      </c>
      <c r="I144" s="332">
        <v>0</v>
      </c>
      <c r="J144" s="332">
        <v>0</v>
      </c>
      <c r="K144" s="3"/>
      <c r="L144" s="3"/>
      <c r="M144" s="3"/>
      <c r="N144" s="3"/>
      <c r="O144" s="3"/>
      <c r="P144" s="3"/>
      <c r="Q144" s="3"/>
      <c r="R144" s="3"/>
      <c r="S144" s="3"/>
      <c r="T144" s="3"/>
      <c r="U144" s="3"/>
      <c r="V144" s="3"/>
      <c r="W144" s="3"/>
      <c r="X144" s="3"/>
      <c r="Y144" s="3"/>
      <c r="Z144" s="3"/>
    </row>
    <row r="145" spans="1:26" ht="12" customHeight="1">
      <c r="A145" s="3"/>
      <c r="B145" s="320" t="str">
        <f t="shared" si="21"/>
        <v>General Service 1,500 to 4,999 KW.GA Rate Riders</v>
      </c>
      <c r="C145" s="320" t="s">
        <v>249</v>
      </c>
      <c r="D145" s="306" t="s">
        <v>222</v>
      </c>
      <c r="E145" s="330">
        <v>3.8999999999999998E-3</v>
      </c>
      <c r="F145" s="331">
        <v>4.4999999999999997E-3</v>
      </c>
      <c r="G145" s="332">
        <v>0</v>
      </c>
      <c r="H145" s="332">
        <v>0</v>
      </c>
      <c r="I145" s="332">
        <v>0</v>
      </c>
      <c r="J145" s="332">
        <v>0</v>
      </c>
      <c r="K145" s="3"/>
      <c r="L145" s="3"/>
      <c r="M145" s="3"/>
      <c r="N145" s="3"/>
      <c r="O145" s="3"/>
      <c r="P145" s="3"/>
      <c r="Q145" s="3"/>
      <c r="R145" s="3"/>
      <c r="S145" s="3"/>
      <c r="T145" s="3"/>
      <c r="U145" s="3"/>
      <c r="V145" s="3"/>
      <c r="W145" s="3"/>
      <c r="X145" s="3"/>
      <c r="Y145" s="3"/>
      <c r="Z145" s="3"/>
    </row>
    <row r="146" spans="1:26" ht="12" customHeight="1">
      <c r="A146" s="3"/>
      <c r="B146" s="320" t="str">
        <f t="shared" si="21"/>
        <v>Large User.GA Rate Riders</v>
      </c>
      <c r="C146" s="320" t="s">
        <v>249</v>
      </c>
      <c r="D146" s="306" t="s">
        <v>223</v>
      </c>
      <c r="E146" s="330">
        <v>3.8999999999999998E-3</v>
      </c>
      <c r="F146" s="331">
        <v>4.4999999999999997E-3</v>
      </c>
      <c r="G146" s="332">
        <v>0</v>
      </c>
      <c r="H146" s="332">
        <v>0</v>
      </c>
      <c r="I146" s="332">
        <v>0</v>
      </c>
      <c r="J146" s="332">
        <v>0</v>
      </c>
      <c r="K146" s="3"/>
      <c r="L146" s="3"/>
      <c r="M146" s="3"/>
      <c r="N146" s="3"/>
      <c r="O146" s="3"/>
      <c r="P146" s="3"/>
      <c r="Q146" s="3"/>
      <c r="R146" s="3"/>
      <c r="S146" s="3"/>
      <c r="T146" s="3"/>
      <c r="U146" s="3"/>
      <c r="V146" s="3"/>
      <c r="W146" s="3"/>
      <c r="X146" s="3"/>
      <c r="Y146" s="3"/>
      <c r="Z146" s="3"/>
    </row>
    <row r="147" spans="1:26" ht="12" customHeight="1">
      <c r="A147" s="3"/>
      <c r="B147" s="320" t="str">
        <f t="shared" si="21"/>
        <v>Street Light.GA Rate Riders</v>
      </c>
      <c r="C147" s="320" t="s">
        <v>249</v>
      </c>
      <c r="D147" s="306" t="s">
        <v>224</v>
      </c>
      <c r="E147" s="330">
        <v>3.8999999999999998E-3</v>
      </c>
      <c r="F147" s="331">
        <v>4.4999999999999997E-3</v>
      </c>
      <c r="G147" s="332">
        <v>0</v>
      </c>
      <c r="H147" s="332">
        <v>0</v>
      </c>
      <c r="I147" s="332">
        <v>0</v>
      </c>
      <c r="J147" s="332">
        <v>0</v>
      </c>
      <c r="K147" s="3"/>
      <c r="L147" s="3"/>
      <c r="M147" s="3"/>
      <c r="N147" s="3"/>
      <c r="O147" s="3"/>
      <c r="P147" s="3"/>
      <c r="Q147" s="3"/>
      <c r="R147" s="3"/>
      <c r="S147" s="3"/>
      <c r="T147" s="3"/>
      <c r="U147" s="3"/>
      <c r="V147" s="3"/>
      <c r="W147" s="3"/>
      <c r="X147" s="3"/>
      <c r="Y147" s="3"/>
      <c r="Z147" s="3"/>
    </row>
    <row r="148" spans="1:26" ht="12" customHeight="1">
      <c r="A148" s="3"/>
      <c r="B148" s="320" t="str">
        <f t="shared" si="21"/>
        <v>Sentinel Lights.GA Rate Riders</v>
      </c>
      <c r="C148" s="320" t="s">
        <v>249</v>
      </c>
      <c r="D148" s="306" t="s">
        <v>225</v>
      </c>
      <c r="E148" s="330">
        <v>0</v>
      </c>
      <c r="F148" s="332">
        <v>0</v>
      </c>
      <c r="G148" s="332">
        <v>0</v>
      </c>
      <c r="H148" s="332">
        <v>0</v>
      </c>
      <c r="I148" s="332">
        <v>0</v>
      </c>
      <c r="J148" s="332">
        <v>0</v>
      </c>
      <c r="K148" s="3"/>
      <c r="L148" s="3"/>
      <c r="M148" s="3"/>
      <c r="N148" s="3"/>
      <c r="O148" s="3"/>
      <c r="P148" s="3"/>
      <c r="Q148" s="3"/>
      <c r="R148" s="3"/>
      <c r="S148" s="3"/>
      <c r="T148" s="3"/>
      <c r="U148" s="3"/>
      <c r="V148" s="3"/>
      <c r="W148" s="3"/>
      <c r="X148" s="3"/>
      <c r="Y148" s="3"/>
      <c r="Z148" s="3"/>
    </row>
    <row r="149" spans="1:26" ht="12" customHeight="1">
      <c r="A149" s="3"/>
      <c r="B149" s="320" t="str">
        <f t="shared" si="21"/>
        <v>Unmetered Scattered Load.GA Rate Riders</v>
      </c>
      <c r="C149" s="320" t="s">
        <v>249</v>
      </c>
      <c r="D149" s="306" t="s">
        <v>226</v>
      </c>
      <c r="E149" s="330">
        <v>0</v>
      </c>
      <c r="F149" s="332">
        <v>0</v>
      </c>
      <c r="G149" s="332">
        <v>0</v>
      </c>
      <c r="H149" s="332">
        <v>0</v>
      </c>
      <c r="I149" s="332">
        <v>0</v>
      </c>
      <c r="J149" s="332">
        <v>0</v>
      </c>
      <c r="K149" s="3"/>
      <c r="L149" s="3"/>
      <c r="M149" s="3"/>
      <c r="N149" s="3"/>
      <c r="O149" s="3"/>
      <c r="P149" s="3"/>
      <c r="Q149" s="3"/>
      <c r="R149" s="3"/>
      <c r="S149" s="3"/>
      <c r="T149" s="3"/>
      <c r="U149" s="3"/>
      <c r="V149" s="3"/>
      <c r="W149" s="3"/>
      <c r="X149" s="3"/>
      <c r="Y149" s="3"/>
      <c r="Z149" s="3"/>
    </row>
    <row r="150" spans="1:26" ht="12" customHeight="1">
      <c r="A150" s="3"/>
      <c r="B150" s="320" t="str">
        <f t="shared" si="21"/>
        <v>Standby Power General Service 50 to 1,499 KW.</v>
      </c>
      <c r="C150" s="320"/>
      <c r="D150" s="306" t="s">
        <v>227</v>
      </c>
      <c r="E150" s="3"/>
      <c r="F150" s="340"/>
      <c r="G150" s="3"/>
      <c r="H150" s="3"/>
      <c r="I150" s="350"/>
      <c r="J150" s="3"/>
      <c r="K150" s="3"/>
      <c r="L150" s="3"/>
      <c r="M150" s="3"/>
      <c r="N150" s="3"/>
      <c r="O150" s="3"/>
      <c r="P150" s="3"/>
      <c r="Q150" s="3"/>
      <c r="R150" s="3"/>
      <c r="S150" s="3"/>
      <c r="T150" s="3"/>
      <c r="U150" s="3"/>
      <c r="V150" s="3"/>
      <c r="W150" s="3"/>
      <c r="X150" s="3"/>
      <c r="Y150" s="3"/>
      <c r="Z150" s="3"/>
    </row>
    <row r="151" spans="1:26" ht="12" customHeight="1">
      <c r="A151" s="3"/>
      <c r="B151" s="320" t="str">
        <f t="shared" si="21"/>
        <v>Standby Power General Service 1,500 to 4,999 KW.</v>
      </c>
      <c r="C151" s="320"/>
      <c r="D151" s="306" t="s">
        <v>228</v>
      </c>
      <c r="E151" s="3"/>
      <c r="F151" s="340"/>
      <c r="G151" s="3"/>
      <c r="H151" s="3"/>
      <c r="I151" s="350"/>
      <c r="J151" s="3"/>
      <c r="K151" s="3"/>
      <c r="L151" s="3"/>
      <c r="M151" s="3"/>
      <c r="N151" s="3"/>
      <c r="O151" s="3"/>
      <c r="P151" s="3"/>
      <c r="Q151" s="3"/>
      <c r="R151" s="3"/>
      <c r="S151" s="3"/>
      <c r="T151" s="3"/>
      <c r="U151" s="3"/>
      <c r="V151" s="3"/>
      <c r="W151" s="3"/>
      <c r="X151" s="3"/>
      <c r="Y151" s="3"/>
      <c r="Z151" s="3"/>
    </row>
    <row r="152" spans="1:26" ht="12" customHeight="1">
      <c r="A152" s="3"/>
      <c r="B152" s="320" t="str">
        <f t="shared" si="21"/>
        <v>Standby Power Large Use.</v>
      </c>
      <c r="C152" s="320"/>
      <c r="D152" s="306" t="s">
        <v>229</v>
      </c>
      <c r="E152" s="3"/>
      <c r="F152" s="340"/>
      <c r="G152" s="3"/>
      <c r="H152" s="3"/>
      <c r="I152" s="350"/>
      <c r="J152" s="3"/>
      <c r="K152" s="3"/>
      <c r="L152" s="3"/>
      <c r="M152" s="3"/>
      <c r="N152" s="3"/>
      <c r="O152" s="3"/>
      <c r="P152" s="3"/>
      <c r="Q152" s="3"/>
      <c r="R152" s="3"/>
      <c r="S152" s="3"/>
      <c r="T152" s="3"/>
      <c r="U152" s="3"/>
      <c r="V152" s="3"/>
      <c r="W152" s="3"/>
      <c r="X152" s="3"/>
      <c r="Y152" s="3"/>
      <c r="Z152" s="3"/>
    </row>
    <row r="153" spans="1:26" ht="12" customHeight="1">
      <c r="A153" s="3"/>
      <c r="B153" s="306"/>
      <c r="C153" s="3"/>
      <c r="D153" s="306"/>
      <c r="E153" s="3"/>
      <c r="F153" s="306"/>
      <c r="G153" s="306"/>
      <c r="H153" s="346"/>
      <c r="I153" s="52"/>
      <c r="J153" s="306"/>
      <c r="K153" s="3"/>
      <c r="L153" s="3"/>
      <c r="M153" s="3"/>
      <c r="N153" s="3"/>
      <c r="O153" s="3"/>
      <c r="P153" s="3"/>
      <c r="Q153" s="3"/>
      <c r="R153" s="3"/>
      <c r="S153" s="3"/>
      <c r="T153" s="3"/>
      <c r="U153" s="3"/>
      <c r="V153" s="3"/>
      <c r="W153" s="3"/>
      <c r="X153" s="3"/>
      <c r="Y153" s="3"/>
      <c r="Z153" s="3"/>
    </row>
    <row r="154" spans="1:26" ht="12" customHeight="1">
      <c r="A154" s="3"/>
      <c r="B154" s="306"/>
      <c r="C154" s="317" t="s">
        <v>250</v>
      </c>
      <c r="D154" s="306"/>
      <c r="E154" s="3"/>
      <c r="F154" s="306"/>
      <c r="G154" s="306"/>
      <c r="H154" s="306"/>
      <c r="I154" s="306"/>
      <c r="J154" s="306"/>
      <c r="K154" s="3"/>
      <c r="L154" s="3"/>
      <c r="M154" s="3"/>
      <c r="N154" s="3"/>
      <c r="O154" s="3"/>
      <c r="P154" s="3"/>
      <c r="Q154" s="3"/>
      <c r="R154" s="3"/>
      <c r="S154" s="3"/>
      <c r="T154" s="3"/>
      <c r="U154" s="3"/>
      <c r="V154" s="3"/>
      <c r="W154" s="3"/>
      <c r="X154" s="3"/>
      <c r="Y154" s="3"/>
      <c r="Z154" s="3"/>
    </row>
    <row r="155" spans="1:26" ht="12" customHeight="1">
      <c r="A155" s="3"/>
      <c r="B155" s="52"/>
      <c r="C155" s="317" t="s">
        <v>251</v>
      </c>
      <c r="D155" s="3"/>
      <c r="E155" s="318" t="s">
        <v>215</v>
      </c>
      <c r="F155" s="319" t="str">
        <f t="shared" ref="F155:J155" si="22">F$4</f>
        <v>2026F</v>
      </c>
      <c r="G155" s="319" t="str">
        <f t="shared" si="22"/>
        <v>2027F</v>
      </c>
      <c r="H155" s="319" t="str">
        <f t="shared" si="22"/>
        <v>2028F</v>
      </c>
      <c r="I155" s="319" t="str">
        <f t="shared" si="22"/>
        <v>2029F</v>
      </c>
      <c r="J155" s="319" t="str">
        <f t="shared" si="22"/>
        <v>2030F</v>
      </c>
      <c r="K155" s="3"/>
      <c r="L155" s="3"/>
      <c r="M155" s="3"/>
      <c r="N155" s="3"/>
      <c r="O155" s="3"/>
      <c r="P155" s="3"/>
      <c r="Q155" s="3"/>
      <c r="R155" s="3"/>
      <c r="S155" s="3"/>
      <c r="T155" s="3"/>
      <c r="U155" s="3"/>
      <c r="V155" s="3"/>
      <c r="W155" s="3"/>
      <c r="X155" s="3"/>
      <c r="Y155" s="3"/>
      <c r="Z155" s="3"/>
    </row>
    <row r="156" spans="1:26" ht="12" customHeight="1">
      <c r="A156" s="3"/>
      <c r="B156" s="320" t="str">
        <f t="shared" ref="B156:B166" si="23">D156&amp;"."&amp;C156</f>
        <v>Residential.Total Deferral/Variance Account Rate RidersYr2</v>
      </c>
      <c r="C156" s="320" t="s">
        <v>252</v>
      </c>
      <c r="D156" s="306" t="s">
        <v>219</v>
      </c>
      <c r="E156" s="351"/>
      <c r="F156" s="333"/>
      <c r="G156" s="333"/>
      <c r="H156" s="333"/>
      <c r="I156" s="333"/>
      <c r="J156" s="333"/>
      <c r="K156" s="3"/>
      <c r="L156" s="3"/>
      <c r="M156" s="3"/>
      <c r="N156" s="3"/>
      <c r="O156" s="3"/>
      <c r="P156" s="3"/>
      <c r="Q156" s="3"/>
      <c r="R156" s="3"/>
      <c r="S156" s="3"/>
      <c r="T156" s="3"/>
      <c r="U156" s="3"/>
      <c r="V156" s="3"/>
      <c r="W156" s="3"/>
      <c r="X156" s="3"/>
      <c r="Y156" s="3"/>
      <c r="Z156" s="3"/>
    </row>
    <row r="157" spans="1:26" ht="12" customHeight="1">
      <c r="A157" s="3"/>
      <c r="B157" s="320" t="str">
        <f t="shared" si="23"/>
        <v>General Service &lt; 50 kW.Total Deferral/Variance Account Rate RidersYr2</v>
      </c>
      <c r="C157" s="320" t="s">
        <v>252</v>
      </c>
      <c r="D157" s="306" t="s">
        <v>220</v>
      </c>
      <c r="E157" s="351"/>
      <c r="F157" s="333"/>
      <c r="G157" s="333"/>
      <c r="H157" s="333"/>
      <c r="I157" s="333"/>
      <c r="J157" s="333"/>
      <c r="K157" s="3"/>
      <c r="L157" s="3"/>
      <c r="M157" s="3"/>
      <c r="N157" s="3"/>
      <c r="O157" s="3"/>
      <c r="P157" s="3"/>
      <c r="Q157" s="3"/>
      <c r="R157" s="3"/>
      <c r="S157" s="3"/>
      <c r="T157" s="3"/>
      <c r="U157" s="3"/>
      <c r="V157" s="3"/>
      <c r="W157" s="3"/>
      <c r="X157" s="3"/>
      <c r="Y157" s="3"/>
      <c r="Z157" s="3"/>
    </row>
    <row r="158" spans="1:26" ht="12" customHeight="1">
      <c r="A158" s="3"/>
      <c r="B158" s="320" t="str">
        <f t="shared" si="23"/>
        <v>General Service 50 to 1,499 KW.Total Deferral/Variance Account Rate RidersYr2</v>
      </c>
      <c r="C158" s="320" t="s">
        <v>252</v>
      </c>
      <c r="D158" s="306" t="s">
        <v>221</v>
      </c>
      <c r="E158" s="330">
        <v>-0.30499999999999999</v>
      </c>
      <c r="F158" s="331">
        <v>-0.21920000000000001</v>
      </c>
      <c r="G158" s="332">
        <v>0</v>
      </c>
      <c r="H158" s="332">
        <v>0</v>
      </c>
      <c r="I158" s="332">
        <v>0</v>
      </c>
      <c r="J158" s="332">
        <v>0</v>
      </c>
      <c r="K158" s="3"/>
      <c r="L158" s="3"/>
      <c r="M158" s="3"/>
      <c r="N158" s="3"/>
      <c r="O158" s="3"/>
      <c r="P158" s="3"/>
      <c r="Q158" s="3"/>
      <c r="R158" s="3"/>
      <c r="S158" s="3"/>
      <c r="T158" s="3"/>
      <c r="U158" s="3"/>
      <c r="V158" s="3"/>
      <c r="W158" s="3"/>
      <c r="X158" s="3"/>
      <c r="Y158" s="3"/>
      <c r="Z158" s="3"/>
    </row>
    <row r="159" spans="1:26" ht="12" customHeight="1">
      <c r="A159" s="3"/>
      <c r="B159" s="320" t="str">
        <f t="shared" si="23"/>
        <v>General Service 1,500 to 4,999 KW.Total Deferral/Variance Account Rate RidersYr2</v>
      </c>
      <c r="C159" s="320" t="s">
        <v>252</v>
      </c>
      <c r="D159" s="306" t="s">
        <v>222</v>
      </c>
      <c r="E159" s="351"/>
      <c r="F159" s="172"/>
      <c r="G159" s="172"/>
      <c r="H159" s="172"/>
      <c r="I159" s="333"/>
      <c r="J159" s="333"/>
      <c r="K159" s="3"/>
      <c r="L159" s="3"/>
      <c r="M159" s="3"/>
      <c r="N159" s="3"/>
      <c r="O159" s="3"/>
      <c r="P159" s="3"/>
      <c r="Q159" s="3"/>
      <c r="R159" s="3"/>
      <c r="S159" s="3"/>
      <c r="T159" s="3"/>
      <c r="U159" s="3"/>
      <c r="V159" s="3"/>
      <c r="W159" s="3"/>
      <c r="X159" s="3"/>
      <c r="Y159" s="3"/>
      <c r="Z159" s="3"/>
    </row>
    <row r="160" spans="1:26" ht="12" customHeight="1">
      <c r="A160" s="3"/>
      <c r="B160" s="320" t="str">
        <f t="shared" si="23"/>
        <v>Large User.Total Deferral/Variance Account Rate RidersYr2</v>
      </c>
      <c r="C160" s="320" t="s">
        <v>252</v>
      </c>
      <c r="D160" s="306" t="s">
        <v>223</v>
      </c>
      <c r="E160" s="351"/>
      <c r="F160" s="333"/>
      <c r="G160" s="333"/>
      <c r="H160" s="333"/>
      <c r="I160" s="333"/>
      <c r="J160" s="333"/>
      <c r="K160" s="3"/>
      <c r="L160" s="3"/>
      <c r="M160" s="3"/>
      <c r="N160" s="3"/>
      <c r="O160" s="3"/>
      <c r="P160" s="3"/>
      <c r="Q160" s="3"/>
      <c r="R160" s="3"/>
      <c r="S160" s="3"/>
      <c r="T160" s="3"/>
      <c r="U160" s="3"/>
      <c r="V160" s="3"/>
      <c r="W160" s="3"/>
      <c r="X160" s="3"/>
      <c r="Y160" s="3"/>
      <c r="Z160" s="3"/>
    </row>
    <row r="161" spans="1:26" ht="12" customHeight="1">
      <c r="A161" s="3"/>
      <c r="B161" s="320" t="str">
        <f t="shared" si="23"/>
        <v>Street Light.Total Deferral/Variance Account Rate RidersYr2</v>
      </c>
      <c r="C161" s="320" t="s">
        <v>252</v>
      </c>
      <c r="D161" s="306" t="s">
        <v>224</v>
      </c>
      <c r="E161" s="351"/>
      <c r="F161" s="333"/>
      <c r="G161" s="333"/>
      <c r="H161" s="333"/>
      <c r="I161" s="333"/>
      <c r="J161" s="333"/>
      <c r="K161" s="3"/>
      <c r="L161" s="3"/>
      <c r="M161" s="3"/>
      <c r="N161" s="3"/>
      <c r="O161" s="3"/>
      <c r="P161" s="3"/>
      <c r="Q161" s="3"/>
      <c r="R161" s="3"/>
      <c r="S161" s="3"/>
      <c r="T161" s="3"/>
      <c r="U161" s="3"/>
      <c r="V161" s="3"/>
      <c r="W161" s="3"/>
      <c r="X161" s="3"/>
      <c r="Y161" s="3"/>
      <c r="Z161" s="3"/>
    </row>
    <row r="162" spans="1:26" ht="12" customHeight="1">
      <c r="A162" s="3"/>
      <c r="B162" s="320" t="str">
        <f t="shared" si="23"/>
        <v>Sentinel Lights.Total Deferral/Variance Account Rate RidersYr2</v>
      </c>
      <c r="C162" s="320" t="s">
        <v>252</v>
      </c>
      <c r="D162" s="306" t="s">
        <v>225</v>
      </c>
      <c r="E162" s="351"/>
      <c r="F162" s="333"/>
      <c r="G162" s="333"/>
      <c r="H162" s="333"/>
      <c r="I162" s="333"/>
      <c r="J162" s="333"/>
      <c r="K162" s="3"/>
      <c r="L162" s="3"/>
      <c r="M162" s="3"/>
      <c r="N162" s="3"/>
      <c r="O162" s="3"/>
      <c r="P162" s="3"/>
      <c r="Q162" s="3"/>
      <c r="R162" s="3"/>
      <c r="S162" s="3"/>
      <c r="T162" s="3"/>
      <c r="U162" s="3"/>
      <c r="V162" s="3"/>
      <c r="W162" s="3"/>
      <c r="X162" s="3"/>
      <c r="Y162" s="3"/>
      <c r="Z162" s="3"/>
    </row>
    <row r="163" spans="1:26" ht="12" customHeight="1">
      <c r="A163" s="3"/>
      <c r="B163" s="320" t="str">
        <f t="shared" si="23"/>
        <v>Unmetered Scattered Load.Total Deferral/Variance Account Rate RidersYr2</v>
      </c>
      <c r="C163" s="320" t="s">
        <v>252</v>
      </c>
      <c r="D163" s="306" t="s">
        <v>226</v>
      </c>
      <c r="E163" s="351"/>
      <c r="F163" s="333"/>
      <c r="G163" s="333"/>
      <c r="H163" s="333"/>
      <c r="I163" s="333"/>
      <c r="J163" s="333"/>
      <c r="K163" s="3"/>
      <c r="L163" s="3"/>
      <c r="M163" s="3"/>
      <c r="N163" s="3"/>
      <c r="O163" s="3"/>
      <c r="P163" s="3"/>
      <c r="Q163" s="3"/>
      <c r="R163" s="3"/>
      <c r="S163" s="3"/>
      <c r="T163" s="3"/>
      <c r="U163" s="3"/>
      <c r="V163" s="3"/>
      <c r="W163" s="3"/>
      <c r="X163" s="3"/>
      <c r="Y163" s="3"/>
      <c r="Z163" s="3"/>
    </row>
    <row r="164" spans="1:26" ht="12" customHeight="1">
      <c r="A164" s="3"/>
      <c r="B164" s="320" t="str">
        <f t="shared" si="23"/>
        <v>Standby Power General Service 50 to 1,499 KW.Total Deferral/Variance Account Rate RidersYr2</v>
      </c>
      <c r="C164" s="320" t="s">
        <v>252</v>
      </c>
      <c r="D164" s="306" t="s">
        <v>227</v>
      </c>
      <c r="E164" s="351"/>
      <c r="F164" s="333"/>
      <c r="G164" s="333"/>
      <c r="H164" s="333"/>
      <c r="I164" s="333"/>
      <c r="J164" s="333"/>
      <c r="K164" s="3"/>
      <c r="L164" s="3"/>
      <c r="M164" s="3"/>
      <c r="N164" s="3"/>
      <c r="O164" s="3"/>
      <c r="P164" s="3"/>
      <c r="Q164" s="3"/>
      <c r="R164" s="3"/>
      <c r="S164" s="3"/>
      <c r="T164" s="3"/>
      <c r="U164" s="3"/>
      <c r="V164" s="3"/>
      <c r="W164" s="3"/>
      <c r="X164" s="3"/>
      <c r="Y164" s="3"/>
      <c r="Z164" s="3"/>
    </row>
    <row r="165" spans="1:26" ht="12" customHeight="1">
      <c r="A165" s="3"/>
      <c r="B165" s="320" t="str">
        <f t="shared" si="23"/>
        <v>Standby Power General Service 1,500 to 4,999 KW.Total Deferral/Variance Account Rate RidersYr2</v>
      </c>
      <c r="C165" s="320" t="s">
        <v>252</v>
      </c>
      <c r="D165" s="306" t="s">
        <v>228</v>
      </c>
      <c r="E165" s="351"/>
      <c r="F165" s="333"/>
      <c r="G165" s="333"/>
      <c r="H165" s="333"/>
      <c r="I165" s="333"/>
      <c r="J165" s="333"/>
      <c r="K165" s="3"/>
      <c r="L165" s="3"/>
      <c r="M165" s="3"/>
      <c r="N165" s="3"/>
      <c r="O165" s="3"/>
      <c r="P165" s="3"/>
      <c r="Q165" s="3"/>
      <c r="R165" s="3"/>
      <c r="S165" s="3"/>
      <c r="T165" s="3"/>
      <c r="U165" s="3"/>
      <c r="V165" s="3"/>
      <c r="W165" s="3"/>
      <c r="X165" s="3"/>
      <c r="Y165" s="3"/>
      <c r="Z165" s="3"/>
    </row>
    <row r="166" spans="1:26" ht="12" customHeight="1">
      <c r="A166" s="3"/>
      <c r="B166" s="320" t="str">
        <f t="shared" si="23"/>
        <v>Standby Power Large Use.Total Deferral/Variance Account Rate RidersYr2</v>
      </c>
      <c r="C166" s="320" t="s">
        <v>252</v>
      </c>
      <c r="D166" s="306" t="s">
        <v>229</v>
      </c>
      <c r="E166" s="351"/>
      <c r="F166" s="333"/>
      <c r="G166" s="333"/>
      <c r="H166" s="333"/>
      <c r="I166" s="333"/>
      <c r="J166" s="333"/>
      <c r="K166" s="3"/>
      <c r="L166" s="3"/>
      <c r="M166" s="3"/>
      <c r="N166" s="3"/>
      <c r="O166" s="3"/>
      <c r="P166" s="3"/>
      <c r="Q166" s="3"/>
      <c r="R166" s="3"/>
      <c r="S166" s="3"/>
      <c r="T166" s="3"/>
      <c r="U166" s="3"/>
      <c r="V166" s="3"/>
      <c r="W166" s="3"/>
      <c r="X166" s="3"/>
      <c r="Y166" s="3"/>
      <c r="Z166" s="3"/>
    </row>
    <row r="167" spans="1:26" ht="12" customHeight="1">
      <c r="A167" s="3"/>
      <c r="B167" s="306"/>
      <c r="C167" s="3"/>
      <c r="D167" s="306"/>
      <c r="E167" s="3"/>
      <c r="F167" s="306"/>
      <c r="G167" s="306"/>
      <c r="H167" s="346"/>
      <c r="I167" s="306"/>
      <c r="J167" s="306"/>
      <c r="K167" s="3"/>
      <c r="L167" s="3"/>
      <c r="M167" s="3"/>
      <c r="N167" s="3"/>
      <c r="O167" s="3"/>
      <c r="P167" s="3"/>
      <c r="Q167" s="3"/>
      <c r="R167" s="3"/>
      <c r="S167" s="3"/>
      <c r="T167" s="3"/>
      <c r="U167" s="3"/>
      <c r="V167" s="3"/>
      <c r="W167" s="3"/>
      <c r="X167" s="3"/>
      <c r="Y167" s="3"/>
      <c r="Z167" s="3"/>
    </row>
    <row r="168" spans="1:26" ht="12" customHeight="1">
      <c r="A168" s="3"/>
      <c r="B168" s="306"/>
      <c r="C168" s="317" t="s">
        <v>253</v>
      </c>
      <c r="D168" s="306"/>
      <c r="E168" s="3"/>
      <c r="F168" s="306"/>
      <c r="G168" s="306"/>
      <c r="H168" s="306"/>
      <c r="I168" s="346"/>
      <c r="J168" s="306"/>
      <c r="K168" s="3"/>
      <c r="L168" s="3"/>
      <c r="M168" s="3"/>
      <c r="N168" s="3"/>
      <c r="O168" s="3"/>
      <c r="P168" s="3"/>
      <c r="Q168" s="3"/>
      <c r="R168" s="3"/>
      <c r="S168" s="3"/>
      <c r="T168" s="3"/>
      <c r="U168" s="3"/>
      <c r="V168" s="3"/>
      <c r="W168" s="3"/>
      <c r="X168" s="3"/>
      <c r="Y168" s="3"/>
      <c r="Z168" s="3"/>
    </row>
    <row r="169" spans="1:26" ht="12" customHeight="1">
      <c r="A169" s="3"/>
      <c r="B169" s="52"/>
      <c r="C169" s="317" t="s">
        <v>251</v>
      </c>
      <c r="D169" s="3"/>
      <c r="E169" s="318" t="s">
        <v>215</v>
      </c>
      <c r="F169" s="319" t="str">
        <f t="shared" ref="F169:J169" si="24">F$4</f>
        <v>2026F</v>
      </c>
      <c r="G169" s="319" t="str">
        <f t="shared" si="24"/>
        <v>2027F</v>
      </c>
      <c r="H169" s="319" t="str">
        <f t="shared" si="24"/>
        <v>2028F</v>
      </c>
      <c r="I169" s="319" t="str">
        <f t="shared" si="24"/>
        <v>2029F</v>
      </c>
      <c r="J169" s="319" t="str">
        <f t="shared" si="24"/>
        <v>2030F</v>
      </c>
      <c r="K169" s="3"/>
      <c r="L169" s="3"/>
      <c r="M169" s="3"/>
      <c r="N169" s="3"/>
      <c r="O169" s="3"/>
      <c r="P169" s="3"/>
      <c r="Q169" s="3"/>
      <c r="R169" s="3"/>
      <c r="S169" s="3"/>
      <c r="T169" s="3"/>
      <c r="U169" s="3"/>
      <c r="V169" s="3"/>
      <c r="W169" s="3"/>
      <c r="X169" s="3"/>
      <c r="Y169" s="3"/>
      <c r="Z169" s="3"/>
    </row>
    <row r="170" spans="1:26" ht="12" customHeight="1">
      <c r="A170" s="52" t="s">
        <v>46</v>
      </c>
      <c r="B170" s="320" t="str">
        <f t="shared" ref="B170:B180" si="25">D170&amp;"."&amp;C170</f>
        <v>Residential.Total Deferral/Variance Account Rate Riders</v>
      </c>
      <c r="C170" s="320" t="s">
        <v>254</v>
      </c>
      <c r="D170" s="306" t="s">
        <v>219</v>
      </c>
      <c r="E170" s="3"/>
      <c r="F170" s="52"/>
      <c r="G170" s="52"/>
      <c r="H170" s="52"/>
      <c r="I170" s="52"/>
      <c r="J170" s="52"/>
      <c r="K170" s="3"/>
      <c r="L170" s="3"/>
      <c r="M170" s="3"/>
      <c r="N170" s="3"/>
      <c r="O170" s="3"/>
      <c r="P170" s="3"/>
      <c r="Q170" s="3"/>
      <c r="R170" s="3"/>
      <c r="S170" s="3"/>
      <c r="T170" s="3"/>
      <c r="U170" s="3"/>
      <c r="V170" s="3"/>
      <c r="W170" s="3"/>
      <c r="X170" s="3"/>
      <c r="Y170" s="3"/>
      <c r="Z170" s="3"/>
    </row>
    <row r="171" spans="1:26" ht="12" customHeight="1">
      <c r="A171" s="52" t="s">
        <v>46</v>
      </c>
      <c r="B171" s="320" t="str">
        <f t="shared" si="25"/>
        <v>General Service &lt; 50 kW.Total Deferral/Variance Account Rate Riders</v>
      </c>
      <c r="C171" s="320" t="s">
        <v>254</v>
      </c>
      <c r="D171" s="306" t="s">
        <v>220</v>
      </c>
      <c r="E171" s="3"/>
      <c r="F171" s="52"/>
      <c r="G171" s="52"/>
      <c r="H171" s="52"/>
      <c r="I171" s="52"/>
      <c r="J171" s="52"/>
      <c r="K171" s="3"/>
      <c r="L171" s="3"/>
      <c r="M171" s="3"/>
      <c r="N171" s="3"/>
      <c r="O171" s="3"/>
      <c r="P171" s="3"/>
      <c r="Q171" s="3"/>
      <c r="R171" s="3"/>
      <c r="S171" s="3"/>
      <c r="T171" s="3"/>
      <c r="U171" s="3"/>
      <c r="V171" s="3"/>
      <c r="W171" s="3"/>
      <c r="X171" s="3"/>
      <c r="Y171" s="3"/>
      <c r="Z171" s="3"/>
    </row>
    <row r="172" spans="1:26" ht="12" customHeight="1">
      <c r="A172" s="52" t="s">
        <v>66</v>
      </c>
      <c r="B172" s="320" t="str">
        <f t="shared" si="25"/>
        <v>General Service 50 to 1,499 KW.Total Deferral/Variance Account Rate Riders</v>
      </c>
      <c r="C172" s="320" t="s">
        <v>254</v>
      </c>
      <c r="D172" s="306" t="s">
        <v>221</v>
      </c>
      <c r="E172" s="305"/>
      <c r="F172" s="331">
        <v>0</v>
      </c>
      <c r="G172" s="331">
        <v>0</v>
      </c>
      <c r="H172" s="331">
        <v>0</v>
      </c>
      <c r="I172" s="331">
        <v>0</v>
      </c>
      <c r="J172" s="331">
        <v>0</v>
      </c>
      <c r="K172" s="3"/>
      <c r="L172" s="3"/>
      <c r="M172" s="3"/>
      <c r="N172" s="3"/>
      <c r="O172" s="3"/>
      <c r="P172" s="3"/>
      <c r="Q172" s="3"/>
      <c r="R172" s="3"/>
      <c r="S172" s="3"/>
      <c r="T172" s="3"/>
      <c r="U172" s="3"/>
      <c r="V172" s="3"/>
      <c r="W172" s="3"/>
      <c r="X172" s="3"/>
      <c r="Y172" s="3"/>
      <c r="Z172" s="3"/>
    </row>
    <row r="173" spans="1:26" ht="12" customHeight="1">
      <c r="A173" s="52" t="s">
        <v>66</v>
      </c>
      <c r="B173" s="320" t="str">
        <f t="shared" si="25"/>
        <v>General Service 1,500 to 4,999 KW.Total Deferral/Variance Account Rate Riders</v>
      </c>
      <c r="C173" s="320" t="s">
        <v>254</v>
      </c>
      <c r="D173" s="306" t="s">
        <v>222</v>
      </c>
      <c r="E173" s="3"/>
      <c r="F173" s="172"/>
      <c r="G173" s="172"/>
      <c r="H173" s="52"/>
      <c r="I173" s="52"/>
      <c r="J173" s="52"/>
      <c r="K173" s="3"/>
      <c r="L173" s="3"/>
      <c r="M173" s="3"/>
      <c r="N173" s="3"/>
      <c r="O173" s="3"/>
      <c r="P173" s="3"/>
      <c r="Q173" s="3"/>
      <c r="R173" s="3"/>
      <c r="S173" s="3"/>
      <c r="T173" s="3"/>
      <c r="U173" s="3"/>
      <c r="V173" s="3"/>
      <c r="W173" s="3"/>
      <c r="X173" s="3"/>
      <c r="Y173" s="3"/>
      <c r="Z173" s="3"/>
    </row>
    <row r="174" spans="1:26" ht="12" customHeight="1">
      <c r="A174" s="52" t="s">
        <v>66</v>
      </c>
      <c r="B174" s="320" t="str">
        <f t="shared" si="25"/>
        <v>Large User.Total Deferral/Variance Account Rate Riders</v>
      </c>
      <c r="C174" s="320" t="s">
        <v>254</v>
      </c>
      <c r="D174" s="306" t="s">
        <v>223</v>
      </c>
      <c r="E174" s="3"/>
      <c r="F174" s="52"/>
      <c r="G174" s="172"/>
      <c r="H174" s="52"/>
      <c r="I174" s="52"/>
      <c r="J174" s="52"/>
      <c r="K174" s="3"/>
      <c r="L174" s="3"/>
      <c r="M174" s="3"/>
      <c r="N174" s="3"/>
      <c r="O174" s="3"/>
      <c r="P174" s="3"/>
      <c r="Q174" s="3"/>
      <c r="R174" s="3"/>
      <c r="S174" s="3"/>
      <c r="T174" s="3"/>
      <c r="U174" s="3"/>
      <c r="V174" s="3"/>
      <c r="W174" s="3"/>
      <c r="X174" s="3"/>
      <c r="Y174" s="3"/>
      <c r="Z174" s="3"/>
    </row>
    <row r="175" spans="1:26" ht="12" customHeight="1">
      <c r="A175" s="52" t="s">
        <v>66</v>
      </c>
      <c r="B175" s="320" t="str">
        <f t="shared" si="25"/>
        <v>Street Light.Total Deferral/Variance Account Rate Riders</v>
      </c>
      <c r="C175" s="320" t="s">
        <v>254</v>
      </c>
      <c r="D175" s="306" t="s">
        <v>224</v>
      </c>
      <c r="E175" s="3"/>
      <c r="F175" s="52"/>
      <c r="G175" s="52"/>
      <c r="H175" s="52"/>
      <c r="I175" s="52"/>
      <c r="J175" s="52"/>
      <c r="K175" s="3"/>
      <c r="L175" s="3"/>
      <c r="M175" s="3"/>
      <c r="N175" s="3"/>
      <c r="O175" s="3"/>
      <c r="P175" s="3"/>
      <c r="Q175" s="3"/>
      <c r="R175" s="3"/>
      <c r="S175" s="3"/>
      <c r="T175" s="3"/>
      <c r="U175" s="3"/>
      <c r="V175" s="3"/>
      <c r="W175" s="3"/>
      <c r="X175" s="3"/>
      <c r="Y175" s="3"/>
      <c r="Z175" s="3"/>
    </row>
    <row r="176" spans="1:26" ht="12" customHeight="1">
      <c r="A176" s="52" t="s">
        <v>66</v>
      </c>
      <c r="B176" s="320" t="str">
        <f t="shared" si="25"/>
        <v>Sentinel Lights.Total Deferral/Variance Account Rate Riders</v>
      </c>
      <c r="C176" s="320" t="s">
        <v>254</v>
      </c>
      <c r="D176" s="306" t="s">
        <v>225</v>
      </c>
      <c r="E176" s="3"/>
      <c r="F176" s="52"/>
      <c r="G176" s="52"/>
      <c r="H176" s="52"/>
      <c r="I176" s="52"/>
      <c r="J176" s="52"/>
      <c r="K176" s="3"/>
      <c r="L176" s="3"/>
      <c r="M176" s="3"/>
      <c r="N176" s="3"/>
      <c r="O176" s="3"/>
      <c r="P176" s="3"/>
      <c r="Q176" s="3"/>
      <c r="R176" s="3"/>
      <c r="S176" s="3"/>
      <c r="T176" s="3"/>
      <c r="U176" s="3"/>
      <c r="V176" s="3"/>
      <c r="W176" s="3"/>
      <c r="X176" s="3"/>
      <c r="Y176" s="3"/>
      <c r="Z176" s="3"/>
    </row>
    <row r="177" spans="1:26" ht="12" customHeight="1">
      <c r="A177" s="52" t="s">
        <v>46</v>
      </c>
      <c r="B177" s="320" t="str">
        <f t="shared" si="25"/>
        <v>Unmetered Scattered Load.Total Deferral/Variance Account Rate Riders</v>
      </c>
      <c r="C177" s="320" t="s">
        <v>254</v>
      </c>
      <c r="D177" s="306" t="s">
        <v>226</v>
      </c>
      <c r="E177" s="3"/>
      <c r="F177" s="52"/>
      <c r="G177" s="52"/>
      <c r="H177" s="52"/>
      <c r="I177" s="52"/>
      <c r="J177" s="52"/>
      <c r="K177" s="3"/>
      <c r="L177" s="3"/>
      <c r="M177" s="3"/>
      <c r="N177" s="3"/>
      <c r="O177" s="3"/>
      <c r="P177" s="3"/>
      <c r="Q177" s="3"/>
      <c r="R177" s="3"/>
      <c r="S177" s="3"/>
      <c r="T177" s="3"/>
      <c r="U177" s="3"/>
      <c r="V177" s="3"/>
      <c r="W177" s="3"/>
      <c r="X177" s="3"/>
      <c r="Y177" s="3"/>
      <c r="Z177" s="3"/>
    </row>
    <row r="178" spans="1:26" ht="12" customHeight="1">
      <c r="A178" s="52" t="s">
        <v>66</v>
      </c>
      <c r="B178" s="320" t="str">
        <f t="shared" si="25"/>
        <v>Standby Power General Service 50 to 1,499 KW.Total Deferral/Variance Account Rate Riders</v>
      </c>
      <c r="C178" s="320" t="s">
        <v>254</v>
      </c>
      <c r="D178" s="306" t="s">
        <v>227</v>
      </c>
      <c r="E178" s="351"/>
      <c r="F178" s="333"/>
      <c r="G178" s="333"/>
      <c r="H178" s="333"/>
      <c r="I178" s="333"/>
      <c r="J178" s="333"/>
      <c r="K178" s="3"/>
      <c r="L178" s="3"/>
      <c r="M178" s="3"/>
      <c r="N178" s="3"/>
      <c r="O178" s="3"/>
      <c r="P178" s="3"/>
      <c r="Q178" s="3"/>
      <c r="R178" s="3"/>
      <c r="S178" s="3"/>
      <c r="T178" s="3"/>
      <c r="U178" s="3"/>
      <c r="V178" s="3"/>
      <c r="W178" s="3"/>
      <c r="X178" s="3"/>
      <c r="Y178" s="3"/>
      <c r="Z178" s="3"/>
    </row>
    <row r="179" spans="1:26" ht="12" customHeight="1">
      <c r="A179" s="52" t="s">
        <v>66</v>
      </c>
      <c r="B179" s="320" t="str">
        <f t="shared" si="25"/>
        <v>Standby Power General Service 1,500 to 4,999 KW.Total Deferral/Variance Account Rate Riders</v>
      </c>
      <c r="C179" s="320" t="s">
        <v>254</v>
      </c>
      <c r="D179" s="306" t="s">
        <v>228</v>
      </c>
      <c r="E179" s="351"/>
      <c r="F179" s="333"/>
      <c r="G179" s="333"/>
      <c r="H179" s="333"/>
      <c r="I179" s="333"/>
      <c r="J179" s="333"/>
      <c r="K179" s="3"/>
      <c r="L179" s="3"/>
      <c r="M179" s="3"/>
      <c r="N179" s="3"/>
      <c r="O179" s="3"/>
      <c r="P179" s="3"/>
      <c r="Q179" s="3"/>
      <c r="R179" s="3"/>
      <c r="S179" s="3"/>
      <c r="T179" s="3"/>
      <c r="U179" s="3"/>
      <c r="V179" s="3"/>
      <c r="W179" s="3"/>
      <c r="X179" s="3"/>
      <c r="Y179" s="3"/>
      <c r="Z179" s="3"/>
    </row>
    <row r="180" spans="1:26" ht="12" customHeight="1">
      <c r="A180" s="52" t="s">
        <v>66</v>
      </c>
      <c r="B180" s="320" t="str">
        <f t="shared" si="25"/>
        <v>Standby Power Large Use.Total Deferral/Variance Account Rate Riders</v>
      </c>
      <c r="C180" s="320" t="s">
        <v>254</v>
      </c>
      <c r="D180" s="306" t="s">
        <v>229</v>
      </c>
      <c r="E180" s="351"/>
      <c r="F180" s="333"/>
      <c r="G180" s="333"/>
      <c r="H180" s="333"/>
      <c r="I180" s="333"/>
      <c r="J180" s="333"/>
      <c r="K180" s="3"/>
      <c r="L180" s="3"/>
      <c r="M180" s="3"/>
      <c r="N180" s="3"/>
      <c r="O180" s="3"/>
      <c r="P180" s="3"/>
      <c r="Q180" s="3"/>
      <c r="R180" s="3"/>
      <c r="S180" s="3"/>
      <c r="T180" s="3"/>
      <c r="U180" s="3"/>
      <c r="V180" s="3"/>
      <c r="W180" s="3"/>
      <c r="X180" s="3"/>
      <c r="Y180" s="3"/>
      <c r="Z180" s="3"/>
    </row>
    <row r="181" spans="1:26" ht="12" customHeight="1">
      <c r="A181" s="3"/>
      <c r="B181" s="306"/>
      <c r="C181" s="3"/>
      <c r="D181" s="3"/>
      <c r="E181" s="3"/>
      <c r="F181" s="352"/>
      <c r="G181" s="3"/>
      <c r="H181" s="3"/>
      <c r="I181" s="3"/>
      <c r="J181" s="3"/>
      <c r="K181" s="3"/>
      <c r="L181" s="3"/>
      <c r="M181" s="3"/>
      <c r="N181" s="3"/>
      <c r="O181" s="3"/>
      <c r="P181" s="3"/>
      <c r="Q181" s="3"/>
      <c r="R181" s="3"/>
      <c r="S181" s="3"/>
      <c r="T181" s="3"/>
      <c r="U181" s="3"/>
      <c r="V181" s="3"/>
      <c r="W181" s="3"/>
      <c r="X181" s="3"/>
      <c r="Y181" s="3"/>
      <c r="Z181" s="3"/>
    </row>
    <row r="182" spans="1:26" ht="12" customHeight="1">
      <c r="A182" s="3"/>
      <c r="B182" s="52"/>
      <c r="C182" s="317" t="s">
        <v>255</v>
      </c>
      <c r="D182" s="3"/>
      <c r="E182" s="318" t="s">
        <v>215</v>
      </c>
      <c r="F182" s="319" t="str">
        <f t="shared" ref="F182:J182" si="26">F$4</f>
        <v>2026F</v>
      </c>
      <c r="G182" s="319" t="str">
        <f t="shared" si="26"/>
        <v>2027F</v>
      </c>
      <c r="H182" s="319" t="str">
        <f t="shared" si="26"/>
        <v>2028F</v>
      </c>
      <c r="I182" s="319" t="str">
        <f t="shared" si="26"/>
        <v>2029F</v>
      </c>
      <c r="J182" s="319" t="str">
        <f t="shared" si="26"/>
        <v>2030F</v>
      </c>
      <c r="K182" s="3"/>
      <c r="L182" s="3"/>
      <c r="M182" s="3"/>
      <c r="N182" s="3"/>
      <c r="O182" s="3"/>
      <c r="P182" s="3"/>
      <c r="Q182" s="3"/>
      <c r="R182" s="3"/>
      <c r="S182" s="3"/>
      <c r="T182" s="3"/>
      <c r="U182" s="3"/>
      <c r="V182" s="3"/>
      <c r="W182" s="3"/>
      <c r="X182" s="3"/>
      <c r="Y182" s="3"/>
      <c r="Z182" s="3"/>
    </row>
    <row r="183" spans="1:26" ht="12" customHeight="1">
      <c r="A183" s="52" t="s">
        <v>46</v>
      </c>
      <c r="B183" s="320" t="str">
        <f t="shared" ref="B183:B193" si="27">D183&amp;"."&amp;C183</f>
        <v>Residential.RTSR - Network</v>
      </c>
      <c r="C183" s="320" t="s">
        <v>255</v>
      </c>
      <c r="D183" s="306" t="s">
        <v>219</v>
      </c>
      <c r="E183" s="330">
        <v>1.26E-2</v>
      </c>
      <c r="F183" s="353">
        <v>1.38E-2</v>
      </c>
      <c r="G183" s="353">
        <v>1.38E-2</v>
      </c>
      <c r="H183" s="353">
        <v>1.38E-2</v>
      </c>
      <c r="I183" s="353">
        <v>1.38E-2</v>
      </c>
      <c r="J183" s="353">
        <v>1.38E-2</v>
      </c>
      <c r="K183" s="3"/>
      <c r="Q183" s="3"/>
      <c r="R183" s="3"/>
      <c r="S183" s="3"/>
      <c r="T183" s="3"/>
      <c r="U183" s="3"/>
      <c r="V183" s="3"/>
      <c r="W183" s="3"/>
      <c r="X183" s="3"/>
      <c r="Y183" s="3"/>
      <c r="Z183" s="3"/>
    </row>
    <row r="184" spans="1:26" ht="12" customHeight="1">
      <c r="A184" s="52" t="s">
        <v>46</v>
      </c>
      <c r="B184" s="320" t="str">
        <f t="shared" si="27"/>
        <v>General Service &lt; 50 kW.RTSR - Network</v>
      </c>
      <c r="C184" s="320" t="s">
        <v>255</v>
      </c>
      <c r="D184" s="306" t="s">
        <v>220</v>
      </c>
      <c r="E184" s="330">
        <v>1.18E-2</v>
      </c>
      <c r="F184" s="353">
        <v>1.0699999999999999E-2</v>
      </c>
      <c r="G184" s="353">
        <v>1.0699999999999999E-2</v>
      </c>
      <c r="H184" s="353">
        <v>1.0699999999999999E-2</v>
      </c>
      <c r="I184" s="353">
        <v>1.0699999999999999E-2</v>
      </c>
      <c r="J184" s="353">
        <v>1.0699999999999999E-2</v>
      </c>
      <c r="K184" s="3"/>
      <c r="Q184" s="3"/>
      <c r="R184" s="3"/>
      <c r="S184" s="3"/>
      <c r="T184" s="3"/>
      <c r="U184" s="3"/>
      <c r="V184" s="3"/>
      <c r="W184" s="3"/>
      <c r="X184" s="3"/>
      <c r="Y184" s="3"/>
      <c r="Z184" s="3"/>
    </row>
    <row r="185" spans="1:26" ht="12" customHeight="1">
      <c r="A185" s="52" t="s">
        <v>66</v>
      </c>
      <c r="B185" s="320" t="str">
        <f t="shared" si="27"/>
        <v>General Service 50 to 1,499 KW.RTSR - Network</v>
      </c>
      <c r="C185" s="320" t="s">
        <v>255</v>
      </c>
      <c r="D185" s="306" t="s">
        <v>221</v>
      </c>
      <c r="E185" s="330">
        <v>4.8479999999999999</v>
      </c>
      <c r="F185" s="353">
        <v>4.5787000000000004</v>
      </c>
      <c r="G185" s="353">
        <v>4.5787000000000004</v>
      </c>
      <c r="H185" s="353">
        <v>4.5787000000000004</v>
      </c>
      <c r="I185" s="353">
        <v>4.5787000000000004</v>
      </c>
      <c r="J185" s="353">
        <v>4.5787000000000004</v>
      </c>
      <c r="K185" s="3"/>
      <c r="Q185" s="3"/>
      <c r="R185" s="3"/>
      <c r="S185" s="3"/>
      <c r="T185" s="3"/>
      <c r="U185" s="3"/>
      <c r="V185" s="3"/>
      <c r="W185" s="3"/>
      <c r="X185" s="3"/>
      <c r="Y185" s="3"/>
      <c r="Z185" s="3"/>
    </row>
    <row r="186" spans="1:26" ht="12" customHeight="1">
      <c r="A186" s="52" t="s">
        <v>66</v>
      </c>
      <c r="B186" s="320" t="str">
        <f t="shared" si="27"/>
        <v>General Service 1,500 to 4,999 KW.RTSR - Network</v>
      </c>
      <c r="C186" s="320" t="s">
        <v>255</v>
      </c>
      <c r="D186" s="306" t="s">
        <v>222</v>
      </c>
      <c r="E186" s="330">
        <v>5.0336999999999996</v>
      </c>
      <c r="F186" s="353">
        <v>4.5423999999999998</v>
      </c>
      <c r="G186" s="353">
        <v>4.5423999999999998</v>
      </c>
      <c r="H186" s="353">
        <v>4.5423999999999998</v>
      </c>
      <c r="I186" s="353">
        <v>4.5423999999999998</v>
      </c>
      <c r="J186" s="353">
        <v>4.5423999999999998</v>
      </c>
      <c r="K186" s="3"/>
      <c r="Q186" s="3"/>
      <c r="R186" s="3"/>
      <c r="S186" s="3"/>
      <c r="T186" s="3"/>
      <c r="U186" s="3"/>
      <c r="V186" s="3"/>
      <c r="W186" s="3"/>
      <c r="X186" s="3"/>
      <c r="Y186" s="3"/>
      <c r="Z186" s="3"/>
    </row>
    <row r="187" spans="1:26" ht="12" customHeight="1">
      <c r="A187" s="52" t="s">
        <v>66</v>
      </c>
      <c r="B187" s="320" t="str">
        <f t="shared" si="27"/>
        <v>Large User.RTSR - Network</v>
      </c>
      <c r="C187" s="320" t="s">
        <v>255</v>
      </c>
      <c r="D187" s="306" t="s">
        <v>223</v>
      </c>
      <c r="E187" s="330">
        <v>5.5801999999999996</v>
      </c>
      <c r="F187" s="353">
        <v>5.3339999999999996</v>
      </c>
      <c r="G187" s="353">
        <v>5.3339999999999996</v>
      </c>
      <c r="H187" s="353">
        <v>5.3339999999999996</v>
      </c>
      <c r="I187" s="353">
        <v>5.3339999999999996</v>
      </c>
      <c r="J187" s="353">
        <v>5.3339999999999996</v>
      </c>
      <c r="K187" s="3"/>
      <c r="Q187" s="3"/>
      <c r="R187" s="3"/>
      <c r="S187" s="3"/>
      <c r="T187" s="3"/>
      <c r="U187" s="3"/>
      <c r="V187" s="3"/>
      <c r="W187" s="3"/>
      <c r="X187" s="3"/>
      <c r="Y187" s="3"/>
      <c r="Z187" s="3"/>
    </row>
    <row r="188" spans="1:26" ht="12" customHeight="1">
      <c r="A188" s="52" t="s">
        <v>66</v>
      </c>
      <c r="B188" s="320" t="str">
        <f t="shared" si="27"/>
        <v>Street Light.RTSR - Network</v>
      </c>
      <c r="C188" s="320" t="s">
        <v>255</v>
      </c>
      <c r="D188" s="306" t="s">
        <v>224</v>
      </c>
      <c r="E188" s="330">
        <v>3.597</v>
      </c>
      <c r="F188" s="353">
        <v>2.1576</v>
      </c>
      <c r="G188" s="353">
        <v>2.1576</v>
      </c>
      <c r="H188" s="353">
        <v>2.1576</v>
      </c>
      <c r="I188" s="353">
        <v>2.1576</v>
      </c>
      <c r="J188" s="353">
        <v>2.1576</v>
      </c>
      <c r="K188" s="3"/>
      <c r="Q188" s="3"/>
      <c r="R188" s="3"/>
      <c r="S188" s="3"/>
      <c r="T188" s="3"/>
      <c r="U188" s="3"/>
      <c r="V188" s="3"/>
      <c r="W188" s="3"/>
      <c r="X188" s="3"/>
      <c r="Y188" s="3"/>
      <c r="Z188" s="3"/>
    </row>
    <row r="189" spans="1:26" ht="12" customHeight="1">
      <c r="A189" s="52" t="s">
        <v>66</v>
      </c>
      <c r="B189" s="320" t="str">
        <f t="shared" si="27"/>
        <v>Sentinel Lights.RTSR - Network</v>
      </c>
      <c r="C189" s="320" t="s">
        <v>255</v>
      </c>
      <c r="D189" s="306" t="s">
        <v>225</v>
      </c>
      <c r="E189" s="330">
        <v>3.5788000000000002</v>
      </c>
      <c r="F189" s="353">
        <v>0.85450000000000004</v>
      </c>
      <c r="G189" s="353">
        <v>0.85450000000000004</v>
      </c>
      <c r="H189" s="353">
        <v>0.85450000000000004</v>
      </c>
      <c r="I189" s="353">
        <v>0.85450000000000004</v>
      </c>
      <c r="J189" s="353">
        <v>0.85450000000000004</v>
      </c>
      <c r="K189" s="3"/>
      <c r="Q189" s="3"/>
      <c r="R189" s="3"/>
      <c r="S189" s="3"/>
      <c r="T189" s="3"/>
      <c r="U189" s="3"/>
      <c r="V189" s="3"/>
      <c r="W189" s="3"/>
      <c r="X189" s="3"/>
      <c r="Y189" s="3"/>
      <c r="Z189" s="3"/>
    </row>
    <row r="190" spans="1:26" ht="12" customHeight="1">
      <c r="A190" s="52" t="s">
        <v>66</v>
      </c>
      <c r="B190" s="320" t="str">
        <f t="shared" si="27"/>
        <v>Unmetered Scattered Load.RTSR - Network</v>
      </c>
      <c r="C190" s="320" t="s">
        <v>255</v>
      </c>
      <c r="D190" s="306" t="s">
        <v>226</v>
      </c>
      <c r="E190" s="330">
        <v>1.18E-2</v>
      </c>
      <c r="F190" s="353">
        <v>7.4999999999999997E-3</v>
      </c>
      <c r="G190" s="353">
        <v>7.4999999999999997E-3</v>
      </c>
      <c r="H190" s="353">
        <v>7.4999999999999997E-3</v>
      </c>
      <c r="I190" s="353">
        <v>7.4999999999999997E-3</v>
      </c>
      <c r="J190" s="353">
        <v>7.4999999999999997E-3</v>
      </c>
      <c r="K190" s="3"/>
      <c r="Q190" s="3"/>
      <c r="R190" s="3"/>
      <c r="S190" s="3"/>
      <c r="T190" s="3"/>
      <c r="U190" s="3"/>
      <c r="V190" s="3"/>
      <c r="W190" s="3"/>
      <c r="X190" s="3"/>
      <c r="Y190" s="3"/>
      <c r="Z190" s="3"/>
    </row>
    <row r="191" spans="1:26" ht="12" customHeight="1">
      <c r="A191" s="52" t="s">
        <v>66</v>
      </c>
      <c r="B191" s="320" t="str">
        <f t="shared" si="27"/>
        <v>Standby Power General Service 50 to 1,499 KW.</v>
      </c>
      <c r="C191" s="320"/>
      <c r="D191" s="306" t="s">
        <v>227</v>
      </c>
      <c r="E191" s="3"/>
      <c r="F191" s="333"/>
      <c r="G191" s="333"/>
      <c r="H191" s="333"/>
      <c r="I191" s="333"/>
      <c r="J191" s="333"/>
      <c r="K191" s="3"/>
      <c r="L191" s="3"/>
      <c r="M191" s="3"/>
      <c r="N191" s="3"/>
      <c r="O191" s="3"/>
      <c r="P191" s="3"/>
      <c r="Q191" s="3"/>
      <c r="R191" s="3"/>
      <c r="S191" s="3"/>
      <c r="T191" s="3"/>
      <c r="U191" s="3"/>
      <c r="V191" s="3"/>
      <c r="W191" s="3"/>
      <c r="X191" s="3"/>
      <c r="Y191" s="3"/>
      <c r="Z191" s="3"/>
    </row>
    <row r="192" spans="1:26" ht="12" customHeight="1">
      <c r="A192" s="52" t="s">
        <v>66</v>
      </c>
      <c r="B192" s="320" t="str">
        <f t="shared" si="27"/>
        <v>Standby Power General Service 1,500 to 4,999 KW.</v>
      </c>
      <c r="C192" s="320"/>
      <c r="D192" s="306" t="s">
        <v>228</v>
      </c>
      <c r="E192" s="3"/>
      <c r="F192" s="333"/>
      <c r="G192" s="333"/>
      <c r="H192" s="333"/>
      <c r="I192" s="333"/>
      <c r="J192" s="333"/>
      <c r="K192" s="3"/>
      <c r="L192" s="3"/>
      <c r="M192" s="3"/>
      <c r="N192" s="3"/>
      <c r="O192" s="3"/>
      <c r="P192" s="3"/>
      <c r="Q192" s="3"/>
      <c r="R192" s="3"/>
      <c r="S192" s="3"/>
      <c r="T192" s="3"/>
      <c r="U192" s="3"/>
      <c r="V192" s="3"/>
      <c r="W192" s="3"/>
      <c r="X192" s="3"/>
      <c r="Y192" s="3"/>
      <c r="Z192" s="3"/>
    </row>
    <row r="193" spans="1:26" ht="12" customHeight="1">
      <c r="A193" s="52" t="s">
        <v>66</v>
      </c>
      <c r="B193" s="320" t="str">
        <f t="shared" si="27"/>
        <v>Standby Power Large Use.</v>
      </c>
      <c r="C193" s="320"/>
      <c r="D193" s="306" t="s">
        <v>229</v>
      </c>
      <c r="E193" s="3"/>
      <c r="F193" s="333"/>
      <c r="G193" s="333"/>
      <c r="H193" s="333"/>
      <c r="I193" s="333"/>
      <c r="J193" s="333"/>
      <c r="K193" s="3"/>
      <c r="L193" s="3"/>
      <c r="M193" s="3"/>
      <c r="N193" s="3"/>
      <c r="O193" s="3"/>
      <c r="P193" s="3"/>
      <c r="Q193" s="3"/>
      <c r="R193" s="3"/>
      <c r="S193" s="3"/>
      <c r="T193" s="3"/>
      <c r="U193" s="3"/>
      <c r="V193" s="3"/>
      <c r="W193" s="3"/>
      <c r="X193" s="3"/>
      <c r="Y193" s="3"/>
      <c r="Z193" s="3"/>
    </row>
    <row r="194" spans="1:26" ht="12" customHeight="1">
      <c r="A194" s="3"/>
      <c r="B194" s="30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ustomHeight="1">
      <c r="A195" s="3"/>
      <c r="B195" s="52"/>
      <c r="C195" s="317" t="s">
        <v>256</v>
      </c>
      <c r="D195" s="3"/>
      <c r="E195" s="318" t="s">
        <v>215</v>
      </c>
      <c r="F195" s="319" t="str">
        <f t="shared" ref="F195:J195" si="28">F$4</f>
        <v>2026F</v>
      </c>
      <c r="G195" s="319" t="str">
        <f t="shared" si="28"/>
        <v>2027F</v>
      </c>
      <c r="H195" s="319" t="str">
        <f t="shared" si="28"/>
        <v>2028F</v>
      </c>
      <c r="I195" s="319" t="str">
        <f t="shared" si="28"/>
        <v>2029F</v>
      </c>
      <c r="J195" s="319" t="str">
        <f t="shared" si="28"/>
        <v>2030F</v>
      </c>
      <c r="K195" s="3"/>
      <c r="L195" s="3"/>
      <c r="M195" s="3"/>
      <c r="N195" s="3"/>
      <c r="O195" s="3"/>
      <c r="P195" s="3"/>
      <c r="Q195" s="3"/>
      <c r="R195" s="3"/>
      <c r="S195" s="3"/>
      <c r="T195" s="3"/>
      <c r="U195" s="3"/>
      <c r="V195" s="3"/>
      <c r="W195" s="3"/>
      <c r="X195" s="3"/>
      <c r="Y195" s="3"/>
      <c r="Z195" s="3"/>
    </row>
    <row r="196" spans="1:26" ht="12" customHeight="1">
      <c r="A196" s="52" t="s">
        <v>46</v>
      </c>
      <c r="B196" s="320" t="str">
        <f t="shared" ref="B196:B206" si="29">D196&amp;"."&amp;C196</f>
        <v>Residential.RTSR - Line and Transformation Connection</v>
      </c>
      <c r="C196" s="320" t="s">
        <v>256</v>
      </c>
      <c r="D196" s="306" t="s">
        <v>219</v>
      </c>
      <c r="E196" s="330">
        <v>7.1999999999999998E-3</v>
      </c>
      <c r="F196" s="353">
        <v>7.7999999999999996E-3</v>
      </c>
      <c r="G196" s="353">
        <v>7.7999999999999996E-3</v>
      </c>
      <c r="H196" s="353">
        <v>7.7999999999999996E-3</v>
      </c>
      <c r="I196" s="353">
        <v>7.7999999999999996E-3</v>
      </c>
      <c r="J196" s="353">
        <v>7.7999999999999996E-3</v>
      </c>
      <c r="K196" s="3"/>
      <c r="Q196" s="3"/>
      <c r="R196" s="3"/>
      <c r="S196" s="3"/>
      <c r="T196" s="3"/>
      <c r="U196" s="3"/>
      <c r="V196" s="3"/>
      <c r="W196" s="3"/>
      <c r="X196" s="3"/>
      <c r="Y196" s="3"/>
      <c r="Z196" s="3"/>
    </row>
    <row r="197" spans="1:26" ht="12" customHeight="1">
      <c r="A197" s="52" t="s">
        <v>46</v>
      </c>
      <c r="B197" s="320" t="str">
        <f t="shared" si="29"/>
        <v>General Service &lt; 50 kW.RTSR - Line and Transformation Connection</v>
      </c>
      <c r="C197" s="320" t="s">
        <v>256</v>
      </c>
      <c r="D197" s="306" t="s">
        <v>220</v>
      </c>
      <c r="E197" s="330">
        <v>7.0000000000000001E-3</v>
      </c>
      <c r="F197" s="353">
        <v>6.1000000000000004E-3</v>
      </c>
      <c r="G197" s="353">
        <v>6.1000000000000004E-3</v>
      </c>
      <c r="H197" s="353">
        <v>6.1000000000000004E-3</v>
      </c>
      <c r="I197" s="353">
        <v>6.1000000000000004E-3</v>
      </c>
      <c r="J197" s="353">
        <v>6.1000000000000004E-3</v>
      </c>
      <c r="K197" s="3"/>
      <c r="Q197" s="3"/>
      <c r="R197" s="3"/>
      <c r="S197" s="3"/>
      <c r="T197" s="3"/>
      <c r="U197" s="3"/>
      <c r="V197" s="3"/>
      <c r="W197" s="3"/>
      <c r="X197" s="3"/>
      <c r="Y197" s="3"/>
      <c r="Z197" s="3"/>
    </row>
    <row r="198" spans="1:26" ht="12" customHeight="1">
      <c r="A198" s="52" t="s">
        <v>66</v>
      </c>
      <c r="B198" s="320" t="str">
        <f t="shared" si="29"/>
        <v>General Service 50 to 1,499 KW.RTSR - Line and Transformation Connection</v>
      </c>
      <c r="C198" s="320" t="s">
        <v>256</v>
      </c>
      <c r="D198" s="306" t="s">
        <v>221</v>
      </c>
      <c r="E198" s="330">
        <v>2.8187000000000002</v>
      </c>
      <c r="F198" s="353">
        <v>2.5918000000000001</v>
      </c>
      <c r="G198" s="353">
        <v>2.5918000000000001</v>
      </c>
      <c r="H198" s="353">
        <v>2.5918000000000001</v>
      </c>
      <c r="I198" s="353">
        <v>2.5918000000000001</v>
      </c>
      <c r="J198" s="353">
        <v>2.5918000000000001</v>
      </c>
      <c r="K198" s="3"/>
      <c r="Q198" s="3"/>
      <c r="R198" s="3"/>
      <c r="S198" s="3"/>
      <c r="T198" s="3"/>
      <c r="U198" s="3"/>
      <c r="V198" s="3"/>
      <c r="W198" s="3"/>
      <c r="X198" s="3"/>
      <c r="Y198" s="3"/>
      <c r="Z198" s="3"/>
    </row>
    <row r="199" spans="1:26" ht="12" customHeight="1">
      <c r="A199" s="52" t="s">
        <v>66</v>
      </c>
      <c r="B199" s="320" t="str">
        <f t="shared" si="29"/>
        <v>General Service 1,500 to 4,999 KW.RTSR - Line and Transformation Connection</v>
      </c>
      <c r="C199" s="320" t="s">
        <v>256</v>
      </c>
      <c r="D199" s="306" t="s">
        <v>222</v>
      </c>
      <c r="E199" s="330">
        <v>3.0125999999999999</v>
      </c>
      <c r="F199" s="353">
        <v>2.5712000000000002</v>
      </c>
      <c r="G199" s="353">
        <v>2.5712000000000002</v>
      </c>
      <c r="H199" s="353">
        <v>2.5712000000000002</v>
      </c>
      <c r="I199" s="353">
        <v>2.5712000000000002</v>
      </c>
      <c r="J199" s="353">
        <v>2.5712000000000002</v>
      </c>
      <c r="K199" s="3"/>
      <c r="Q199" s="3"/>
      <c r="R199" s="3"/>
      <c r="S199" s="3"/>
      <c r="T199" s="3"/>
      <c r="U199" s="3"/>
      <c r="V199" s="3"/>
      <c r="W199" s="3"/>
      <c r="X199" s="3"/>
      <c r="Y199" s="3"/>
      <c r="Z199" s="3"/>
    </row>
    <row r="200" spans="1:26" ht="12" customHeight="1">
      <c r="A200" s="52" t="s">
        <v>66</v>
      </c>
      <c r="B200" s="320" t="str">
        <f t="shared" si="29"/>
        <v>Large User.RTSR - Line and Transformation Connection</v>
      </c>
      <c r="C200" s="320" t="s">
        <v>256</v>
      </c>
      <c r="D200" s="306" t="s">
        <v>223</v>
      </c>
      <c r="E200" s="330">
        <v>3.3923999999999999</v>
      </c>
      <c r="F200" s="353">
        <v>3.0192999999999999</v>
      </c>
      <c r="G200" s="353">
        <v>3.0192999999999999</v>
      </c>
      <c r="H200" s="353">
        <v>3.0192999999999999</v>
      </c>
      <c r="I200" s="353">
        <v>3.0192999999999999</v>
      </c>
      <c r="J200" s="353">
        <v>3.0192999999999999</v>
      </c>
      <c r="K200" s="3"/>
      <c r="Q200" s="3"/>
      <c r="R200" s="3"/>
      <c r="S200" s="3"/>
      <c r="T200" s="3"/>
      <c r="U200" s="3"/>
      <c r="V200" s="3"/>
      <c r="W200" s="3"/>
      <c r="X200" s="3"/>
      <c r="Y200" s="3"/>
      <c r="Z200" s="3"/>
    </row>
    <row r="201" spans="1:26" ht="12" customHeight="1">
      <c r="A201" s="52" t="s">
        <v>66</v>
      </c>
      <c r="B201" s="320" t="str">
        <f t="shared" si="29"/>
        <v>Street Light.RTSR - Line and Transformation Connection</v>
      </c>
      <c r="C201" s="320" t="s">
        <v>256</v>
      </c>
      <c r="D201" s="306" t="s">
        <v>224</v>
      </c>
      <c r="E201" s="330">
        <v>2.1377000000000002</v>
      </c>
      <c r="F201" s="353">
        <v>1.2213000000000001</v>
      </c>
      <c r="G201" s="353">
        <v>1.2213000000000001</v>
      </c>
      <c r="H201" s="353">
        <v>1.2213000000000001</v>
      </c>
      <c r="I201" s="353">
        <v>1.2213000000000001</v>
      </c>
      <c r="J201" s="353">
        <v>1.2213000000000001</v>
      </c>
      <c r="K201" s="3"/>
      <c r="Q201" s="3"/>
      <c r="R201" s="3"/>
      <c r="S201" s="3"/>
      <c r="T201" s="3"/>
      <c r="U201" s="3"/>
      <c r="V201" s="3"/>
      <c r="W201" s="3"/>
      <c r="X201" s="3"/>
      <c r="Y201" s="3"/>
      <c r="Z201" s="3"/>
    </row>
    <row r="202" spans="1:26" ht="12" customHeight="1">
      <c r="A202" s="52" t="s">
        <v>66</v>
      </c>
      <c r="B202" s="320" t="str">
        <f t="shared" si="29"/>
        <v>Sentinel Lights.RTSR - Line and Transformation Connection</v>
      </c>
      <c r="C202" s="320" t="s">
        <v>256</v>
      </c>
      <c r="D202" s="306" t="s">
        <v>225</v>
      </c>
      <c r="E202" s="330">
        <v>2.0941999999999998</v>
      </c>
      <c r="F202" s="353">
        <v>0.48370000000000002</v>
      </c>
      <c r="G202" s="353">
        <v>0.48370000000000002</v>
      </c>
      <c r="H202" s="353">
        <v>0.48370000000000002</v>
      </c>
      <c r="I202" s="353">
        <v>0.48370000000000002</v>
      </c>
      <c r="J202" s="353">
        <v>0.48370000000000002</v>
      </c>
      <c r="K202" s="3"/>
      <c r="Q202" s="3"/>
      <c r="R202" s="3"/>
      <c r="S202" s="3"/>
      <c r="T202" s="3"/>
      <c r="U202" s="3"/>
      <c r="V202" s="3"/>
      <c r="W202" s="3"/>
      <c r="X202" s="3"/>
      <c r="Y202" s="3"/>
      <c r="Z202" s="3"/>
    </row>
    <row r="203" spans="1:26" ht="12" customHeight="1">
      <c r="A203" s="52" t="s">
        <v>66</v>
      </c>
      <c r="B203" s="320" t="str">
        <f t="shared" si="29"/>
        <v>Unmetered Scattered Load.RTSR - Line and Transformation Connection</v>
      </c>
      <c r="C203" s="320" t="s">
        <v>256</v>
      </c>
      <c r="D203" s="306" t="s">
        <v>226</v>
      </c>
      <c r="E203" s="330">
        <v>7.0000000000000001E-3</v>
      </c>
      <c r="F203" s="353">
        <v>4.3E-3</v>
      </c>
      <c r="G203" s="353">
        <v>4.3E-3</v>
      </c>
      <c r="H203" s="353">
        <v>4.3E-3</v>
      </c>
      <c r="I203" s="353">
        <v>4.3E-3</v>
      </c>
      <c r="J203" s="353">
        <v>4.3E-3</v>
      </c>
      <c r="K203" s="3"/>
      <c r="Q203" s="3"/>
      <c r="R203" s="3"/>
      <c r="S203" s="3"/>
      <c r="T203" s="3"/>
      <c r="U203" s="3"/>
      <c r="V203" s="3"/>
      <c r="W203" s="3"/>
      <c r="X203" s="3"/>
      <c r="Y203" s="3"/>
      <c r="Z203" s="3"/>
    </row>
    <row r="204" spans="1:26" ht="12" customHeight="1">
      <c r="A204" s="52" t="s">
        <v>66</v>
      </c>
      <c r="B204" s="320" t="str">
        <f t="shared" si="29"/>
        <v>Standby Power General Service 50 to 1,499 KW.RTSR - Line and Transformation Connection</v>
      </c>
      <c r="C204" s="320" t="s">
        <v>256</v>
      </c>
      <c r="D204" s="306" t="s">
        <v>227</v>
      </c>
      <c r="E204" s="3"/>
      <c r="F204" s="3"/>
      <c r="G204" s="3"/>
      <c r="H204" s="3"/>
      <c r="I204" s="3"/>
      <c r="J204" s="3"/>
      <c r="K204" s="3"/>
      <c r="L204" s="3"/>
      <c r="M204" s="3"/>
      <c r="N204" s="3"/>
      <c r="O204" s="3"/>
      <c r="P204" s="3"/>
      <c r="Q204" s="3"/>
      <c r="R204" s="3"/>
      <c r="S204" s="3"/>
      <c r="T204" s="3"/>
      <c r="U204" s="3"/>
      <c r="V204" s="3"/>
      <c r="W204" s="3"/>
      <c r="X204" s="3"/>
      <c r="Y204" s="3"/>
      <c r="Z204" s="3"/>
    </row>
    <row r="205" spans="1:26" ht="12" customHeight="1">
      <c r="A205" s="52" t="s">
        <v>66</v>
      </c>
      <c r="B205" s="320" t="str">
        <f t="shared" si="29"/>
        <v>Standby Power General Service 1,500 to 4,999 KW.RTSR - Line and Transformation Connection</v>
      </c>
      <c r="C205" s="320" t="s">
        <v>256</v>
      </c>
      <c r="D205" s="306" t="s">
        <v>228</v>
      </c>
      <c r="E205" s="3"/>
      <c r="F205" s="333"/>
      <c r="G205" s="3"/>
      <c r="H205" s="3"/>
      <c r="I205" s="3"/>
      <c r="J205" s="3"/>
      <c r="K205" s="3"/>
      <c r="L205" s="3"/>
      <c r="M205" s="3"/>
      <c r="N205" s="3"/>
      <c r="O205" s="3"/>
      <c r="P205" s="3"/>
      <c r="Q205" s="3"/>
      <c r="R205" s="3"/>
      <c r="S205" s="3"/>
      <c r="T205" s="3"/>
      <c r="U205" s="3"/>
      <c r="V205" s="3"/>
      <c r="W205" s="3"/>
      <c r="X205" s="3"/>
      <c r="Y205" s="3"/>
      <c r="Z205" s="3"/>
    </row>
    <row r="206" spans="1:26" ht="12" customHeight="1">
      <c r="A206" s="52" t="s">
        <v>66</v>
      </c>
      <c r="B206" s="320" t="str">
        <f t="shared" si="29"/>
        <v>Standby Power Large Use.RTSR - Line and Transformation Connection</v>
      </c>
      <c r="C206" s="320" t="s">
        <v>256</v>
      </c>
      <c r="D206" s="306" t="s">
        <v>229</v>
      </c>
      <c r="E206" s="3"/>
      <c r="F206" s="333"/>
      <c r="G206" s="3"/>
      <c r="H206" s="3"/>
      <c r="I206" s="3"/>
      <c r="J206" s="3"/>
      <c r="K206" s="3"/>
      <c r="L206" s="3"/>
      <c r="M206" s="3"/>
      <c r="N206" s="3"/>
      <c r="O206" s="3"/>
      <c r="P206" s="3"/>
      <c r="Q206" s="3"/>
      <c r="R206" s="3"/>
      <c r="S206" s="3"/>
      <c r="T206" s="3"/>
      <c r="U206" s="3"/>
      <c r="V206" s="3"/>
      <c r="W206" s="3"/>
      <c r="X206" s="3"/>
      <c r="Y206" s="3"/>
      <c r="Z206" s="3"/>
    </row>
    <row r="207" spans="1:26" ht="12" customHeight="1">
      <c r="A207" s="3"/>
      <c r="B207" s="30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ustomHeight="1">
      <c r="A208" s="3"/>
      <c r="B208" s="52"/>
      <c r="C208" s="317" t="s">
        <v>257</v>
      </c>
      <c r="D208" s="3"/>
      <c r="E208" s="318" t="s">
        <v>215</v>
      </c>
      <c r="F208" s="319" t="str">
        <f t="shared" ref="F208:J208" si="30">F$4</f>
        <v>2026F</v>
      </c>
      <c r="G208" s="319" t="str">
        <f t="shared" si="30"/>
        <v>2027F</v>
      </c>
      <c r="H208" s="319" t="str">
        <f t="shared" si="30"/>
        <v>2028F</v>
      </c>
      <c r="I208" s="319" t="str">
        <f t="shared" si="30"/>
        <v>2029F</v>
      </c>
      <c r="J208" s="319" t="str">
        <f t="shared" si="30"/>
        <v>2030F</v>
      </c>
      <c r="K208" s="3"/>
      <c r="L208" s="3"/>
      <c r="M208" s="3"/>
      <c r="N208" s="3"/>
      <c r="O208" s="3"/>
      <c r="P208" s="3"/>
      <c r="Q208" s="3"/>
      <c r="R208" s="3"/>
      <c r="S208" s="3"/>
      <c r="T208" s="3"/>
      <c r="U208" s="3"/>
      <c r="V208" s="3"/>
      <c r="W208" s="3"/>
      <c r="X208" s="3"/>
      <c r="Y208" s="3"/>
      <c r="Z208" s="3"/>
    </row>
    <row r="209" spans="1:26" ht="12" customHeight="1">
      <c r="A209" s="52" t="s">
        <v>46</v>
      </c>
      <c r="B209" s="320" t="str">
        <f t="shared" ref="B209:B219" si="31">D209&amp;"."&amp;C209</f>
        <v>Residential.Wholesale Market Service Charge (WMSC)</v>
      </c>
      <c r="C209" s="320" t="s">
        <v>257</v>
      </c>
      <c r="D209" s="306" t="s">
        <v>219</v>
      </c>
      <c r="E209" s="330">
        <v>4.4999999999999997E-3</v>
      </c>
      <c r="F209" s="330">
        <v>4.4999999999999997E-3</v>
      </c>
      <c r="G209" s="330">
        <v>4.4999999999999997E-3</v>
      </c>
      <c r="H209" s="330">
        <v>4.4999999999999997E-3</v>
      </c>
      <c r="I209" s="330">
        <v>4.4999999999999997E-3</v>
      </c>
      <c r="J209" s="330">
        <v>4.4999999999999997E-3</v>
      </c>
      <c r="K209" s="3"/>
      <c r="L209" s="3"/>
      <c r="M209" s="3"/>
      <c r="N209" s="3"/>
      <c r="O209" s="3"/>
      <c r="P209" s="3"/>
      <c r="Q209" s="3"/>
      <c r="R209" s="3"/>
      <c r="S209" s="3"/>
      <c r="T209" s="3"/>
      <c r="U209" s="3"/>
      <c r="V209" s="3"/>
      <c r="W209" s="3"/>
      <c r="X209" s="3"/>
      <c r="Y209" s="3"/>
      <c r="Z209" s="3"/>
    </row>
    <row r="210" spans="1:26" ht="12" customHeight="1">
      <c r="A210" s="52" t="s">
        <v>46</v>
      </c>
      <c r="B210" s="320" t="str">
        <f t="shared" si="31"/>
        <v>General Service &lt; 50 kW.Wholesale Market Service Charge (WMSC)</v>
      </c>
      <c r="C210" s="320" t="s">
        <v>257</v>
      </c>
      <c r="D210" s="306" t="s">
        <v>220</v>
      </c>
      <c r="E210" s="330">
        <v>4.4999999999999997E-3</v>
      </c>
      <c r="F210" s="330">
        <v>4.4999999999999997E-3</v>
      </c>
      <c r="G210" s="330">
        <v>4.4999999999999997E-3</v>
      </c>
      <c r="H210" s="330">
        <v>4.4999999999999997E-3</v>
      </c>
      <c r="I210" s="330">
        <v>4.4999999999999997E-3</v>
      </c>
      <c r="J210" s="330">
        <v>4.4999999999999997E-3</v>
      </c>
      <c r="K210" s="3"/>
      <c r="L210" s="3"/>
      <c r="M210" s="3"/>
      <c r="N210" s="3"/>
      <c r="O210" s="3"/>
      <c r="P210" s="3"/>
      <c r="Q210" s="3"/>
      <c r="R210" s="3"/>
      <c r="S210" s="3"/>
      <c r="T210" s="3"/>
      <c r="U210" s="3"/>
      <c r="V210" s="3"/>
      <c r="W210" s="3"/>
      <c r="X210" s="3"/>
      <c r="Y210" s="3"/>
      <c r="Z210" s="3"/>
    </row>
    <row r="211" spans="1:26" ht="12" customHeight="1">
      <c r="A211" s="52" t="s">
        <v>46</v>
      </c>
      <c r="B211" s="320" t="str">
        <f t="shared" si="31"/>
        <v>General Service 50 to 1,499 KW.Wholesale Market Service Charge (WMSC)</v>
      </c>
      <c r="C211" s="320" t="s">
        <v>257</v>
      </c>
      <c r="D211" s="306" t="s">
        <v>221</v>
      </c>
      <c r="E211" s="330">
        <v>4.4999999999999997E-3</v>
      </c>
      <c r="F211" s="330">
        <v>4.4999999999999997E-3</v>
      </c>
      <c r="G211" s="330">
        <v>4.4999999999999997E-3</v>
      </c>
      <c r="H211" s="330">
        <v>4.4999999999999997E-3</v>
      </c>
      <c r="I211" s="330">
        <v>4.4999999999999997E-3</v>
      </c>
      <c r="J211" s="330">
        <v>4.4999999999999997E-3</v>
      </c>
      <c r="K211" s="3"/>
      <c r="L211" s="3"/>
      <c r="M211" s="3"/>
      <c r="N211" s="3"/>
      <c r="O211" s="3"/>
      <c r="P211" s="3"/>
      <c r="Q211" s="3"/>
      <c r="R211" s="3"/>
      <c r="S211" s="3"/>
      <c r="T211" s="3"/>
      <c r="U211" s="3"/>
      <c r="V211" s="3"/>
      <c r="W211" s="3"/>
      <c r="X211" s="3"/>
      <c r="Y211" s="3"/>
      <c r="Z211" s="3"/>
    </row>
    <row r="212" spans="1:26" ht="12" customHeight="1">
      <c r="A212" s="52" t="s">
        <v>46</v>
      </c>
      <c r="B212" s="320" t="str">
        <f t="shared" si="31"/>
        <v>General Service 1,500 to 4,999 KW.Wholesale Market Service Charge (WMSC)</v>
      </c>
      <c r="C212" s="320" t="s">
        <v>257</v>
      </c>
      <c r="D212" s="306" t="s">
        <v>222</v>
      </c>
      <c r="E212" s="330">
        <v>4.4999999999999997E-3</v>
      </c>
      <c r="F212" s="330">
        <v>4.4999999999999997E-3</v>
      </c>
      <c r="G212" s="330">
        <v>4.4999999999999997E-3</v>
      </c>
      <c r="H212" s="330">
        <v>4.4999999999999997E-3</v>
      </c>
      <c r="I212" s="330">
        <v>4.4999999999999997E-3</v>
      </c>
      <c r="J212" s="330">
        <v>4.4999999999999997E-3</v>
      </c>
      <c r="K212" s="3"/>
      <c r="L212" s="3"/>
      <c r="M212" s="3"/>
      <c r="N212" s="3"/>
      <c r="O212" s="3"/>
      <c r="P212" s="3"/>
      <c r="Q212" s="3"/>
      <c r="R212" s="3"/>
      <c r="S212" s="3"/>
      <c r="T212" s="3"/>
      <c r="U212" s="3"/>
      <c r="V212" s="3"/>
      <c r="W212" s="3"/>
      <c r="X212" s="3"/>
      <c r="Y212" s="3"/>
      <c r="Z212" s="3"/>
    </row>
    <row r="213" spans="1:26" ht="12" customHeight="1">
      <c r="A213" s="52" t="s">
        <v>46</v>
      </c>
      <c r="B213" s="320" t="str">
        <f t="shared" si="31"/>
        <v>Large User.Wholesale Market Service Charge (WMSC)</v>
      </c>
      <c r="C213" s="320" t="s">
        <v>257</v>
      </c>
      <c r="D213" s="306" t="s">
        <v>223</v>
      </c>
      <c r="E213" s="330">
        <v>4.4999999999999997E-3</v>
      </c>
      <c r="F213" s="330">
        <v>4.4999999999999997E-3</v>
      </c>
      <c r="G213" s="330">
        <v>4.4999999999999997E-3</v>
      </c>
      <c r="H213" s="330">
        <v>4.4999999999999997E-3</v>
      </c>
      <c r="I213" s="330">
        <v>4.4999999999999997E-3</v>
      </c>
      <c r="J213" s="330">
        <v>4.4999999999999997E-3</v>
      </c>
      <c r="K213" s="3"/>
      <c r="L213" s="3"/>
      <c r="M213" s="3"/>
      <c r="N213" s="3"/>
      <c r="O213" s="3"/>
      <c r="P213" s="3"/>
      <c r="Q213" s="3"/>
      <c r="R213" s="3"/>
      <c r="S213" s="3"/>
      <c r="T213" s="3"/>
      <c r="U213" s="3"/>
      <c r="V213" s="3"/>
      <c r="W213" s="3"/>
      <c r="X213" s="3"/>
      <c r="Y213" s="3"/>
      <c r="Z213" s="3"/>
    </row>
    <row r="214" spans="1:26" ht="12" customHeight="1">
      <c r="A214" s="52" t="s">
        <v>46</v>
      </c>
      <c r="B214" s="320" t="str">
        <f t="shared" si="31"/>
        <v>Street Light.Wholesale Market Service Charge (WMSC)</v>
      </c>
      <c r="C214" s="320" t="s">
        <v>257</v>
      </c>
      <c r="D214" s="306" t="s">
        <v>224</v>
      </c>
      <c r="E214" s="330">
        <v>4.4999999999999997E-3</v>
      </c>
      <c r="F214" s="330">
        <v>4.4999999999999997E-3</v>
      </c>
      <c r="G214" s="330">
        <v>4.4999999999999997E-3</v>
      </c>
      <c r="H214" s="330">
        <v>4.4999999999999997E-3</v>
      </c>
      <c r="I214" s="330">
        <v>4.4999999999999997E-3</v>
      </c>
      <c r="J214" s="330">
        <v>4.4999999999999997E-3</v>
      </c>
      <c r="K214" s="3"/>
      <c r="L214" s="3"/>
      <c r="M214" s="3"/>
      <c r="N214" s="3"/>
      <c r="O214" s="3"/>
      <c r="P214" s="3"/>
      <c r="Q214" s="3"/>
      <c r="R214" s="3"/>
      <c r="S214" s="3"/>
      <c r="T214" s="3"/>
      <c r="U214" s="3"/>
      <c r="V214" s="3"/>
      <c r="W214" s="3"/>
      <c r="X214" s="3"/>
      <c r="Y214" s="3"/>
      <c r="Z214" s="3"/>
    </row>
    <row r="215" spans="1:26" ht="12" customHeight="1">
      <c r="A215" s="52" t="s">
        <v>46</v>
      </c>
      <c r="B215" s="320" t="str">
        <f t="shared" si="31"/>
        <v>Sentinel Lights.Wholesale Market Service Charge (WMSC)</v>
      </c>
      <c r="C215" s="320" t="s">
        <v>257</v>
      </c>
      <c r="D215" s="306" t="s">
        <v>225</v>
      </c>
      <c r="E215" s="330">
        <v>4.4999999999999997E-3</v>
      </c>
      <c r="F215" s="330">
        <v>4.4999999999999997E-3</v>
      </c>
      <c r="G215" s="330">
        <v>4.4999999999999997E-3</v>
      </c>
      <c r="H215" s="330">
        <v>4.4999999999999997E-3</v>
      </c>
      <c r="I215" s="330">
        <v>4.4999999999999997E-3</v>
      </c>
      <c r="J215" s="330">
        <v>4.4999999999999997E-3</v>
      </c>
      <c r="K215" s="3"/>
      <c r="L215" s="3"/>
      <c r="M215" s="3"/>
      <c r="N215" s="3"/>
      <c r="O215" s="3"/>
      <c r="P215" s="3"/>
      <c r="Q215" s="3"/>
      <c r="R215" s="3"/>
      <c r="S215" s="3"/>
      <c r="T215" s="3"/>
      <c r="U215" s="3"/>
      <c r="V215" s="3"/>
      <c r="W215" s="3"/>
      <c r="X215" s="3"/>
      <c r="Y215" s="3"/>
      <c r="Z215" s="3"/>
    </row>
    <row r="216" spans="1:26" ht="12" customHeight="1">
      <c r="A216" s="52" t="s">
        <v>46</v>
      </c>
      <c r="B216" s="320" t="str">
        <f t="shared" si="31"/>
        <v>Unmetered Scattered Load.Wholesale Market Service Charge (WMSC)</v>
      </c>
      <c r="C216" s="320" t="s">
        <v>257</v>
      </c>
      <c r="D216" s="306" t="s">
        <v>226</v>
      </c>
      <c r="E216" s="330">
        <v>4.4999999999999997E-3</v>
      </c>
      <c r="F216" s="330">
        <v>4.4999999999999997E-3</v>
      </c>
      <c r="G216" s="330">
        <v>4.4999999999999997E-3</v>
      </c>
      <c r="H216" s="330">
        <v>4.4999999999999997E-3</v>
      </c>
      <c r="I216" s="330">
        <v>4.4999999999999997E-3</v>
      </c>
      <c r="J216" s="330">
        <v>4.4999999999999997E-3</v>
      </c>
      <c r="K216" s="3"/>
      <c r="L216" s="3"/>
      <c r="M216" s="3"/>
      <c r="N216" s="3"/>
      <c r="O216" s="3"/>
      <c r="P216" s="3"/>
      <c r="Q216" s="3"/>
      <c r="R216" s="3"/>
      <c r="S216" s="3"/>
      <c r="T216" s="3"/>
      <c r="U216" s="3"/>
      <c r="V216" s="3"/>
      <c r="W216" s="3"/>
      <c r="X216" s="3"/>
      <c r="Y216" s="3"/>
      <c r="Z216" s="3"/>
    </row>
    <row r="217" spans="1:26" ht="12" customHeight="1">
      <c r="A217" s="52" t="s">
        <v>46</v>
      </c>
      <c r="B217" s="320" t="str">
        <f t="shared" si="31"/>
        <v>Standby Power General Service 50 to 1,499 KW.Wholesale Market Service Charge (WMSC)</v>
      </c>
      <c r="C217" s="320" t="s">
        <v>257</v>
      </c>
      <c r="D217" s="306" t="s">
        <v>227</v>
      </c>
      <c r="E217" s="330">
        <v>4.4999999999999997E-3</v>
      </c>
      <c r="F217" s="330">
        <v>4.4999999999999997E-3</v>
      </c>
      <c r="G217" s="330">
        <v>4.4999999999999997E-3</v>
      </c>
      <c r="H217" s="330">
        <v>4.4999999999999997E-3</v>
      </c>
      <c r="I217" s="330">
        <v>4.4999999999999997E-3</v>
      </c>
      <c r="J217" s="330">
        <v>4.4999999999999997E-3</v>
      </c>
      <c r="K217" s="3"/>
      <c r="L217" s="3"/>
      <c r="M217" s="3"/>
      <c r="N217" s="3"/>
      <c r="O217" s="3"/>
      <c r="P217" s="3"/>
      <c r="Q217" s="3"/>
      <c r="R217" s="3"/>
      <c r="S217" s="3"/>
      <c r="T217" s="3"/>
      <c r="U217" s="3"/>
      <c r="V217" s="3"/>
      <c r="W217" s="3"/>
      <c r="X217" s="3"/>
      <c r="Y217" s="3"/>
      <c r="Z217" s="3"/>
    </row>
    <row r="218" spans="1:26" ht="12" customHeight="1">
      <c r="A218" s="52" t="s">
        <v>46</v>
      </c>
      <c r="B218" s="320" t="str">
        <f t="shared" si="31"/>
        <v>Standby Power General Service 1,500 to 4,999 KW.Wholesale Market Service Charge (WMSC)</v>
      </c>
      <c r="C218" s="320" t="s">
        <v>257</v>
      </c>
      <c r="D218" s="306" t="s">
        <v>228</v>
      </c>
      <c r="E218" s="330">
        <v>4.4999999999999997E-3</v>
      </c>
      <c r="F218" s="330">
        <v>4.4999999999999997E-3</v>
      </c>
      <c r="G218" s="330">
        <v>4.4999999999999997E-3</v>
      </c>
      <c r="H218" s="330">
        <v>4.4999999999999997E-3</v>
      </c>
      <c r="I218" s="330">
        <v>4.4999999999999997E-3</v>
      </c>
      <c r="J218" s="330">
        <v>4.4999999999999997E-3</v>
      </c>
      <c r="K218" s="3"/>
      <c r="L218" s="3"/>
      <c r="M218" s="3"/>
      <c r="N218" s="3"/>
      <c r="O218" s="3"/>
      <c r="P218" s="3"/>
      <c r="Q218" s="3"/>
      <c r="R218" s="3"/>
      <c r="S218" s="3"/>
      <c r="T218" s="3"/>
      <c r="U218" s="3"/>
      <c r="V218" s="3"/>
      <c r="W218" s="3"/>
      <c r="X218" s="3"/>
      <c r="Y218" s="3"/>
      <c r="Z218" s="3"/>
    </row>
    <row r="219" spans="1:26" ht="12" customHeight="1">
      <c r="A219" s="52" t="s">
        <v>46</v>
      </c>
      <c r="B219" s="320" t="str">
        <f t="shared" si="31"/>
        <v>Standby Power Large Use.Wholesale Market Service Charge (WMSC)</v>
      </c>
      <c r="C219" s="320" t="s">
        <v>257</v>
      </c>
      <c r="D219" s="306" t="s">
        <v>229</v>
      </c>
      <c r="E219" s="330">
        <v>4.4999999999999997E-3</v>
      </c>
      <c r="F219" s="330">
        <v>4.4999999999999997E-3</v>
      </c>
      <c r="G219" s="330">
        <v>4.4999999999999997E-3</v>
      </c>
      <c r="H219" s="330">
        <v>4.4999999999999997E-3</v>
      </c>
      <c r="I219" s="330">
        <v>4.4999999999999997E-3</v>
      </c>
      <c r="J219" s="330">
        <v>4.4999999999999997E-3</v>
      </c>
      <c r="K219" s="3"/>
      <c r="L219" s="3"/>
      <c r="M219" s="3"/>
      <c r="N219" s="3"/>
      <c r="O219" s="3"/>
      <c r="P219" s="3"/>
      <c r="Q219" s="3"/>
      <c r="R219" s="3"/>
      <c r="S219" s="3"/>
      <c r="T219" s="3"/>
      <c r="U219" s="3"/>
      <c r="V219" s="3"/>
      <c r="W219" s="3"/>
      <c r="X219" s="3"/>
      <c r="Y219" s="3"/>
      <c r="Z219" s="3"/>
    </row>
    <row r="220" spans="1:26" ht="12" customHeight="1">
      <c r="A220" s="3"/>
      <c r="B220" s="30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ustomHeight="1">
      <c r="A221" s="3"/>
      <c r="B221" s="52"/>
      <c r="C221" s="317" t="s">
        <v>258</v>
      </c>
      <c r="D221" s="3"/>
      <c r="E221" s="318" t="s">
        <v>215</v>
      </c>
      <c r="F221" s="319" t="str">
        <f t="shared" ref="F221:J221" si="32">F$4</f>
        <v>2026F</v>
      </c>
      <c r="G221" s="319" t="str">
        <f t="shared" si="32"/>
        <v>2027F</v>
      </c>
      <c r="H221" s="319" t="str">
        <f t="shared" si="32"/>
        <v>2028F</v>
      </c>
      <c r="I221" s="319" t="str">
        <f t="shared" si="32"/>
        <v>2029F</v>
      </c>
      <c r="J221" s="319" t="str">
        <f t="shared" si="32"/>
        <v>2030F</v>
      </c>
      <c r="K221" s="3"/>
      <c r="L221" s="3"/>
      <c r="M221" s="3"/>
      <c r="N221" s="3"/>
      <c r="O221" s="3"/>
      <c r="P221" s="3"/>
      <c r="Q221" s="3"/>
      <c r="R221" s="3"/>
      <c r="S221" s="3"/>
      <c r="T221" s="3"/>
      <c r="U221" s="3"/>
      <c r="V221" s="3"/>
      <c r="W221" s="3"/>
      <c r="X221" s="3"/>
      <c r="Y221" s="3"/>
      <c r="Z221" s="3"/>
    </row>
    <row r="222" spans="1:26" ht="12" customHeight="1">
      <c r="A222" s="52" t="s">
        <v>46</v>
      </c>
      <c r="B222" s="320" t="str">
        <f t="shared" ref="B222:B232" si="33">D222&amp;"."&amp;C222</f>
        <v>Residential.Rural and Remote Rate Protection (RRRP)</v>
      </c>
      <c r="C222" s="320" t="s">
        <v>258</v>
      </c>
      <c r="D222" s="306" t="s">
        <v>219</v>
      </c>
      <c r="E222" s="330">
        <v>1.5E-3</v>
      </c>
      <c r="F222" s="332">
        <v>1.5E-3</v>
      </c>
      <c r="G222" s="332">
        <v>1.5E-3</v>
      </c>
      <c r="H222" s="332">
        <v>1.5E-3</v>
      </c>
      <c r="I222" s="332">
        <v>1.5E-3</v>
      </c>
      <c r="J222" s="332">
        <v>1.5E-3</v>
      </c>
      <c r="K222" s="3"/>
      <c r="L222" s="3"/>
      <c r="M222" s="3"/>
      <c r="N222" s="3"/>
      <c r="O222" s="3"/>
      <c r="P222" s="3"/>
      <c r="Q222" s="3"/>
      <c r="R222" s="3"/>
      <c r="S222" s="3"/>
      <c r="T222" s="3"/>
      <c r="U222" s="3"/>
      <c r="V222" s="3"/>
      <c r="W222" s="3"/>
      <c r="X222" s="3"/>
      <c r="Y222" s="3"/>
      <c r="Z222" s="3"/>
    </row>
    <row r="223" spans="1:26" ht="12" customHeight="1">
      <c r="A223" s="52" t="s">
        <v>46</v>
      </c>
      <c r="B223" s="320" t="str">
        <f t="shared" si="33"/>
        <v>General Service &lt; 50 kW.Rural and Remote Rate Protection (RRRP)</v>
      </c>
      <c r="C223" s="320" t="s">
        <v>258</v>
      </c>
      <c r="D223" s="306" t="s">
        <v>220</v>
      </c>
      <c r="E223" s="330">
        <v>1.5E-3</v>
      </c>
      <c r="F223" s="332">
        <v>1.5E-3</v>
      </c>
      <c r="G223" s="332">
        <v>1.5E-3</v>
      </c>
      <c r="H223" s="332">
        <v>1.5E-3</v>
      </c>
      <c r="I223" s="332">
        <v>1.5E-3</v>
      </c>
      <c r="J223" s="332">
        <v>1.5E-3</v>
      </c>
      <c r="K223" s="3"/>
      <c r="L223" s="3"/>
      <c r="M223" s="3"/>
      <c r="N223" s="3"/>
      <c r="O223" s="3"/>
      <c r="P223" s="3"/>
      <c r="Q223" s="3"/>
      <c r="R223" s="3"/>
      <c r="S223" s="3"/>
      <c r="T223" s="3"/>
      <c r="U223" s="3"/>
      <c r="V223" s="3"/>
      <c r="W223" s="3"/>
      <c r="X223" s="3"/>
      <c r="Y223" s="3"/>
      <c r="Z223" s="3"/>
    </row>
    <row r="224" spans="1:26" ht="12" customHeight="1">
      <c r="A224" s="52" t="s">
        <v>46</v>
      </c>
      <c r="B224" s="320" t="str">
        <f t="shared" si="33"/>
        <v>General Service 50 to 1,499 KW.Rural and Remote Rate Protection (RRRP)</v>
      </c>
      <c r="C224" s="320" t="s">
        <v>258</v>
      </c>
      <c r="D224" s="306" t="s">
        <v>221</v>
      </c>
      <c r="E224" s="330">
        <v>1.5E-3</v>
      </c>
      <c r="F224" s="332">
        <v>1.5E-3</v>
      </c>
      <c r="G224" s="332">
        <v>1.5E-3</v>
      </c>
      <c r="H224" s="332">
        <v>1.5E-3</v>
      </c>
      <c r="I224" s="332">
        <v>1.5E-3</v>
      </c>
      <c r="J224" s="332">
        <v>1.5E-3</v>
      </c>
      <c r="K224" s="3"/>
      <c r="L224" s="3"/>
      <c r="M224" s="3"/>
      <c r="N224" s="3"/>
      <c r="O224" s="3"/>
      <c r="P224" s="3"/>
      <c r="Q224" s="3"/>
      <c r="R224" s="3"/>
      <c r="S224" s="3"/>
      <c r="T224" s="3"/>
      <c r="U224" s="3"/>
      <c r="V224" s="3"/>
      <c r="W224" s="3"/>
      <c r="X224" s="3"/>
      <c r="Y224" s="3"/>
      <c r="Z224" s="3"/>
    </row>
    <row r="225" spans="1:26" ht="12" customHeight="1">
      <c r="A225" s="52" t="s">
        <v>46</v>
      </c>
      <c r="B225" s="320" t="str">
        <f t="shared" si="33"/>
        <v>General Service 1,500 to 4,999 KW.Rural and Remote Rate Protection (RRRP)</v>
      </c>
      <c r="C225" s="320" t="s">
        <v>258</v>
      </c>
      <c r="D225" s="306" t="s">
        <v>222</v>
      </c>
      <c r="E225" s="330">
        <v>1.5E-3</v>
      </c>
      <c r="F225" s="332">
        <v>1.5E-3</v>
      </c>
      <c r="G225" s="332">
        <v>1.5E-3</v>
      </c>
      <c r="H225" s="332">
        <v>1.5E-3</v>
      </c>
      <c r="I225" s="332">
        <v>1.5E-3</v>
      </c>
      <c r="J225" s="332">
        <v>1.5E-3</v>
      </c>
      <c r="K225" s="3"/>
      <c r="L225" s="3"/>
      <c r="M225" s="3"/>
      <c r="N225" s="3"/>
      <c r="O225" s="3"/>
      <c r="P225" s="3"/>
      <c r="Q225" s="3"/>
      <c r="R225" s="3"/>
      <c r="S225" s="3"/>
      <c r="T225" s="3"/>
      <c r="U225" s="3"/>
      <c r="V225" s="3"/>
      <c r="W225" s="3"/>
      <c r="X225" s="3"/>
      <c r="Y225" s="3"/>
      <c r="Z225" s="3"/>
    </row>
    <row r="226" spans="1:26" ht="12" customHeight="1">
      <c r="A226" s="52" t="s">
        <v>46</v>
      </c>
      <c r="B226" s="320" t="str">
        <f t="shared" si="33"/>
        <v>Large User.Rural and Remote Rate Protection (RRRP)</v>
      </c>
      <c r="C226" s="320" t="s">
        <v>258</v>
      </c>
      <c r="D226" s="306" t="s">
        <v>223</v>
      </c>
      <c r="E226" s="330">
        <v>1.5E-3</v>
      </c>
      <c r="F226" s="332">
        <v>1.5E-3</v>
      </c>
      <c r="G226" s="332">
        <v>1.5E-3</v>
      </c>
      <c r="H226" s="332">
        <v>1.5E-3</v>
      </c>
      <c r="I226" s="332">
        <v>1.5E-3</v>
      </c>
      <c r="J226" s="332">
        <v>1.5E-3</v>
      </c>
      <c r="K226" s="3"/>
      <c r="L226" s="3"/>
      <c r="M226" s="3"/>
      <c r="N226" s="3"/>
      <c r="O226" s="3"/>
      <c r="P226" s="3"/>
      <c r="Q226" s="3"/>
      <c r="R226" s="3"/>
      <c r="S226" s="3"/>
      <c r="T226" s="3"/>
      <c r="U226" s="3"/>
      <c r="V226" s="3"/>
      <c r="W226" s="3"/>
      <c r="X226" s="3"/>
      <c r="Y226" s="3"/>
      <c r="Z226" s="3"/>
    </row>
    <row r="227" spans="1:26" ht="12" customHeight="1">
      <c r="A227" s="52" t="s">
        <v>46</v>
      </c>
      <c r="B227" s="320" t="str">
        <f t="shared" si="33"/>
        <v>Street Light.Rural and Remote Rate Protection (RRRP)</v>
      </c>
      <c r="C227" s="320" t="s">
        <v>258</v>
      </c>
      <c r="D227" s="306" t="s">
        <v>224</v>
      </c>
      <c r="E227" s="330">
        <v>1.5E-3</v>
      </c>
      <c r="F227" s="332">
        <v>1.5E-3</v>
      </c>
      <c r="G227" s="332">
        <v>1.5E-3</v>
      </c>
      <c r="H227" s="332">
        <v>1.5E-3</v>
      </c>
      <c r="I227" s="332">
        <v>1.5E-3</v>
      </c>
      <c r="J227" s="332">
        <v>1.5E-3</v>
      </c>
      <c r="K227" s="3"/>
      <c r="L227" s="3"/>
      <c r="M227" s="3"/>
      <c r="N227" s="3"/>
      <c r="O227" s="3"/>
      <c r="P227" s="3"/>
      <c r="Q227" s="3"/>
      <c r="R227" s="3"/>
      <c r="S227" s="3"/>
      <c r="T227" s="3"/>
      <c r="U227" s="3"/>
      <c r="V227" s="3"/>
      <c r="W227" s="3"/>
      <c r="X227" s="3"/>
      <c r="Y227" s="3"/>
      <c r="Z227" s="3"/>
    </row>
    <row r="228" spans="1:26" ht="12" customHeight="1">
      <c r="A228" s="52" t="s">
        <v>46</v>
      </c>
      <c r="B228" s="320" t="str">
        <f t="shared" si="33"/>
        <v>Sentinel Lights.Rural and Remote Rate Protection (RRRP)</v>
      </c>
      <c r="C228" s="320" t="s">
        <v>258</v>
      </c>
      <c r="D228" s="306" t="s">
        <v>225</v>
      </c>
      <c r="E228" s="330">
        <v>1.5E-3</v>
      </c>
      <c r="F228" s="332">
        <v>1.5E-3</v>
      </c>
      <c r="G228" s="332">
        <v>1.5E-3</v>
      </c>
      <c r="H228" s="332">
        <v>1.5E-3</v>
      </c>
      <c r="I228" s="332">
        <v>1.5E-3</v>
      </c>
      <c r="J228" s="332">
        <v>1.5E-3</v>
      </c>
      <c r="K228" s="3"/>
      <c r="L228" s="3"/>
      <c r="M228" s="3"/>
      <c r="N228" s="3"/>
      <c r="O228" s="3"/>
      <c r="P228" s="3"/>
      <c r="Q228" s="3"/>
      <c r="R228" s="3"/>
      <c r="S228" s="3"/>
      <c r="T228" s="3"/>
      <c r="U228" s="3"/>
      <c r="V228" s="3"/>
      <c r="W228" s="3"/>
      <c r="X228" s="3"/>
      <c r="Y228" s="3"/>
      <c r="Z228" s="3"/>
    </row>
    <row r="229" spans="1:26" ht="12" customHeight="1">
      <c r="A229" s="52" t="s">
        <v>46</v>
      </c>
      <c r="B229" s="320" t="str">
        <f t="shared" si="33"/>
        <v>Unmetered Scattered Load.Rural and Remote Rate Protection (RRRP)</v>
      </c>
      <c r="C229" s="320" t="s">
        <v>258</v>
      </c>
      <c r="D229" s="306" t="s">
        <v>226</v>
      </c>
      <c r="E229" s="330">
        <v>1.5E-3</v>
      </c>
      <c r="F229" s="332">
        <v>1.5E-3</v>
      </c>
      <c r="G229" s="332">
        <v>1.5E-3</v>
      </c>
      <c r="H229" s="332">
        <v>1.5E-3</v>
      </c>
      <c r="I229" s="332">
        <v>1.5E-3</v>
      </c>
      <c r="J229" s="332">
        <v>1.5E-3</v>
      </c>
      <c r="K229" s="3"/>
      <c r="L229" s="3"/>
      <c r="M229" s="3"/>
      <c r="N229" s="3"/>
      <c r="O229" s="3"/>
      <c r="P229" s="3"/>
      <c r="Q229" s="3"/>
      <c r="R229" s="3"/>
      <c r="S229" s="3"/>
      <c r="T229" s="3"/>
      <c r="U229" s="3"/>
      <c r="V229" s="3"/>
      <c r="W229" s="3"/>
      <c r="X229" s="3"/>
      <c r="Y229" s="3"/>
      <c r="Z229" s="3"/>
    </row>
    <row r="230" spans="1:26" ht="12" customHeight="1">
      <c r="A230" s="52" t="s">
        <v>46</v>
      </c>
      <c r="B230" s="320" t="str">
        <f t="shared" si="33"/>
        <v>Standby Power General Service 50 to 1,499 KW.Rural and Remote Rate Protection (RRRP)</v>
      </c>
      <c r="C230" s="320" t="s">
        <v>258</v>
      </c>
      <c r="D230" s="306" t="s">
        <v>227</v>
      </c>
      <c r="E230" s="330">
        <v>1.5E-3</v>
      </c>
      <c r="F230" s="332">
        <v>1.5E-3</v>
      </c>
      <c r="G230" s="332">
        <v>1.5E-3</v>
      </c>
      <c r="H230" s="332">
        <v>1.5E-3</v>
      </c>
      <c r="I230" s="332">
        <v>1.5E-3</v>
      </c>
      <c r="J230" s="332">
        <v>1.5E-3</v>
      </c>
      <c r="K230" s="3"/>
      <c r="L230" s="3"/>
      <c r="M230" s="3"/>
      <c r="N230" s="3"/>
      <c r="O230" s="3"/>
      <c r="P230" s="3"/>
      <c r="Q230" s="3"/>
      <c r="R230" s="3"/>
      <c r="S230" s="3"/>
      <c r="T230" s="3"/>
      <c r="U230" s="3"/>
      <c r="V230" s="3"/>
      <c r="W230" s="3"/>
      <c r="X230" s="3"/>
      <c r="Y230" s="3"/>
      <c r="Z230" s="3"/>
    </row>
    <row r="231" spans="1:26" ht="12" customHeight="1">
      <c r="A231" s="52" t="s">
        <v>46</v>
      </c>
      <c r="B231" s="320" t="str">
        <f t="shared" si="33"/>
        <v>Standby Power General Service 1,500 to 4,999 KW.Rural and Remote Rate Protection (RRRP)</v>
      </c>
      <c r="C231" s="320" t="s">
        <v>258</v>
      </c>
      <c r="D231" s="306" t="s">
        <v>228</v>
      </c>
      <c r="E231" s="330">
        <v>1.5E-3</v>
      </c>
      <c r="F231" s="332">
        <v>1.5E-3</v>
      </c>
      <c r="G231" s="332">
        <v>1.5E-3</v>
      </c>
      <c r="H231" s="332">
        <v>1.5E-3</v>
      </c>
      <c r="I231" s="332">
        <v>1.5E-3</v>
      </c>
      <c r="J231" s="332">
        <v>1.5E-3</v>
      </c>
      <c r="K231" s="3"/>
      <c r="L231" s="3"/>
      <c r="M231" s="3"/>
      <c r="N231" s="3"/>
      <c r="O231" s="3"/>
      <c r="P231" s="3"/>
      <c r="Q231" s="3"/>
      <c r="R231" s="3"/>
      <c r="S231" s="3"/>
      <c r="T231" s="3"/>
      <c r="U231" s="3"/>
      <c r="V231" s="3"/>
      <c r="W231" s="3"/>
      <c r="X231" s="3"/>
      <c r="Y231" s="3"/>
      <c r="Z231" s="3"/>
    </row>
    <row r="232" spans="1:26" ht="12" customHeight="1">
      <c r="A232" s="52" t="s">
        <v>46</v>
      </c>
      <c r="B232" s="320" t="str">
        <f t="shared" si="33"/>
        <v>Standby Power Large Use.Rural and Remote Rate Protection (RRRP)</v>
      </c>
      <c r="C232" s="320" t="s">
        <v>258</v>
      </c>
      <c r="D232" s="306" t="s">
        <v>229</v>
      </c>
      <c r="E232" s="330">
        <v>1.5E-3</v>
      </c>
      <c r="F232" s="332">
        <v>1.5E-3</v>
      </c>
      <c r="G232" s="332">
        <v>1.5E-3</v>
      </c>
      <c r="H232" s="332">
        <v>1.5E-3</v>
      </c>
      <c r="I232" s="332">
        <v>1.5E-3</v>
      </c>
      <c r="J232" s="332">
        <v>1.5E-3</v>
      </c>
      <c r="K232" s="3"/>
      <c r="L232" s="3"/>
      <c r="M232" s="3"/>
      <c r="N232" s="3"/>
      <c r="O232" s="3"/>
      <c r="P232" s="3"/>
      <c r="Q232" s="3"/>
      <c r="R232" s="3"/>
      <c r="S232" s="3"/>
      <c r="T232" s="3"/>
      <c r="U232" s="3"/>
      <c r="V232" s="3"/>
      <c r="W232" s="3"/>
      <c r="X232" s="3"/>
      <c r="Y232" s="3"/>
      <c r="Z232" s="3"/>
    </row>
    <row r="233" spans="1:26" ht="12" customHeight="1">
      <c r="A233" s="52"/>
      <c r="B233" s="320"/>
      <c r="C233" s="320"/>
      <c r="D233" s="306"/>
      <c r="E233" s="305"/>
      <c r="F233" s="172"/>
      <c r="G233" s="172"/>
      <c r="H233" s="172"/>
      <c r="I233" s="172"/>
      <c r="J233" s="172"/>
      <c r="K233" s="3"/>
      <c r="L233" s="3"/>
      <c r="M233" s="3"/>
      <c r="N233" s="3"/>
      <c r="O233" s="3"/>
      <c r="P233" s="3"/>
      <c r="Q233" s="3"/>
      <c r="R233" s="3"/>
      <c r="S233" s="3"/>
      <c r="T233" s="3"/>
      <c r="U233" s="3"/>
      <c r="V233" s="3"/>
      <c r="W233" s="3"/>
      <c r="X233" s="3"/>
      <c r="Y233" s="3"/>
      <c r="Z233" s="3"/>
    </row>
    <row r="234" spans="1:26" ht="12" customHeight="1">
      <c r="A234" s="3"/>
      <c r="B234" s="306"/>
      <c r="C234" s="3"/>
      <c r="D234" s="3"/>
      <c r="E234" s="3"/>
      <c r="F234" s="3" t="s">
        <v>259</v>
      </c>
      <c r="G234" s="3"/>
      <c r="H234" s="3"/>
      <c r="I234" s="3"/>
      <c r="J234" s="3"/>
      <c r="K234" s="3"/>
      <c r="L234" s="3"/>
      <c r="M234" s="3"/>
      <c r="N234" s="3"/>
      <c r="O234" s="3"/>
      <c r="P234" s="3"/>
      <c r="Q234" s="3"/>
      <c r="R234" s="3"/>
      <c r="S234" s="3"/>
      <c r="T234" s="3"/>
      <c r="U234" s="3"/>
      <c r="V234" s="3"/>
      <c r="W234" s="3"/>
      <c r="X234" s="3"/>
      <c r="Y234" s="3"/>
      <c r="Z234" s="3"/>
    </row>
    <row r="235" spans="1:26" ht="12" customHeight="1">
      <c r="A235" s="3"/>
      <c r="B235" s="52"/>
      <c r="C235" s="317" t="s">
        <v>260</v>
      </c>
      <c r="D235" s="3"/>
      <c r="E235" s="318" t="s">
        <v>215</v>
      </c>
      <c r="F235" s="319" t="str">
        <f t="shared" ref="F235:J235" si="34">F$4</f>
        <v>2026F</v>
      </c>
      <c r="G235" s="319" t="str">
        <f t="shared" si="34"/>
        <v>2027F</v>
      </c>
      <c r="H235" s="319" t="str">
        <f t="shared" si="34"/>
        <v>2028F</v>
      </c>
      <c r="I235" s="319" t="str">
        <f t="shared" si="34"/>
        <v>2029F</v>
      </c>
      <c r="J235" s="319" t="str">
        <f t="shared" si="34"/>
        <v>2030F</v>
      </c>
      <c r="K235" s="3"/>
      <c r="L235" s="3"/>
      <c r="M235" s="3"/>
      <c r="N235" s="3"/>
      <c r="O235" s="3"/>
      <c r="P235" s="3"/>
      <c r="Q235" s="3"/>
      <c r="R235" s="3"/>
      <c r="S235" s="3"/>
      <c r="T235" s="3"/>
      <c r="U235" s="3"/>
      <c r="V235" s="3"/>
      <c r="W235" s="3"/>
      <c r="X235" s="3"/>
      <c r="Y235" s="3"/>
      <c r="Z235" s="3"/>
    </row>
    <row r="236" spans="1:26" ht="12" customHeight="1">
      <c r="A236" s="52" t="s">
        <v>239</v>
      </c>
      <c r="B236" s="320" t="str">
        <f t="shared" ref="B236:B246" si="35">D236&amp;"."&amp;C236</f>
        <v>Residential.Standard Supply Service Charge</v>
      </c>
      <c r="C236" s="320" t="s">
        <v>260</v>
      </c>
      <c r="D236" s="306" t="s">
        <v>219</v>
      </c>
      <c r="E236" s="330">
        <v>0.25</v>
      </c>
      <c r="F236" s="332">
        <v>1.51</v>
      </c>
      <c r="G236" s="332">
        <v>1.54</v>
      </c>
      <c r="H236" s="332">
        <v>1.57</v>
      </c>
      <c r="I236" s="332">
        <v>1.6</v>
      </c>
      <c r="J236" s="332">
        <v>1.63</v>
      </c>
      <c r="K236" s="3"/>
      <c r="L236" s="3"/>
      <c r="M236" s="3"/>
      <c r="N236" s="3"/>
      <c r="O236" s="3"/>
      <c r="P236" s="3"/>
      <c r="Q236" s="3"/>
      <c r="R236" s="3"/>
      <c r="S236" s="3"/>
      <c r="T236" s="3"/>
      <c r="U236" s="3"/>
      <c r="V236" s="3"/>
      <c r="W236" s="3"/>
      <c r="X236" s="3"/>
      <c r="Y236" s="3"/>
      <c r="Z236" s="3"/>
    </row>
    <row r="237" spans="1:26" ht="12" customHeight="1">
      <c r="A237" s="52" t="s">
        <v>239</v>
      </c>
      <c r="B237" s="320" t="str">
        <f t="shared" si="35"/>
        <v>General Service &lt; 50 kW.Standard Supply Service Charge</v>
      </c>
      <c r="C237" s="320" t="s">
        <v>260</v>
      </c>
      <c r="D237" s="306" t="s">
        <v>220</v>
      </c>
      <c r="E237" s="330">
        <v>0.25</v>
      </c>
      <c r="F237" s="332">
        <v>1.51</v>
      </c>
      <c r="G237" s="332">
        <v>1.54</v>
      </c>
      <c r="H237" s="332">
        <v>1.57</v>
      </c>
      <c r="I237" s="332">
        <v>1.6</v>
      </c>
      <c r="J237" s="332">
        <v>1.63</v>
      </c>
      <c r="K237" s="3"/>
      <c r="L237" s="3"/>
      <c r="M237" s="3"/>
      <c r="N237" s="3"/>
      <c r="O237" s="3"/>
      <c r="P237" s="3"/>
      <c r="Q237" s="3"/>
      <c r="R237" s="3"/>
      <c r="S237" s="3"/>
      <c r="T237" s="3"/>
      <c r="U237" s="3"/>
      <c r="V237" s="3"/>
      <c r="W237" s="3"/>
      <c r="X237" s="3"/>
      <c r="Y237" s="3"/>
      <c r="Z237" s="3"/>
    </row>
    <row r="238" spans="1:26" ht="12" customHeight="1">
      <c r="A238" s="52" t="s">
        <v>239</v>
      </c>
      <c r="B238" s="320" t="str">
        <f t="shared" si="35"/>
        <v>General Service 50 to 1,499 KW.Standard Supply Service Charge</v>
      </c>
      <c r="C238" s="320" t="s">
        <v>260</v>
      </c>
      <c r="D238" s="306" t="s">
        <v>221</v>
      </c>
      <c r="E238" s="330">
        <v>0.25</v>
      </c>
      <c r="F238" s="332">
        <v>1.51</v>
      </c>
      <c r="G238" s="332">
        <v>1.54</v>
      </c>
      <c r="H238" s="332">
        <v>1.57</v>
      </c>
      <c r="I238" s="332">
        <v>1.6</v>
      </c>
      <c r="J238" s="332">
        <v>1.63</v>
      </c>
      <c r="K238" s="3"/>
      <c r="L238" s="3"/>
      <c r="M238" s="3"/>
      <c r="N238" s="3"/>
      <c r="O238" s="3"/>
      <c r="P238" s="3"/>
      <c r="Q238" s="3"/>
      <c r="R238" s="3"/>
      <c r="S238" s="3"/>
      <c r="T238" s="3"/>
      <c r="U238" s="3"/>
      <c r="V238" s="3"/>
      <c r="W238" s="3"/>
      <c r="X238" s="3"/>
      <c r="Y238" s="3"/>
      <c r="Z238" s="3"/>
    </row>
    <row r="239" spans="1:26" ht="12" customHeight="1">
      <c r="A239" s="52" t="s">
        <v>239</v>
      </c>
      <c r="B239" s="320" t="str">
        <f t="shared" si="35"/>
        <v>General Service 1,500 to 4,999 KW.Standard Supply Service Charge</v>
      </c>
      <c r="C239" s="320" t="s">
        <v>260</v>
      </c>
      <c r="D239" s="306" t="s">
        <v>222</v>
      </c>
      <c r="E239" s="330">
        <v>0.25</v>
      </c>
      <c r="F239" s="332">
        <v>1.51</v>
      </c>
      <c r="G239" s="332">
        <v>1.54</v>
      </c>
      <c r="H239" s="332">
        <v>1.57</v>
      </c>
      <c r="I239" s="332">
        <v>1.6</v>
      </c>
      <c r="J239" s="332">
        <v>1.63</v>
      </c>
      <c r="K239" s="3"/>
      <c r="L239" s="3"/>
      <c r="M239" s="3"/>
      <c r="N239" s="3"/>
      <c r="O239" s="3"/>
      <c r="P239" s="3"/>
      <c r="Q239" s="3"/>
      <c r="R239" s="3"/>
      <c r="S239" s="3"/>
      <c r="T239" s="3"/>
      <c r="U239" s="3"/>
      <c r="V239" s="3"/>
      <c r="W239" s="3"/>
      <c r="X239" s="3"/>
      <c r="Y239" s="3"/>
      <c r="Z239" s="3"/>
    </row>
    <row r="240" spans="1:26" ht="12" customHeight="1">
      <c r="A240" s="52" t="s">
        <v>239</v>
      </c>
      <c r="B240" s="320" t="str">
        <f t="shared" si="35"/>
        <v>Large User.Standard Supply Service Charge</v>
      </c>
      <c r="C240" s="320" t="s">
        <v>260</v>
      </c>
      <c r="D240" s="306" t="s">
        <v>223</v>
      </c>
      <c r="E240" s="330">
        <v>0.25</v>
      </c>
      <c r="F240" s="332">
        <v>1.51</v>
      </c>
      <c r="G240" s="332">
        <v>1.54</v>
      </c>
      <c r="H240" s="332">
        <v>1.57</v>
      </c>
      <c r="I240" s="332">
        <v>1.6</v>
      </c>
      <c r="J240" s="332">
        <v>1.63</v>
      </c>
      <c r="K240" s="3"/>
      <c r="L240" s="3"/>
      <c r="M240" s="3"/>
      <c r="N240" s="3"/>
      <c r="O240" s="3"/>
      <c r="P240" s="3"/>
      <c r="Q240" s="3"/>
      <c r="R240" s="3"/>
      <c r="S240" s="3"/>
      <c r="T240" s="3"/>
      <c r="U240" s="3"/>
      <c r="V240" s="3"/>
      <c r="W240" s="3"/>
      <c r="X240" s="3"/>
      <c r="Y240" s="3"/>
      <c r="Z240" s="3"/>
    </row>
    <row r="241" spans="1:26" ht="12" customHeight="1">
      <c r="A241" s="52" t="s">
        <v>239</v>
      </c>
      <c r="B241" s="320" t="str">
        <f t="shared" si="35"/>
        <v>Street Light.Standard Supply Service Charge</v>
      </c>
      <c r="C241" s="320" t="s">
        <v>260</v>
      </c>
      <c r="D241" s="306" t="s">
        <v>224</v>
      </c>
      <c r="E241" s="330">
        <v>0.25</v>
      </c>
      <c r="F241" s="332">
        <v>1.51</v>
      </c>
      <c r="G241" s="332">
        <v>1.54</v>
      </c>
      <c r="H241" s="332">
        <v>1.57</v>
      </c>
      <c r="I241" s="332">
        <v>1.6</v>
      </c>
      <c r="J241" s="332">
        <v>1.63</v>
      </c>
      <c r="K241" s="3"/>
      <c r="L241" s="3"/>
      <c r="M241" s="3"/>
      <c r="N241" s="3"/>
      <c r="O241" s="3"/>
      <c r="P241" s="3"/>
      <c r="Q241" s="3"/>
      <c r="R241" s="3"/>
      <c r="S241" s="3"/>
      <c r="T241" s="3"/>
      <c r="U241" s="3"/>
      <c r="V241" s="3"/>
      <c r="W241" s="3"/>
      <c r="X241" s="3"/>
      <c r="Y241" s="3"/>
      <c r="Z241" s="3"/>
    </row>
    <row r="242" spans="1:26" ht="12" customHeight="1">
      <c r="A242" s="52" t="s">
        <v>239</v>
      </c>
      <c r="B242" s="320" t="str">
        <f t="shared" si="35"/>
        <v>Sentinel Lights.Standard Supply Service Charge</v>
      </c>
      <c r="C242" s="320" t="s">
        <v>260</v>
      </c>
      <c r="D242" s="306" t="s">
        <v>225</v>
      </c>
      <c r="E242" s="330">
        <v>0.25</v>
      </c>
      <c r="F242" s="332">
        <v>1.51</v>
      </c>
      <c r="G242" s="332">
        <v>1.54</v>
      </c>
      <c r="H242" s="332">
        <v>1.57</v>
      </c>
      <c r="I242" s="332">
        <v>1.6</v>
      </c>
      <c r="J242" s="332">
        <v>1.63</v>
      </c>
      <c r="K242" s="3"/>
      <c r="L242" s="3"/>
      <c r="M242" s="3"/>
      <c r="N242" s="3"/>
      <c r="O242" s="3"/>
      <c r="P242" s="3"/>
      <c r="Q242" s="3"/>
      <c r="R242" s="3"/>
      <c r="S242" s="3"/>
      <c r="T242" s="3"/>
      <c r="U242" s="3"/>
      <c r="V242" s="3"/>
      <c r="W242" s="3"/>
      <c r="X242" s="3"/>
      <c r="Y242" s="3"/>
      <c r="Z242" s="3"/>
    </row>
    <row r="243" spans="1:26" ht="12" customHeight="1">
      <c r="A243" s="52" t="s">
        <v>239</v>
      </c>
      <c r="B243" s="320" t="str">
        <f t="shared" si="35"/>
        <v>Unmetered Scattered Load.Standard Supply Service Charge</v>
      </c>
      <c r="C243" s="320" t="s">
        <v>260</v>
      </c>
      <c r="D243" s="306" t="s">
        <v>226</v>
      </c>
      <c r="E243" s="330">
        <v>0.25</v>
      </c>
      <c r="F243" s="332">
        <v>1.51</v>
      </c>
      <c r="G243" s="332">
        <v>1.54</v>
      </c>
      <c r="H243" s="332">
        <v>1.57</v>
      </c>
      <c r="I243" s="332">
        <v>1.6</v>
      </c>
      <c r="J243" s="332">
        <v>1.63</v>
      </c>
      <c r="K243" s="3"/>
      <c r="L243" s="3"/>
      <c r="M243" s="3"/>
      <c r="N243" s="3"/>
      <c r="O243" s="3"/>
      <c r="P243" s="3"/>
      <c r="Q243" s="3"/>
      <c r="R243" s="3"/>
      <c r="S243" s="3"/>
      <c r="T243" s="3"/>
      <c r="U243" s="3"/>
      <c r="V243" s="3"/>
      <c r="W243" s="3"/>
      <c r="X243" s="3"/>
      <c r="Y243" s="3"/>
      <c r="Z243" s="3"/>
    </row>
    <row r="244" spans="1:26" ht="12" customHeight="1">
      <c r="A244" s="52" t="s">
        <v>239</v>
      </c>
      <c r="B244" s="320" t="str">
        <f t="shared" si="35"/>
        <v>Standby Power General Service 50 to 1,499 KW.Standard Supply Service Charge</v>
      </c>
      <c r="C244" s="320" t="s">
        <v>260</v>
      </c>
      <c r="D244" s="306" t="s">
        <v>227</v>
      </c>
      <c r="E244" s="330">
        <v>0.25</v>
      </c>
      <c r="F244" s="332">
        <v>1.51</v>
      </c>
      <c r="G244" s="332">
        <v>1.54</v>
      </c>
      <c r="H244" s="332">
        <v>1.57</v>
      </c>
      <c r="I244" s="332">
        <v>1.6</v>
      </c>
      <c r="J244" s="332">
        <v>1.63</v>
      </c>
      <c r="K244" s="3"/>
      <c r="L244" s="3"/>
      <c r="M244" s="3"/>
      <c r="N244" s="3"/>
      <c r="O244" s="3"/>
      <c r="P244" s="3"/>
      <c r="Q244" s="3"/>
      <c r="R244" s="3"/>
      <c r="S244" s="3"/>
      <c r="T244" s="3"/>
      <c r="U244" s="3"/>
      <c r="V244" s="3"/>
      <c r="W244" s="3"/>
      <c r="X244" s="3"/>
      <c r="Y244" s="3"/>
      <c r="Z244" s="3"/>
    </row>
    <row r="245" spans="1:26" ht="12" customHeight="1">
      <c r="A245" s="52" t="s">
        <v>239</v>
      </c>
      <c r="B245" s="320" t="str">
        <f t="shared" si="35"/>
        <v>Standby Power General Service 1,500 to 4,999 KW.Standard Supply Service Charge</v>
      </c>
      <c r="C245" s="320" t="s">
        <v>260</v>
      </c>
      <c r="D245" s="306" t="s">
        <v>228</v>
      </c>
      <c r="E245" s="330">
        <v>0.25</v>
      </c>
      <c r="F245" s="332">
        <v>1.51</v>
      </c>
      <c r="G245" s="332">
        <v>1.54</v>
      </c>
      <c r="H245" s="332">
        <v>1.57</v>
      </c>
      <c r="I245" s="332">
        <v>1.6</v>
      </c>
      <c r="J245" s="332">
        <v>1.63</v>
      </c>
      <c r="K245" s="3"/>
      <c r="L245" s="3"/>
      <c r="M245" s="3"/>
      <c r="N245" s="3"/>
      <c r="O245" s="3"/>
      <c r="P245" s="3"/>
      <c r="Q245" s="3"/>
      <c r="R245" s="3"/>
      <c r="S245" s="3"/>
      <c r="T245" s="3"/>
      <c r="U245" s="3"/>
      <c r="V245" s="3"/>
      <c r="W245" s="3"/>
      <c r="X245" s="3"/>
      <c r="Y245" s="3"/>
      <c r="Z245" s="3"/>
    </row>
    <row r="246" spans="1:26" ht="12" customHeight="1">
      <c r="A246" s="52" t="s">
        <v>239</v>
      </c>
      <c r="B246" s="320" t="str">
        <f t="shared" si="35"/>
        <v>Standby Power Large Use.Standard Supply Service Charge</v>
      </c>
      <c r="C246" s="320" t="s">
        <v>260</v>
      </c>
      <c r="D246" s="306" t="s">
        <v>229</v>
      </c>
      <c r="E246" s="330">
        <v>0.25</v>
      </c>
      <c r="F246" s="332">
        <v>1.51</v>
      </c>
      <c r="G246" s="332">
        <v>1.54</v>
      </c>
      <c r="H246" s="332">
        <v>1.57</v>
      </c>
      <c r="I246" s="332">
        <v>1.6</v>
      </c>
      <c r="J246" s="332">
        <v>1.63</v>
      </c>
      <c r="K246" s="3"/>
      <c r="L246" s="3"/>
      <c r="M246" s="3"/>
      <c r="N246" s="3"/>
      <c r="O246" s="3"/>
      <c r="P246" s="3"/>
      <c r="Q246" s="3"/>
      <c r="R246" s="3"/>
      <c r="S246" s="3"/>
      <c r="T246" s="3"/>
      <c r="U246" s="3"/>
      <c r="V246" s="3"/>
      <c r="W246" s="3"/>
      <c r="X246" s="3"/>
      <c r="Y246" s="3"/>
      <c r="Z246" s="3"/>
    </row>
    <row r="247" spans="1:26" ht="12" customHeight="1">
      <c r="A247" s="52"/>
      <c r="B247" s="52"/>
      <c r="C247" s="52"/>
      <c r="D247" s="306"/>
      <c r="E247" s="354"/>
      <c r="F247" s="340"/>
      <c r="G247" s="355"/>
      <c r="H247" s="340"/>
      <c r="I247" s="340"/>
      <c r="J247" s="340"/>
      <c r="K247" s="3"/>
      <c r="L247" s="3"/>
      <c r="M247" s="3"/>
      <c r="N247" s="3"/>
      <c r="O247" s="3"/>
      <c r="P247" s="3"/>
      <c r="Q247" s="3"/>
      <c r="R247" s="3"/>
      <c r="S247" s="3"/>
      <c r="T247" s="3"/>
      <c r="U247" s="3"/>
      <c r="V247" s="3"/>
      <c r="W247" s="3"/>
      <c r="X247" s="3"/>
      <c r="Y247" s="3"/>
      <c r="Z247" s="3"/>
    </row>
    <row r="248" spans="1:26" ht="12" customHeight="1">
      <c r="A248" s="52"/>
      <c r="B248" s="306"/>
      <c r="C248" s="317" t="s">
        <v>261</v>
      </c>
      <c r="D248" s="3"/>
      <c r="E248" s="318" t="s">
        <v>215</v>
      </c>
      <c r="F248" s="319" t="str">
        <f t="shared" ref="F248:J248" si="36">F$4</f>
        <v>2026F</v>
      </c>
      <c r="G248" s="319" t="str">
        <f t="shared" si="36"/>
        <v>2027F</v>
      </c>
      <c r="H248" s="319" t="str">
        <f t="shared" si="36"/>
        <v>2028F</v>
      </c>
      <c r="I248" s="319" t="str">
        <f t="shared" si="36"/>
        <v>2029F</v>
      </c>
      <c r="J248" s="319" t="str">
        <f t="shared" si="36"/>
        <v>2030F</v>
      </c>
      <c r="K248" s="356" t="s">
        <v>100</v>
      </c>
      <c r="L248" s="3"/>
      <c r="M248" s="3"/>
      <c r="N248" s="3"/>
      <c r="O248" s="3"/>
      <c r="P248" s="3"/>
      <c r="Q248" s="3"/>
      <c r="R248" s="3"/>
      <c r="S248" s="3"/>
      <c r="T248" s="3"/>
      <c r="U248" s="3"/>
      <c r="V248" s="3"/>
      <c r="W248" s="3"/>
      <c r="X248" s="3"/>
      <c r="Y248" s="3"/>
      <c r="Z248" s="3"/>
    </row>
    <row r="249" spans="1:26" ht="12" customHeight="1">
      <c r="A249" s="52"/>
      <c r="B249" s="320" t="str">
        <f t="shared" ref="B249:B255" si="37">D249&amp;"."&amp;C249</f>
        <v>TOU - Off Peak.TOU - Off Peak</v>
      </c>
      <c r="C249" s="320" t="s">
        <v>262</v>
      </c>
      <c r="D249" s="306" t="s">
        <v>262</v>
      </c>
      <c r="E249" s="330">
        <v>9.8000000000000004E-2</v>
      </c>
      <c r="F249" s="332">
        <v>9.8000000000000004E-2</v>
      </c>
      <c r="G249" s="332">
        <v>9.8000000000000004E-2</v>
      </c>
      <c r="H249" s="332">
        <v>9.8000000000000004E-2</v>
      </c>
      <c r="I249" s="332">
        <v>9.8000000000000004E-2</v>
      </c>
      <c r="J249" s="332">
        <v>9.8000000000000004E-2</v>
      </c>
      <c r="K249" s="357">
        <v>0.64</v>
      </c>
      <c r="L249" s="3"/>
      <c r="M249" s="3"/>
      <c r="N249" s="3"/>
      <c r="O249" s="3"/>
      <c r="P249" s="3"/>
      <c r="Q249" s="3"/>
      <c r="R249" s="3"/>
      <c r="S249" s="3"/>
      <c r="T249" s="3"/>
      <c r="U249" s="3"/>
      <c r="V249" s="3"/>
      <c r="W249" s="3"/>
      <c r="X249" s="3"/>
      <c r="Y249" s="3"/>
      <c r="Z249" s="3"/>
    </row>
    <row r="250" spans="1:26" ht="12" customHeight="1">
      <c r="A250" s="52"/>
      <c r="B250" s="320" t="str">
        <f t="shared" si="37"/>
        <v>TOU - Mid Peak.TOU - Mid Peak</v>
      </c>
      <c r="C250" s="320" t="s">
        <v>263</v>
      </c>
      <c r="D250" s="306" t="s">
        <v>263</v>
      </c>
      <c r="E250" s="330">
        <v>0.157</v>
      </c>
      <c r="F250" s="332">
        <v>0.157</v>
      </c>
      <c r="G250" s="332">
        <v>0.157</v>
      </c>
      <c r="H250" s="332">
        <v>0.157</v>
      </c>
      <c r="I250" s="332">
        <v>0.157</v>
      </c>
      <c r="J250" s="332">
        <v>0.157</v>
      </c>
      <c r="K250" s="357">
        <v>0.18</v>
      </c>
      <c r="L250" s="3"/>
      <c r="M250" s="3"/>
      <c r="N250" s="3"/>
      <c r="O250" s="3"/>
      <c r="P250" s="3"/>
      <c r="Q250" s="3"/>
      <c r="R250" s="3"/>
      <c r="S250" s="3"/>
      <c r="T250" s="3"/>
      <c r="U250" s="3"/>
      <c r="V250" s="3"/>
      <c r="W250" s="3"/>
      <c r="X250" s="3"/>
      <c r="Y250" s="3"/>
      <c r="Z250" s="3"/>
    </row>
    <row r="251" spans="1:26" ht="12" customHeight="1">
      <c r="A251" s="52"/>
      <c r="B251" s="320" t="str">
        <f t="shared" si="37"/>
        <v>TOU - On Peak.TOU - On Peak</v>
      </c>
      <c r="C251" s="320" t="s">
        <v>264</v>
      </c>
      <c r="D251" s="306" t="s">
        <v>264</v>
      </c>
      <c r="E251" s="330">
        <v>0.20300000000000001</v>
      </c>
      <c r="F251" s="332">
        <v>0.20300000000000001</v>
      </c>
      <c r="G251" s="332">
        <v>0.20300000000000001</v>
      </c>
      <c r="H251" s="332">
        <v>0.20300000000000001</v>
      </c>
      <c r="I251" s="332">
        <v>0.20300000000000001</v>
      </c>
      <c r="J251" s="332">
        <v>0.20300000000000001</v>
      </c>
      <c r="K251" s="357">
        <v>0.18</v>
      </c>
      <c r="L251" s="3"/>
      <c r="M251" s="3"/>
      <c r="N251" s="3"/>
      <c r="O251" s="3"/>
      <c r="P251" s="3"/>
      <c r="Q251" s="3"/>
      <c r="R251" s="3"/>
      <c r="S251" s="3"/>
      <c r="T251" s="3"/>
      <c r="U251" s="3"/>
      <c r="V251" s="3"/>
      <c r="W251" s="3"/>
      <c r="X251" s="3"/>
      <c r="Y251" s="3"/>
      <c r="Z251" s="3"/>
    </row>
    <row r="252" spans="1:26" ht="12" customHeight="1">
      <c r="A252" s="52"/>
      <c r="B252" s="320" t="str">
        <f t="shared" si="37"/>
        <v>.</v>
      </c>
      <c r="C252" s="320"/>
      <c r="D252" s="306"/>
      <c r="E252" s="3"/>
      <c r="F252" s="52"/>
      <c r="G252" s="52"/>
      <c r="H252" s="52"/>
      <c r="I252" s="52"/>
      <c r="J252" s="52"/>
      <c r="K252" s="3"/>
      <c r="L252" s="3"/>
      <c r="M252" s="3"/>
      <c r="N252" s="3"/>
      <c r="O252" s="3"/>
      <c r="P252" s="3"/>
      <c r="Q252" s="3"/>
      <c r="R252" s="3"/>
      <c r="S252" s="3"/>
      <c r="T252" s="3"/>
      <c r="U252" s="3"/>
      <c r="V252" s="3"/>
      <c r="W252" s="3"/>
      <c r="X252" s="3"/>
      <c r="Y252" s="3"/>
      <c r="Z252" s="3"/>
    </row>
    <row r="253" spans="1:26" ht="12" customHeight="1">
      <c r="A253" s="52"/>
      <c r="B253" s="320" t="str">
        <f t="shared" si="37"/>
        <v>Energy - RPP - Tier 1.</v>
      </c>
      <c r="C253" s="320"/>
      <c r="D253" s="306" t="s">
        <v>265</v>
      </c>
      <c r="E253" s="330">
        <v>0.12</v>
      </c>
      <c r="F253" s="332">
        <v>0.12</v>
      </c>
      <c r="G253" s="332">
        <v>0.12</v>
      </c>
      <c r="H253" s="332">
        <v>0.12</v>
      </c>
      <c r="I253" s="332">
        <v>0.12</v>
      </c>
      <c r="J253" s="332">
        <v>0.12</v>
      </c>
      <c r="K253" s="3"/>
      <c r="L253" s="3"/>
      <c r="M253" s="3"/>
      <c r="N253" s="3"/>
      <c r="O253" s="3"/>
      <c r="P253" s="3"/>
      <c r="Q253" s="3"/>
      <c r="R253" s="3"/>
      <c r="S253" s="3"/>
      <c r="T253" s="3"/>
      <c r="U253" s="3"/>
      <c r="V253" s="3"/>
      <c r="W253" s="3"/>
      <c r="X253" s="3"/>
      <c r="Y253" s="3"/>
      <c r="Z253" s="3"/>
    </row>
    <row r="254" spans="1:26" ht="12" customHeight="1">
      <c r="A254" s="52"/>
      <c r="B254" s="320" t="str">
        <f t="shared" si="37"/>
        <v>Energy - RPP - Tier 2.</v>
      </c>
      <c r="C254" s="320"/>
      <c r="D254" s="306" t="s">
        <v>266</v>
      </c>
      <c r="E254" s="330">
        <v>0.14199999999999999</v>
      </c>
      <c r="F254" s="332">
        <v>0.14199999999999999</v>
      </c>
      <c r="G254" s="332">
        <v>0.14199999999999999</v>
      </c>
      <c r="H254" s="332">
        <v>0.14199999999999999</v>
      </c>
      <c r="I254" s="332">
        <v>0.14199999999999999</v>
      </c>
      <c r="J254" s="332">
        <v>0.14199999999999999</v>
      </c>
      <c r="K254" s="3"/>
      <c r="L254" s="3"/>
      <c r="M254" s="3"/>
      <c r="N254" s="3"/>
      <c r="O254" s="3"/>
      <c r="P254" s="3"/>
      <c r="Q254" s="3"/>
      <c r="R254" s="3"/>
      <c r="S254" s="3"/>
      <c r="T254" s="3"/>
      <c r="U254" s="3"/>
      <c r="V254" s="3"/>
      <c r="W254" s="3"/>
      <c r="X254" s="3"/>
      <c r="Y254" s="3"/>
      <c r="Z254" s="3"/>
    </row>
    <row r="255" spans="1:26" ht="12" customHeight="1">
      <c r="A255" s="52"/>
      <c r="B255" s="320" t="str">
        <f t="shared" si="37"/>
        <v>.</v>
      </c>
      <c r="C255" s="320"/>
      <c r="D255" s="306"/>
      <c r="E255" s="3"/>
      <c r="F255" s="52"/>
      <c r="G255" s="52"/>
      <c r="H255" s="52"/>
      <c r="I255" s="52"/>
      <c r="J255" s="52"/>
      <c r="K255" s="3"/>
      <c r="L255" s="3"/>
      <c r="M255" s="3"/>
      <c r="N255" s="3"/>
      <c r="O255" s="3"/>
      <c r="P255" s="3"/>
      <c r="Q255" s="3"/>
      <c r="R255" s="3"/>
      <c r="S255" s="3"/>
      <c r="T255" s="3"/>
      <c r="U255" s="3"/>
      <c r="V255" s="3"/>
      <c r="W255" s="3"/>
      <c r="X255" s="3"/>
      <c r="Y255" s="3"/>
      <c r="Z255" s="3"/>
    </row>
    <row r="256" spans="1:26" ht="12" customHeight="1">
      <c r="A256" s="52"/>
      <c r="B256" s="320" t="s">
        <v>267</v>
      </c>
      <c r="C256" s="320" t="s">
        <v>267</v>
      </c>
      <c r="D256" s="306" t="s">
        <v>267</v>
      </c>
      <c r="E256" s="330">
        <v>0.1045</v>
      </c>
      <c r="F256" s="332">
        <v>0.1045</v>
      </c>
      <c r="G256" s="332">
        <v>0.1045</v>
      </c>
      <c r="H256" s="332">
        <v>0.1045</v>
      </c>
      <c r="I256" s="332">
        <v>0.1045</v>
      </c>
      <c r="J256" s="332">
        <v>0.1045</v>
      </c>
      <c r="K256" s="3"/>
      <c r="L256" s="3"/>
      <c r="M256" s="3"/>
      <c r="N256" s="3"/>
      <c r="O256" s="3"/>
      <c r="P256" s="3"/>
      <c r="Q256" s="3"/>
      <c r="R256" s="3"/>
      <c r="S256" s="3"/>
      <c r="T256" s="3"/>
      <c r="U256" s="3"/>
      <c r="V256" s="3"/>
      <c r="W256" s="3"/>
      <c r="X256" s="3"/>
      <c r="Y256" s="3"/>
      <c r="Z256" s="3"/>
    </row>
    <row r="257" spans="1:26" ht="12" customHeight="1">
      <c r="A257" s="52"/>
      <c r="B257" s="358"/>
      <c r="C257" s="52"/>
      <c r="D257" s="306"/>
      <c r="E257" s="3"/>
      <c r="F257" s="3"/>
      <c r="G257" s="3"/>
      <c r="H257" s="3"/>
      <c r="I257" s="3"/>
      <c r="J257" s="3"/>
      <c r="K257" s="3"/>
      <c r="L257" s="3"/>
      <c r="M257" s="3"/>
      <c r="N257" s="3"/>
      <c r="O257" s="3"/>
      <c r="P257" s="3"/>
      <c r="Q257" s="3"/>
      <c r="R257" s="3"/>
      <c r="S257" s="3"/>
      <c r="T257" s="3"/>
      <c r="U257" s="3"/>
      <c r="V257" s="3"/>
      <c r="W257" s="3"/>
      <c r="X257" s="3"/>
      <c r="Y257" s="3"/>
      <c r="Z257" s="3"/>
    </row>
    <row r="258" spans="1:26" ht="12" customHeight="1">
      <c r="A258" s="52"/>
      <c r="B258" s="306"/>
      <c r="C258" s="3"/>
      <c r="D258" s="3"/>
      <c r="E258" s="3"/>
      <c r="F258" s="352"/>
      <c r="G258" s="3"/>
      <c r="H258" s="352"/>
      <c r="I258" s="52"/>
      <c r="J258" s="52"/>
      <c r="K258" s="52"/>
      <c r="L258" s="3"/>
      <c r="M258" s="3"/>
      <c r="N258" s="3"/>
      <c r="O258" s="3"/>
      <c r="P258" s="3"/>
      <c r="Q258" s="3"/>
      <c r="R258" s="3"/>
      <c r="S258" s="3"/>
      <c r="T258" s="3"/>
      <c r="U258" s="3"/>
      <c r="V258" s="3"/>
      <c r="W258" s="3"/>
      <c r="X258" s="3"/>
      <c r="Y258" s="3"/>
      <c r="Z258" s="3"/>
    </row>
    <row r="259" spans="1:26" ht="12" customHeight="1">
      <c r="A259" s="52"/>
      <c r="B259" s="52"/>
      <c r="C259" s="317" t="s">
        <v>268</v>
      </c>
      <c r="D259" s="3"/>
      <c r="E259" s="318" t="s">
        <v>215</v>
      </c>
      <c r="F259" s="319" t="str">
        <f t="shared" ref="F259:J259" si="38">F$4</f>
        <v>2026F</v>
      </c>
      <c r="G259" s="319" t="str">
        <f t="shared" si="38"/>
        <v>2027F</v>
      </c>
      <c r="H259" s="319" t="str">
        <f t="shared" si="38"/>
        <v>2028F</v>
      </c>
      <c r="I259" s="319" t="str">
        <f t="shared" si="38"/>
        <v>2029F</v>
      </c>
      <c r="J259" s="319" t="str">
        <f t="shared" si="38"/>
        <v>2030F</v>
      </c>
      <c r="K259" s="3"/>
      <c r="L259" s="3"/>
      <c r="M259" s="3"/>
      <c r="N259" s="3"/>
      <c r="O259" s="3"/>
      <c r="P259" s="3"/>
      <c r="Q259" s="3"/>
      <c r="R259" s="3"/>
      <c r="S259" s="3"/>
      <c r="T259" s="3"/>
      <c r="U259" s="3"/>
      <c r="V259" s="3"/>
      <c r="W259" s="3"/>
      <c r="X259" s="3"/>
      <c r="Y259" s="3"/>
      <c r="Z259" s="3"/>
    </row>
    <row r="260" spans="1:26" ht="12" customHeight="1">
      <c r="A260" s="52"/>
      <c r="B260" s="320" t="str">
        <f t="shared" ref="B260:B270" si="39">D260&amp;"."&amp;C260</f>
        <v>Residential.Low Voltage Service Charge</v>
      </c>
      <c r="C260" s="320" t="s">
        <v>269</v>
      </c>
      <c r="D260" s="306" t="s">
        <v>219</v>
      </c>
      <c r="E260" s="359">
        <v>5.0000000000000002E-5</v>
      </c>
      <c r="F260" s="343">
        <v>6.9999999999999994E-5</v>
      </c>
      <c r="G260" s="343">
        <v>6.9999999999999994E-5</v>
      </c>
      <c r="H260" s="343">
        <v>8.0000000000000007E-5</v>
      </c>
      <c r="I260" s="343">
        <v>8.0000000000000007E-5</v>
      </c>
      <c r="J260" s="343">
        <v>8.0000000000000007E-5</v>
      </c>
      <c r="K260" s="3"/>
      <c r="Q260" s="3"/>
      <c r="R260" s="3"/>
      <c r="S260" s="3"/>
      <c r="T260" s="3"/>
      <c r="U260" s="3"/>
      <c r="V260" s="3"/>
      <c r="W260" s="3"/>
      <c r="X260" s="3"/>
      <c r="Y260" s="3"/>
      <c r="Z260" s="3"/>
    </row>
    <row r="261" spans="1:26" ht="12" customHeight="1">
      <c r="A261" s="52"/>
      <c r="B261" s="320" t="str">
        <f t="shared" si="39"/>
        <v>General Service &lt; 50 kW.Low Voltage Service Charge</v>
      </c>
      <c r="C261" s="320" t="s">
        <v>269</v>
      </c>
      <c r="D261" s="306" t="s">
        <v>220</v>
      </c>
      <c r="E261" s="359">
        <v>5.0000000000000002E-5</v>
      </c>
      <c r="F261" s="360">
        <v>6.0000000000000002E-5</v>
      </c>
      <c r="G261" s="360">
        <v>6.0000000000000002E-5</v>
      </c>
      <c r="H261" s="343">
        <v>6.0000000000000002E-5</v>
      </c>
      <c r="I261" s="343">
        <v>6.0000000000000002E-5</v>
      </c>
      <c r="J261" s="343">
        <v>6.0000000000000002E-5</v>
      </c>
      <c r="K261" s="361"/>
      <c r="Q261" s="3"/>
      <c r="R261" s="3"/>
      <c r="S261" s="3"/>
      <c r="T261" s="3"/>
      <c r="U261" s="3"/>
      <c r="V261" s="3"/>
      <c r="W261" s="3"/>
      <c r="X261" s="3"/>
      <c r="Y261" s="3"/>
      <c r="Z261" s="3"/>
    </row>
    <row r="262" spans="1:26" ht="12" customHeight="1">
      <c r="A262" s="52"/>
      <c r="B262" s="320" t="str">
        <f t="shared" si="39"/>
        <v>General Service 50 to 1,499 KW.Low Voltage Service Charge</v>
      </c>
      <c r="C262" s="320" t="s">
        <v>269</v>
      </c>
      <c r="D262" s="306" t="s">
        <v>221</v>
      </c>
      <c r="E262" s="359">
        <v>2.0629999999999999E-2</v>
      </c>
      <c r="F262" s="343">
        <v>2.334E-2</v>
      </c>
      <c r="G262" s="343">
        <v>2.3939999999999999E-2</v>
      </c>
      <c r="H262" s="343">
        <v>2.4250000000000001E-2</v>
      </c>
      <c r="I262" s="343">
        <v>2.4649999999999998E-2</v>
      </c>
      <c r="J262" s="343">
        <v>2.5080000000000002E-2</v>
      </c>
      <c r="K262" s="361"/>
      <c r="Q262" s="3"/>
      <c r="R262" s="3"/>
      <c r="S262" s="3"/>
      <c r="T262" s="3"/>
      <c r="U262" s="3"/>
      <c r="V262" s="3"/>
      <c r="W262" s="3"/>
      <c r="X262" s="3"/>
      <c r="Y262" s="3"/>
      <c r="Z262" s="3"/>
    </row>
    <row r="263" spans="1:26" ht="12" customHeight="1">
      <c r="A263" s="52"/>
      <c r="B263" s="320" t="str">
        <f t="shared" si="39"/>
        <v>General Service 1,500 to 4,999 KW.Low Voltage Service Charge</v>
      </c>
      <c r="C263" s="320" t="s">
        <v>269</v>
      </c>
      <c r="D263" s="306" t="s">
        <v>222</v>
      </c>
      <c r="E263" s="359">
        <v>2.2040000000000001E-2</v>
      </c>
      <c r="F263" s="343">
        <v>2.315E-2</v>
      </c>
      <c r="G263" s="343">
        <v>2.375E-2</v>
      </c>
      <c r="H263" s="343">
        <v>2.4060000000000002E-2</v>
      </c>
      <c r="I263" s="343">
        <v>2.4459999999999999E-2</v>
      </c>
      <c r="J263" s="343">
        <v>2.4879999999999999E-2</v>
      </c>
      <c r="K263" s="361"/>
      <c r="Q263" s="3"/>
      <c r="R263" s="3"/>
      <c r="S263" s="3"/>
      <c r="T263" s="3"/>
      <c r="U263" s="3"/>
      <c r="V263" s="3"/>
      <c r="W263" s="3"/>
      <c r="X263" s="3"/>
      <c r="Y263" s="3"/>
      <c r="Z263" s="3"/>
    </row>
    <row r="264" spans="1:26" ht="12" customHeight="1">
      <c r="A264" s="52"/>
      <c r="B264" s="320" t="str">
        <f t="shared" si="39"/>
        <v>Large User.Low Voltage Service Charge</v>
      </c>
      <c r="C264" s="320" t="s">
        <v>269</v>
      </c>
      <c r="D264" s="306" t="s">
        <v>223</v>
      </c>
      <c r="E264" s="359">
        <v>2.4819999999999998E-2</v>
      </c>
      <c r="F264" s="343">
        <v>2.7179999999999999E-2</v>
      </c>
      <c r="G264" s="343">
        <v>2.7890000000000002E-2</v>
      </c>
      <c r="H264" s="343">
        <v>2.8250000000000001E-2</v>
      </c>
      <c r="I264" s="343">
        <v>2.8719999999999999E-2</v>
      </c>
      <c r="J264" s="343">
        <v>2.9219999999999999E-2</v>
      </c>
      <c r="K264" s="361"/>
      <c r="Q264" s="3"/>
      <c r="R264" s="3"/>
      <c r="S264" s="3"/>
      <c r="T264" s="3"/>
      <c r="U264" s="3"/>
      <c r="V264" s="3"/>
      <c r="W264" s="3"/>
      <c r="X264" s="3"/>
      <c r="Y264" s="3"/>
      <c r="Z264" s="3"/>
    </row>
    <row r="265" spans="1:26" ht="12" customHeight="1">
      <c r="A265" s="52"/>
      <c r="B265" s="320" t="str">
        <f t="shared" si="39"/>
        <v>Street Light.Low Voltage Service Charge</v>
      </c>
      <c r="C265" s="320" t="s">
        <v>269</v>
      </c>
      <c r="D265" s="306" t="s">
        <v>224</v>
      </c>
      <c r="E265" s="359">
        <v>1.5640000000000001E-2</v>
      </c>
      <c r="F265" s="343">
        <v>1.0999999999999999E-2</v>
      </c>
      <c r="G265" s="343">
        <v>1.128E-2</v>
      </c>
      <c r="H265" s="343">
        <v>1.1429999999999999E-2</v>
      </c>
      <c r="I265" s="343">
        <v>1.162E-2</v>
      </c>
      <c r="J265" s="343">
        <v>1.1820000000000001E-2</v>
      </c>
      <c r="K265" s="361"/>
      <c r="Q265" s="3"/>
      <c r="R265" s="3"/>
      <c r="S265" s="3"/>
      <c r="T265" s="3"/>
      <c r="U265" s="3"/>
      <c r="V265" s="3"/>
      <c r="W265" s="3"/>
      <c r="X265" s="3"/>
      <c r="Y265" s="3"/>
      <c r="Z265" s="3"/>
    </row>
    <row r="266" spans="1:26" ht="12" customHeight="1">
      <c r="A266" s="52"/>
      <c r="B266" s="320" t="str">
        <f t="shared" si="39"/>
        <v>Sentinel Lights.Low Voltage Service Charge</v>
      </c>
      <c r="C266" s="320" t="s">
        <v>269</v>
      </c>
      <c r="D266" s="306" t="s">
        <v>225</v>
      </c>
      <c r="E266" s="359">
        <v>1.532E-2</v>
      </c>
      <c r="F266" s="343">
        <v>4.3499999999999997E-3</v>
      </c>
      <c r="G266" s="343">
        <v>4.47E-3</v>
      </c>
      <c r="H266" s="343">
        <v>4.5199999999999997E-3</v>
      </c>
      <c r="I266" s="343">
        <v>4.5999999999999999E-3</v>
      </c>
      <c r="J266" s="343">
        <v>4.6800000000000001E-3</v>
      </c>
      <c r="K266" s="361"/>
      <c r="Q266" s="3"/>
      <c r="R266" s="3"/>
      <c r="S266" s="3"/>
      <c r="T266" s="3"/>
      <c r="U266" s="3"/>
      <c r="V266" s="3"/>
      <c r="W266" s="3"/>
      <c r="X266" s="3"/>
      <c r="Y266" s="3"/>
      <c r="Z266" s="3"/>
    </row>
    <row r="267" spans="1:26" ht="12" customHeight="1">
      <c r="A267" s="52"/>
      <c r="B267" s="320" t="str">
        <f t="shared" si="39"/>
        <v>Unmetered Scattered Load.Low Voltage Service Charge</v>
      </c>
      <c r="C267" s="320" t="s">
        <v>269</v>
      </c>
      <c r="D267" s="306" t="s">
        <v>226</v>
      </c>
      <c r="E267" s="359">
        <v>5.0000000000000002E-5</v>
      </c>
      <c r="F267" s="343">
        <v>4.0000000000000003E-5</v>
      </c>
      <c r="G267" s="343">
        <v>4.0000000000000003E-5</v>
      </c>
      <c r="H267" s="343">
        <v>4.0000000000000003E-5</v>
      </c>
      <c r="I267" s="343">
        <v>4.0000000000000003E-5</v>
      </c>
      <c r="J267" s="343">
        <v>4.0000000000000003E-5</v>
      </c>
      <c r="K267" s="361"/>
      <c r="Q267" s="3"/>
      <c r="R267" s="3"/>
      <c r="S267" s="3"/>
      <c r="T267" s="3"/>
      <c r="U267" s="3"/>
      <c r="V267" s="3"/>
      <c r="W267" s="3"/>
      <c r="X267" s="3"/>
      <c r="Y267" s="3"/>
      <c r="Z267" s="3"/>
    </row>
    <row r="268" spans="1:26" ht="12" customHeight="1">
      <c r="A268" s="52"/>
      <c r="B268" s="320" t="str">
        <f t="shared" si="39"/>
        <v>Standby Power General Service 50 to 1,499 KW.Low Voltage Service Charge</v>
      </c>
      <c r="C268" s="320" t="s">
        <v>269</v>
      </c>
      <c r="D268" s="306" t="s">
        <v>227</v>
      </c>
      <c r="E268" s="3"/>
      <c r="F268" s="340"/>
      <c r="G268" s="340"/>
      <c r="H268" s="3"/>
      <c r="I268" s="3"/>
      <c r="J268" s="3"/>
      <c r="K268" s="361"/>
      <c r="L268" s="3"/>
      <c r="M268" s="3"/>
      <c r="N268" s="3"/>
      <c r="O268" s="3"/>
      <c r="P268" s="3"/>
      <c r="Q268" s="3"/>
      <c r="R268" s="3"/>
      <c r="S268" s="3"/>
      <c r="T268" s="3"/>
      <c r="U268" s="3"/>
      <c r="V268" s="3"/>
      <c r="W268" s="3"/>
      <c r="X268" s="3"/>
      <c r="Y268" s="3"/>
      <c r="Z268" s="3"/>
    </row>
    <row r="269" spans="1:26" ht="12" customHeight="1">
      <c r="A269" s="52"/>
      <c r="B269" s="320" t="str">
        <f t="shared" si="39"/>
        <v>Standby Power General Service 1,500 to 4,999 KW.</v>
      </c>
      <c r="C269" s="320"/>
      <c r="D269" s="306" t="s">
        <v>228</v>
      </c>
      <c r="E269" s="3"/>
      <c r="F269" s="340"/>
      <c r="G269" s="3"/>
      <c r="H269" s="3"/>
      <c r="I269" s="3"/>
      <c r="J269" s="3"/>
      <c r="K269" s="361"/>
      <c r="L269" s="3"/>
      <c r="M269" s="3"/>
      <c r="N269" s="3"/>
      <c r="O269" s="3"/>
      <c r="P269" s="3"/>
      <c r="Q269" s="3"/>
      <c r="R269" s="3"/>
      <c r="S269" s="3"/>
      <c r="T269" s="3"/>
      <c r="U269" s="3"/>
      <c r="V269" s="3"/>
      <c r="W269" s="3"/>
      <c r="X269" s="3"/>
      <c r="Y269" s="3"/>
      <c r="Z269" s="3"/>
    </row>
    <row r="270" spans="1:26" ht="12" customHeight="1">
      <c r="A270" s="52"/>
      <c r="B270" s="320" t="str">
        <f t="shared" si="39"/>
        <v>Standby Power Large Use.</v>
      </c>
      <c r="C270" s="320"/>
      <c r="D270" s="306" t="s">
        <v>229</v>
      </c>
      <c r="E270" s="3"/>
      <c r="F270" s="340"/>
      <c r="G270" s="3"/>
      <c r="H270" s="3"/>
      <c r="I270" s="3"/>
      <c r="J270" s="3"/>
      <c r="K270" s="361"/>
      <c r="L270" s="3"/>
      <c r="M270" s="3"/>
      <c r="N270" s="3"/>
      <c r="O270" s="3"/>
      <c r="P270" s="3"/>
      <c r="Q270" s="3"/>
      <c r="R270" s="3"/>
      <c r="S270" s="3"/>
      <c r="T270" s="3"/>
      <c r="U270" s="3"/>
      <c r="V270" s="3"/>
      <c r="W270" s="3"/>
      <c r="X270" s="3"/>
      <c r="Y270" s="3"/>
      <c r="Z270" s="3"/>
    </row>
    <row r="271" spans="1:26" ht="12" customHeight="1">
      <c r="A271" s="52"/>
      <c r="B271" s="30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ustomHeight="1">
      <c r="A272" s="52"/>
      <c r="B272" s="52"/>
      <c r="C272" s="317" t="s">
        <v>270</v>
      </c>
      <c r="D272" s="3"/>
      <c r="E272" s="318" t="s">
        <v>215</v>
      </c>
      <c r="F272" s="319" t="str">
        <f t="shared" ref="F272:J272" si="40">F$4</f>
        <v>2026F</v>
      </c>
      <c r="G272" s="319" t="str">
        <f t="shared" si="40"/>
        <v>2027F</v>
      </c>
      <c r="H272" s="319" t="str">
        <f t="shared" si="40"/>
        <v>2028F</v>
      </c>
      <c r="I272" s="319" t="str">
        <f t="shared" si="40"/>
        <v>2029F</v>
      </c>
      <c r="J272" s="319" t="str">
        <f t="shared" si="40"/>
        <v>2030F</v>
      </c>
      <c r="K272" s="3"/>
      <c r="L272" s="3"/>
      <c r="M272" s="3"/>
      <c r="N272" s="3"/>
      <c r="O272" s="3"/>
      <c r="P272" s="3"/>
      <c r="Q272" s="3"/>
      <c r="R272" s="3"/>
      <c r="S272" s="3"/>
      <c r="T272" s="3"/>
      <c r="U272" s="3"/>
      <c r="V272" s="3"/>
      <c r="W272" s="3"/>
      <c r="X272" s="3"/>
      <c r="Y272" s="3"/>
      <c r="Z272" s="3"/>
    </row>
    <row r="273" spans="1:26" ht="12" customHeight="1">
      <c r="A273" s="52"/>
      <c r="B273" s="320" t="str">
        <f t="shared" ref="B273:B280" si="41">D273&amp;"."&amp;C273</f>
        <v>Residential.Smart Meter Entity Charge</v>
      </c>
      <c r="C273" s="320" t="s">
        <v>271</v>
      </c>
      <c r="D273" s="306" t="s">
        <v>219</v>
      </c>
      <c r="E273" s="362">
        <v>0.42</v>
      </c>
      <c r="F273" s="363">
        <v>0.42</v>
      </c>
      <c r="G273" s="363">
        <v>0.42</v>
      </c>
      <c r="H273" s="363">
        <v>0.43</v>
      </c>
      <c r="I273" s="363">
        <v>0.44</v>
      </c>
      <c r="J273" s="363">
        <v>0.45</v>
      </c>
      <c r="K273" s="3"/>
      <c r="L273" s="3"/>
      <c r="M273" s="3"/>
      <c r="N273" s="3"/>
      <c r="O273" s="3"/>
      <c r="P273" s="3"/>
      <c r="Q273" s="3"/>
      <c r="R273" s="3"/>
      <c r="S273" s="3"/>
      <c r="T273" s="3"/>
      <c r="U273" s="3"/>
      <c r="V273" s="3"/>
      <c r="W273" s="3"/>
      <c r="X273" s="3"/>
      <c r="Y273" s="3"/>
      <c r="Z273" s="3"/>
    </row>
    <row r="274" spans="1:26" ht="12" customHeight="1">
      <c r="A274" s="52"/>
      <c r="B274" s="320" t="str">
        <f t="shared" si="41"/>
        <v>General Service &lt; 50 kW.Smart Meter Entity Charge</v>
      </c>
      <c r="C274" s="320" t="s">
        <v>271</v>
      </c>
      <c r="D274" s="306" t="s">
        <v>220</v>
      </c>
      <c r="E274" s="362">
        <v>0.42</v>
      </c>
      <c r="F274" s="363">
        <v>0.42</v>
      </c>
      <c r="G274" s="363">
        <v>0.42</v>
      </c>
      <c r="H274" s="363">
        <v>0.43</v>
      </c>
      <c r="I274" s="363">
        <v>0.44</v>
      </c>
      <c r="J274" s="363">
        <v>0.45</v>
      </c>
      <c r="K274" s="3"/>
      <c r="L274" s="3"/>
      <c r="M274" s="3"/>
      <c r="N274" s="3"/>
      <c r="O274" s="3"/>
      <c r="P274" s="3"/>
      <c r="Q274" s="3"/>
      <c r="R274" s="3"/>
      <c r="S274" s="3"/>
      <c r="T274" s="3"/>
      <c r="U274" s="3"/>
      <c r="V274" s="3"/>
      <c r="W274" s="3"/>
      <c r="X274" s="3"/>
      <c r="Y274" s="3"/>
      <c r="Z274" s="3"/>
    </row>
    <row r="275" spans="1:26" ht="12" customHeight="1">
      <c r="A275" s="52"/>
      <c r="B275" s="320" t="str">
        <f t="shared" si="41"/>
        <v>General Service 50 to 1,499 KW.Smart Meter Entity Charge</v>
      </c>
      <c r="C275" s="320" t="s">
        <v>271</v>
      </c>
      <c r="D275" s="306" t="s">
        <v>221</v>
      </c>
      <c r="E275" s="360">
        <v>0</v>
      </c>
      <c r="F275" s="364">
        <v>0</v>
      </c>
      <c r="G275" s="364">
        <v>0</v>
      </c>
      <c r="H275" s="364">
        <v>0</v>
      </c>
      <c r="I275" s="364">
        <v>0</v>
      </c>
      <c r="J275" s="364">
        <v>0</v>
      </c>
      <c r="K275" s="3"/>
      <c r="L275" s="3"/>
      <c r="M275" s="3"/>
      <c r="N275" s="3"/>
      <c r="O275" s="3"/>
      <c r="P275" s="3"/>
      <c r="Q275" s="3"/>
      <c r="R275" s="3"/>
      <c r="S275" s="3"/>
      <c r="T275" s="3"/>
      <c r="U275" s="3"/>
      <c r="V275" s="3"/>
      <c r="W275" s="3"/>
      <c r="X275" s="3"/>
      <c r="Y275" s="3"/>
      <c r="Z275" s="3"/>
    </row>
    <row r="276" spans="1:26" ht="12" customHeight="1">
      <c r="A276" s="52"/>
      <c r="B276" s="320" t="str">
        <f t="shared" si="41"/>
        <v>General Service 1,500 to 4,999 KW.Smart Meter Entity Charge</v>
      </c>
      <c r="C276" s="320" t="s">
        <v>271</v>
      </c>
      <c r="D276" s="306" t="s">
        <v>222</v>
      </c>
      <c r="E276" s="360">
        <v>0</v>
      </c>
      <c r="F276" s="364">
        <v>0</v>
      </c>
      <c r="G276" s="364">
        <v>0</v>
      </c>
      <c r="H276" s="364">
        <v>0</v>
      </c>
      <c r="I276" s="364">
        <v>0</v>
      </c>
      <c r="J276" s="364">
        <v>0</v>
      </c>
      <c r="K276" s="3"/>
      <c r="L276" s="3"/>
      <c r="M276" s="3"/>
      <c r="N276" s="3"/>
      <c r="O276" s="3"/>
      <c r="P276" s="3"/>
      <c r="Q276" s="3"/>
      <c r="R276" s="3"/>
      <c r="S276" s="3"/>
      <c r="T276" s="3"/>
      <c r="U276" s="3"/>
      <c r="V276" s="3"/>
      <c r="W276" s="3"/>
      <c r="X276" s="3"/>
      <c r="Y276" s="3"/>
      <c r="Z276" s="3"/>
    </row>
    <row r="277" spans="1:26" ht="12" customHeight="1">
      <c r="A277" s="52"/>
      <c r="B277" s="320" t="str">
        <f t="shared" si="41"/>
        <v>Large User.Smart Meter Entity Charge</v>
      </c>
      <c r="C277" s="320" t="s">
        <v>271</v>
      </c>
      <c r="D277" s="306" t="s">
        <v>223</v>
      </c>
      <c r="E277" s="360">
        <v>0</v>
      </c>
      <c r="F277" s="364">
        <v>0</v>
      </c>
      <c r="G277" s="364">
        <v>0</v>
      </c>
      <c r="H277" s="364">
        <v>0</v>
      </c>
      <c r="I277" s="364">
        <v>0</v>
      </c>
      <c r="J277" s="364">
        <v>0</v>
      </c>
      <c r="K277" s="3"/>
      <c r="L277" s="3"/>
      <c r="M277" s="3"/>
      <c r="N277" s="3"/>
      <c r="O277" s="3"/>
      <c r="P277" s="3"/>
      <c r="Q277" s="3"/>
      <c r="R277" s="3"/>
      <c r="S277" s="3"/>
      <c r="T277" s="3"/>
      <c r="U277" s="3"/>
      <c r="V277" s="3"/>
      <c r="W277" s="3"/>
      <c r="X277" s="3"/>
      <c r="Y277" s="3"/>
      <c r="Z277" s="3"/>
    </row>
    <row r="278" spans="1:26" ht="12" customHeight="1">
      <c r="A278" s="52"/>
      <c r="B278" s="320" t="str">
        <f t="shared" si="41"/>
        <v>Street Light.Smart Meter Entity Charge</v>
      </c>
      <c r="C278" s="320" t="s">
        <v>271</v>
      </c>
      <c r="D278" s="306" t="s">
        <v>224</v>
      </c>
      <c r="E278" s="360">
        <v>0</v>
      </c>
      <c r="F278" s="364">
        <v>0</v>
      </c>
      <c r="G278" s="364">
        <v>0</v>
      </c>
      <c r="H278" s="364">
        <v>0</v>
      </c>
      <c r="I278" s="364">
        <v>0</v>
      </c>
      <c r="J278" s="364">
        <v>0</v>
      </c>
      <c r="K278" s="3"/>
      <c r="L278" s="3"/>
      <c r="M278" s="3"/>
      <c r="N278" s="3"/>
      <c r="O278" s="3"/>
      <c r="P278" s="3"/>
      <c r="Q278" s="3"/>
      <c r="R278" s="3"/>
      <c r="S278" s="3"/>
      <c r="T278" s="3"/>
      <c r="U278" s="3"/>
      <c r="V278" s="3"/>
      <c r="W278" s="3"/>
      <c r="X278" s="3"/>
      <c r="Y278" s="3"/>
      <c r="Z278" s="3"/>
    </row>
    <row r="279" spans="1:26" ht="12" customHeight="1">
      <c r="A279" s="52"/>
      <c r="B279" s="320" t="str">
        <f t="shared" si="41"/>
        <v>Sentinel Lights.Smart Meter Entity Charge</v>
      </c>
      <c r="C279" s="320" t="s">
        <v>271</v>
      </c>
      <c r="D279" s="306" t="s">
        <v>225</v>
      </c>
      <c r="E279" s="360">
        <v>0</v>
      </c>
      <c r="F279" s="364">
        <v>0</v>
      </c>
      <c r="G279" s="364">
        <v>0</v>
      </c>
      <c r="H279" s="364">
        <v>0</v>
      </c>
      <c r="I279" s="364">
        <v>0</v>
      </c>
      <c r="J279" s="364">
        <v>0</v>
      </c>
      <c r="K279" s="3"/>
      <c r="L279" s="3"/>
      <c r="M279" s="3"/>
      <c r="N279" s="3"/>
      <c r="O279" s="3"/>
      <c r="P279" s="3"/>
      <c r="Q279" s="3"/>
      <c r="R279" s="3"/>
      <c r="S279" s="3"/>
      <c r="T279" s="3"/>
      <c r="U279" s="3"/>
      <c r="V279" s="3"/>
      <c r="W279" s="3"/>
      <c r="X279" s="3"/>
      <c r="Y279" s="3"/>
      <c r="Z279" s="3"/>
    </row>
    <row r="280" spans="1:26" ht="12" customHeight="1">
      <c r="A280" s="52"/>
      <c r="B280" s="320" t="str">
        <f t="shared" si="41"/>
        <v>Unmetered Scattered Load.Smart Meter Entity Charge</v>
      </c>
      <c r="C280" s="320" t="s">
        <v>271</v>
      </c>
      <c r="D280" s="306" t="s">
        <v>226</v>
      </c>
      <c r="E280" s="360">
        <v>0</v>
      </c>
      <c r="F280" s="364">
        <v>0</v>
      </c>
      <c r="G280" s="364">
        <v>0</v>
      </c>
      <c r="H280" s="364">
        <v>0</v>
      </c>
      <c r="I280" s="364">
        <v>0</v>
      </c>
      <c r="J280" s="364">
        <v>0</v>
      </c>
      <c r="K280" s="3"/>
      <c r="L280" s="3"/>
      <c r="M280" s="3"/>
      <c r="N280" s="3"/>
      <c r="O280" s="3"/>
      <c r="P280" s="3"/>
      <c r="Q280" s="3"/>
      <c r="R280" s="3"/>
      <c r="S280" s="3"/>
      <c r="T280" s="3"/>
      <c r="U280" s="3"/>
      <c r="V280" s="3"/>
      <c r="W280" s="3"/>
      <c r="X280" s="3"/>
      <c r="Y280" s="3"/>
      <c r="Z280" s="3"/>
    </row>
    <row r="281" spans="1:26" ht="12" customHeight="1">
      <c r="A281" s="52"/>
      <c r="B281" s="320"/>
      <c r="C281" s="320"/>
      <c r="D281" s="306" t="s">
        <v>227</v>
      </c>
      <c r="E281" s="360">
        <v>0</v>
      </c>
      <c r="F281" s="364">
        <v>0</v>
      </c>
      <c r="G281" s="364">
        <v>0</v>
      </c>
      <c r="H281" s="364">
        <v>0</v>
      </c>
      <c r="I281" s="364">
        <v>0</v>
      </c>
      <c r="J281" s="364">
        <v>0</v>
      </c>
      <c r="K281" s="3"/>
      <c r="L281" s="3"/>
      <c r="M281" s="3"/>
      <c r="N281" s="3"/>
      <c r="O281" s="3"/>
      <c r="P281" s="3"/>
      <c r="Q281" s="3"/>
      <c r="R281" s="3"/>
      <c r="S281" s="3"/>
      <c r="T281" s="3"/>
      <c r="U281" s="3"/>
      <c r="V281" s="3"/>
      <c r="W281" s="3"/>
      <c r="X281" s="3"/>
      <c r="Y281" s="3"/>
      <c r="Z281" s="3"/>
    </row>
    <row r="282" spans="1:26" ht="12" customHeight="1">
      <c r="A282" s="52"/>
      <c r="B282" s="52"/>
      <c r="C282" s="52"/>
      <c r="D282" s="306" t="s">
        <v>228</v>
      </c>
      <c r="E282" s="360">
        <v>0</v>
      </c>
      <c r="F282" s="364">
        <v>0</v>
      </c>
      <c r="G282" s="364">
        <v>0</v>
      </c>
      <c r="H282" s="364">
        <v>0</v>
      </c>
      <c r="I282" s="364">
        <v>0</v>
      </c>
      <c r="J282" s="364">
        <v>0</v>
      </c>
      <c r="K282" s="3"/>
      <c r="L282" s="3"/>
      <c r="M282" s="3"/>
      <c r="N282" s="3"/>
      <c r="O282" s="3"/>
      <c r="P282" s="3"/>
      <c r="Q282" s="3"/>
      <c r="R282" s="3"/>
      <c r="S282" s="3"/>
      <c r="T282" s="3"/>
      <c r="U282" s="3"/>
      <c r="V282" s="3"/>
      <c r="W282" s="3"/>
      <c r="X282" s="3"/>
      <c r="Y282" s="3"/>
      <c r="Z282" s="3"/>
    </row>
    <row r="283" spans="1:26" ht="12" customHeight="1">
      <c r="A283" s="52"/>
      <c r="B283" s="52"/>
      <c r="C283" s="52"/>
      <c r="D283" s="306" t="s">
        <v>229</v>
      </c>
      <c r="E283" s="360">
        <v>0</v>
      </c>
      <c r="F283" s="364">
        <v>0</v>
      </c>
      <c r="G283" s="364">
        <v>0</v>
      </c>
      <c r="H283" s="364">
        <v>0</v>
      </c>
      <c r="I283" s="364">
        <v>0</v>
      </c>
      <c r="J283" s="364">
        <v>0</v>
      </c>
      <c r="K283" s="3"/>
      <c r="L283" s="3"/>
      <c r="M283" s="3"/>
      <c r="N283" s="3"/>
      <c r="O283" s="3"/>
      <c r="P283" s="3"/>
      <c r="Q283" s="3"/>
      <c r="R283" s="3"/>
      <c r="S283" s="3"/>
      <c r="T283" s="3"/>
      <c r="U283" s="3"/>
      <c r="V283" s="3"/>
      <c r="W283" s="3"/>
      <c r="X283" s="3"/>
      <c r="Y283" s="3"/>
      <c r="Z283" s="3"/>
    </row>
    <row r="284" spans="1:26" ht="12" customHeight="1">
      <c r="A284" s="52"/>
      <c r="B284" s="306"/>
      <c r="C284" s="3"/>
      <c r="D284" s="3"/>
      <c r="E284" s="3"/>
      <c r="F284" s="3"/>
      <c r="G284" s="355"/>
      <c r="H284" s="355"/>
      <c r="I284" s="3"/>
      <c r="J284" s="3"/>
      <c r="K284" s="3"/>
      <c r="L284" s="3"/>
      <c r="M284" s="3"/>
      <c r="N284" s="3"/>
      <c r="O284" s="3"/>
      <c r="P284" s="3"/>
      <c r="Q284" s="3"/>
      <c r="R284" s="3"/>
      <c r="S284" s="3"/>
      <c r="T284" s="3"/>
      <c r="U284" s="3"/>
      <c r="V284" s="3"/>
      <c r="W284" s="3"/>
      <c r="X284" s="3"/>
      <c r="Y284" s="3"/>
      <c r="Z284" s="3"/>
    </row>
    <row r="285" spans="1:26" ht="12" customHeight="1">
      <c r="A285" s="52"/>
      <c r="B285" s="52"/>
      <c r="C285" s="317" t="s">
        <v>272</v>
      </c>
      <c r="D285" s="3"/>
      <c r="E285" s="318" t="s">
        <v>215</v>
      </c>
      <c r="F285" s="319" t="str">
        <f t="shared" ref="F285:J285" si="42">F$4</f>
        <v>2026F</v>
      </c>
      <c r="G285" s="319" t="str">
        <f t="shared" si="42"/>
        <v>2027F</v>
      </c>
      <c r="H285" s="319" t="str">
        <f t="shared" si="42"/>
        <v>2028F</v>
      </c>
      <c r="I285" s="319" t="str">
        <f t="shared" si="42"/>
        <v>2029F</v>
      </c>
      <c r="J285" s="319" t="str">
        <f t="shared" si="42"/>
        <v>2030F</v>
      </c>
      <c r="K285" s="3"/>
      <c r="L285" s="3"/>
      <c r="M285" s="3"/>
      <c r="N285" s="3"/>
      <c r="O285" s="3"/>
      <c r="P285" s="3"/>
      <c r="Q285" s="3"/>
      <c r="R285" s="3"/>
      <c r="S285" s="3"/>
      <c r="T285" s="3"/>
      <c r="U285" s="3"/>
      <c r="V285" s="3"/>
      <c r="W285" s="3"/>
      <c r="X285" s="3"/>
      <c r="Y285" s="3"/>
      <c r="Z285" s="3"/>
    </row>
    <row r="286" spans="1:26" ht="12" customHeight="1">
      <c r="A286" s="52"/>
      <c r="B286" s="320" t="str">
        <f t="shared" ref="B286:B296" si="43">D286&amp;"."&amp;C286</f>
        <v>Residential.Provincial Rebate</v>
      </c>
      <c r="C286" s="320" t="s">
        <v>273</v>
      </c>
      <c r="D286" s="306" t="s">
        <v>219</v>
      </c>
      <c r="E286" s="365">
        <v>0.23499999999999999</v>
      </c>
      <c r="F286" s="366">
        <v>0.23499999999999999</v>
      </c>
      <c r="G286" s="366">
        <v>0.23499999999999999</v>
      </c>
      <c r="H286" s="366">
        <v>0.23499999999999999</v>
      </c>
      <c r="I286" s="366">
        <v>0.23499999999999999</v>
      </c>
      <c r="J286" s="366">
        <v>0.23499999999999999</v>
      </c>
      <c r="K286" s="3"/>
      <c r="L286" s="3"/>
      <c r="M286" s="3"/>
      <c r="N286" s="3"/>
      <c r="O286" s="3"/>
      <c r="P286" s="3"/>
      <c r="Q286" s="3"/>
      <c r="R286" s="3"/>
      <c r="S286" s="3"/>
      <c r="T286" s="3"/>
      <c r="U286" s="3"/>
      <c r="V286" s="3"/>
      <c r="W286" s="3"/>
      <c r="X286" s="3"/>
      <c r="Y286" s="3"/>
      <c r="Z286" s="3"/>
    </row>
    <row r="287" spans="1:26" ht="12" customHeight="1">
      <c r="A287" s="52"/>
      <c r="B287" s="320" t="str">
        <f t="shared" si="43"/>
        <v>General Service &lt; 50 kW.Provincial Rebate</v>
      </c>
      <c r="C287" s="320" t="s">
        <v>273</v>
      </c>
      <c r="D287" s="367" t="s">
        <v>220</v>
      </c>
      <c r="E287" s="365">
        <v>0.23499999999999999</v>
      </c>
      <c r="F287" s="366">
        <v>0.23499999999999999</v>
      </c>
      <c r="G287" s="366">
        <v>0.23499999999999999</v>
      </c>
      <c r="H287" s="366">
        <v>0.23499999999999999</v>
      </c>
      <c r="I287" s="366">
        <v>0.23499999999999999</v>
      </c>
      <c r="J287" s="366">
        <v>0.23499999999999999</v>
      </c>
      <c r="K287" s="3"/>
      <c r="L287" s="3"/>
      <c r="M287" s="3"/>
      <c r="N287" s="3"/>
      <c r="O287" s="3"/>
      <c r="P287" s="3"/>
      <c r="Q287" s="3"/>
      <c r="R287" s="3"/>
      <c r="S287" s="3"/>
      <c r="T287" s="3"/>
      <c r="U287" s="3"/>
      <c r="V287" s="3"/>
      <c r="W287" s="3"/>
      <c r="X287" s="3"/>
      <c r="Y287" s="3"/>
      <c r="Z287" s="3"/>
    </row>
    <row r="288" spans="1:26" ht="12" customHeight="1">
      <c r="A288" s="52"/>
      <c r="B288" s="320" t="str">
        <f t="shared" si="43"/>
        <v>General Service 50 to 1,499 KW.Provincial Rebate</v>
      </c>
      <c r="C288" s="320" t="s">
        <v>273</v>
      </c>
      <c r="D288" s="306" t="s">
        <v>221</v>
      </c>
      <c r="E288" s="368"/>
      <c r="F288" s="369"/>
      <c r="G288" s="369"/>
      <c r="H288" s="369"/>
      <c r="I288" s="369"/>
      <c r="J288" s="369"/>
      <c r="K288" s="3"/>
      <c r="L288" s="3"/>
      <c r="M288" s="3"/>
      <c r="N288" s="3"/>
      <c r="O288" s="3"/>
      <c r="P288" s="3"/>
      <c r="Q288" s="3"/>
      <c r="R288" s="3"/>
      <c r="S288" s="3"/>
      <c r="T288" s="3"/>
      <c r="U288" s="3"/>
      <c r="V288" s="3"/>
      <c r="W288" s="3"/>
      <c r="X288" s="3"/>
      <c r="Y288" s="3"/>
      <c r="Z288" s="3"/>
    </row>
    <row r="289" spans="1:26" ht="12" customHeight="1">
      <c r="A289" s="52"/>
      <c r="B289" s="320" t="str">
        <f t="shared" si="43"/>
        <v>General Service 1,500 to 4,999 KW.Provincial Rebate</v>
      </c>
      <c r="C289" s="320" t="s">
        <v>273</v>
      </c>
      <c r="D289" s="306" t="s">
        <v>222</v>
      </c>
      <c r="E289" s="368"/>
      <c r="F289" s="369"/>
      <c r="G289" s="369"/>
      <c r="H289" s="369"/>
      <c r="I289" s="369"/>
      <c r="J289" s="369"/>
      <c r="K289" s="3"/>
      <c r="L289" s="3"/>
      <c r="M289" s="3"/>
      <c r="N289" s="3"/>
      <c r="O289" s="3"/>
      <c r="P289" s="3"/>
      <c r="Q289" s="3"/>
      <c r="R289" s="3"/>
      <c r="S289" s="3"/>
      <c r="T289" s="3"/>
      <c r="U289" s="3"/>
      <c r="V289" s="3"/>
      <c r="W289" s="3"/>
      <c r="X289" s="3"/>
      <c r="Y289" s="3"/>
      <c r="Z289" s="3"/>
    </row>
    <row r="290" spans="1:26" ht="12" customHeight="1">
      <c r="A290" s="52"/>
      <c r="B290" s="320" t="str">
        <f t="shared" si="43"/>
        <v>Large User.Provincial Rebate</v>
      </c>
      <c r="C290" s="320" t="s">
        <v>273</v>
      </c>
      <c r="D290" s="306" t="s">
        <v>223</v>
      </c>
      <c r="E290" s="368"/>
      <c r="F290" s="369"/>
      <c r="G290" s="369"/>
      <c r="H290" s="369"/>
      <c r="I290" s="369"/>
      <c r="J290" s="369"/>
      <c r="K290" s="3"/>
      <c r="L290" s="3"/>
      <c r="M290" s="3"/>
      <c r="N290" s="3"/>
      <c r="O290" s="3"/>
      <c r="P290" s="3"/>
      <c r="Q290" s="3"/>
      <c r="R290" s="3"/>
      <c r="S290" s="3"/>
      <c r="T290" s="3"/>
      <c r="U290" s="3"/>
      <c r="V290" s="3"/>
      <c r="W290" s="3"/>
      <c r="X290" s="3"/>
      <c r="Y290" s="3"/>
      <c r="Z290" s="3"/>
    </row>
    <row r="291" spans="1:26" ht="12" customHeight="1">
      <c r="A291" s="52"/>
      <c r="B291" s="320" t="str">
        <f t="shared" si="43"/>
        <v>Street Light.Provincial Rebate</v>
      </c>
      <c r="C291" s="320" t="s">
        <v>273</v>
      </c>
      <c r="D291" s="306" t="s">
        <v>224</v>
      </c>
      <c r="E291" s="365">
        <v>0.23499999999999999</v>
      </c>
      <c r="F291" s="366">
        <v>0.23499999999999999</v>
      </c>
      <c r="G291" s="366">
        <v>0.23499999999999999</v>
      </c>
      <c r="H291" s="366">
        <v>0.23499999999999999</v>
      </c>
      <c r="I291" s="366">
        <v>0.23499999999999999</v>
      </c>
      <c r="J291" s="366">
        <v>0.23499999999999999</v>
      </c>
      <c r="K291" s="3"/>
      <c r="L291" s="3"/>
      <c r="M291" s="3"/>
      <c r="N291" s="3"/>
      <c r="O291" s="3"/>
      <c r="P291" s="3"/>
      <c r="Q291" s="3"/>
      <c r="R291" s="3"/>
      <c r="S291" s="3"/>
      <c r="T291" s="3"/>
      <c r="U291" s="3"/>
      <c r="V291" s="3"/>
      <c r="W291" s="3"/>
      <c r="X291" s="3"/>
      <c r="Y291" s="3"/>
      <c r="Z291" s="3"/>
    </row>
    <row r="292" spans="1:26" ht="12" customHeight="1">
      <c r="A292" s="52"/>
      <c r="B292" s="320" t="str">
        <f t="shared" si="43"/>
        <v>Sentinel Lights.Provincial Rebate</v>
      </c>
      <c r="C292" s="320" t="s">
        <v>273</v>
      </c>
      <c r="D292" s="306" t="s">
        <v>225</v>
      </c>
      <c r="E292" s="365">
        <v>0.23499999999999999</v>
      </c>
      <c r="F292" s="366">
        <v>0.23499999999999999</v>
      </c>
      <c r="G292" s="366">
        <v>0.23499999999999999</v>
      </c>
      <c r="H292" s="366">
        <v>0.23499999999999999</v>
      </c>
      <c r="I292" s="366">
        <v>0.23499999999999999</v>
      </c>
      <c r="J292" s="366">
        <v>0.23499999999999999</v>
      </c>
      <c r="K292" s="3"/>
      <c r="L292" s="3"/>
      <c r="M292" s="3"/>
      <c r="N292" s="3"/>
      <c r="O292" s="3"/>
      <c r="P292" s="3"/>
      <c r="Q292" s="3"/>
      <c r="R292" s="3"/>
      <c r="S292" s="3"/>
      <c r="T292" s="3"/>
      <c r="U292" s="3"/>
      <c r="V292" s="3"/>
      <c r="W292" s="3"/>
      <c r="X292" s="3"/>
      <c r="Y292" s="3"/>
      <c r="Z292" s="3"/>
    </row>
    <row r="293" spans="1:26" ht="12" customHeight="1">
      <c r="A293" s="52"/>
      <c r="B293" s="320" t="str">
        <f t="shared" si="43"/>
        <v>Unmetered Scattered Load.Provincial Rebate</v>
      </c>
      <c r="C293" s="320" t="s">
        <v>273</v>
      </c>
      <c r="D293" s="306" t="s">
        <v>226</v>
      </c>
      <c r="E293" s="365">
        <v>0.23499999999999999</v>
      </c>
      <c r="F293" s="366">
        <v>0.23499999999999999</v>
      </c>
      <c r="G293" s="366">
        <v>0.23499999999999999</v>
      </c>
      <c r="H293" s="366">
        <v>0.23499999999999999</v>
      </c>
      <c r="I293" s="366">
        <v>0.23499999999999999</v>
      </c>
      <c r="J293" s="366">
        <v>0.23499999999999999</v>
      </c>
      <c r="K293" s="3"/>
      <c r="L293" s="3"/>
      <c r="M293" s="3"/>
      <c r="N293" s="3"/>
      <c r="O293" s="3"/>
      <c r="P293" s="3"/>
      <c r="Q293" s="3"/>
      <c r="R293" s="3"/>
      <c r="S293" s="3"/>
      <c r="T293" s="3"/>
      <c r="U293" s="3"/>
      <c r="V293" s="3"/>
      <c r="W293" s="3"/>
      <c r="X293" s="3"/>
      <c r="Y293" s="3"/>
      <c r="Z293" s="3"/>
    </row>
    <row r="294" spans="1:26" ht="12" customHeight="1">
      <c r="A294" s="52"/>
      <c r="B294" s="320" t="str">
        <f t="shared" si="43"/>
        <v>Standby Power General Service 50 to 1,499 KW.Provincial Rebate</v>
      </c>
      <c r="C294" s="320" t="s">
        <v>273</v>
      </c>
      <c r="D294" s="306" t="s">
        <v>227</v>
      </c>
      <c r="E294" s="368"/>
      <c r="F294" s="369"/>
      <c r="G294" s="369"/>
      <c r="H294" s="369"/>
      <c r="I294" s="369"/>
      <c r="J294" s="369"/>
      <c r="K294" s="3"/>
      <c r="L294" s="3"/>
      <c r="M294" s="3"/>
      <c r="N294" s="3"/>
      <c r="O294" s="3"/>
      <c r="P294" s="3"/>
      <c r="Q294" s="3"/>
      <c r="R294" s="3"/>
      <c r="S294" s="3"/>
      <c r="T294" s="3"/>
      <c r="U294" s="3"/>
      <c r="V294" s="3"/>
      <c r="W294" s="3"/>
      <c r="X294" s="3"/>
      <c r="Y294" s="3"/>
      <c r="Z294" s="3"/>
    </row>
    <row r="295" spans="1:26" ht="12" customHeight="1">
      <c r="A295" s="52"/>
      <c r="B295" s="320" t="str">
        <f t="shared" si="43"/>
        <v>Standby Power General Service 1,500 to 4,999 KW.Provincial Rebate</v>
      </c>
      <c r="C295" s="320" t="s">
        <v>273</v>
      </c>
      <c r="D295" s="306" t="s">
        <v>228</v>
      </c>
      <c r="E295" s="368"/>
      <c r="F295" s="369"/>
      <c r="G295" s="369"/>
      <c r="H295" s="369"/>
      <c r="I295" s="369"/>
      <c r="J295" s="369"/>
      <c r="K295" s="3"/>
      <c r="L295" s="3"/>
      <c r="M295" s="3"/>
      <c r="N295" s="3"/>
      <c r="O295" s="3"/>
      <c r="P295" s="3"/>
      <c r="Q295" s="3"/>
      <c r="R295" s="3"/>
      <c r="S295" s="3"/>
      <c r="T295" s="3"/>
      <c r="U295" s="3"/>
      <c r="V295" s="3"/>
      <c r="W295" s="3"/>
      <c r="X295" s="3"/>
      <c r="Y295" s="3"/>
      <c r="Z295" s="3"/>
    </row>
    <row r="296" spans="1:26" ht="12" customHeight="1">
      <c r="A296" s="52"/>
      <c r="B296" s="320" t="str">
        <f t="shared" si="43"/>
        <v>Standby Power Large Use.Provincial Rebate</v>
      </c>
      <c r="C296" s="320" t="s">
        <v>273</v>
      </c>
      <c r="D296" s="306" t="s">
        <v>229</v>
      </c>
      <c r="E296" s="3"/>
      <c r="F296" s="3"/>
      <c r="G296" s="3"/>
      <c r="H296" s="3"/>
      <c r="I296" s="3"/>
      <c r="J296" s="3"/>
      <c r="K296" s="3"/>
      <c r="L296" s="3"/>
      <c r="M296" s="3"/>
      <c r="N296" s="3"/>
      <c r="O296" s="3"/>
      <c r="P296" s="3"/>
      <c r="Q296" s="3"/>
      <c r="R296" s="3"/>
      <c r="S296" s="3"/>
      <c r="T296" s="3"/>
      <c r="U296" s="3"/>
      <c r="V296" s="3"/>
      <c r="W296" s="3"/>
      <c r="X296" s="3"/>
      <c r="Y296" s="3"/>
      <c r="Z296" s="3"/>
    </row>
    <row r="297" spans="1:26" ht="12" customHeight="1">
      <c r="A297" s="52"/>
      <c r="B297" s="30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ustomHeight="1">
      <c r="A298" s="52"/>
      <c r="B298" s="52"/>
      <c r="C298" s="317" t="s">
        <v>274</v>
      </c>
      <c r="D298" s="3"/>
      <c r="E298" s="318" t="s">
        <v>215</v>
      </c>
      <c r="F298" s="319" t="str">
        <f t="shared" ref="F298:J298" si="44">F$4</f>
        <v>2026F</v>
      </c>
      <c r="G298" s="319" t="str">
        <f t="shared" si="44"/>
        <v>2027F</v>
      </c>
      <c r="H298" s="319" t="str">
        <f t="shared" si="44"/>
        <v>2028F</v>
      </c>
      <c r="I298" s="319" t="str">
        <f t="shared" si="44"/>
        <v>2029F</v>
      </c>
      <c r="J298" s="319" t="str">
        <f t="shared" si="44"/>
        <v>2030F</v>
      </c>
      <c r="K298" s="3"/>
      <c r="L298" s="3"/>
      <c r="M298" s="3"/>
      <c r="N298" s="3"/>
      <c r="O298" s="3"/>
      <c r="P298" s="3"/>
      <c r="Q298" s="3"/>
      <c r="R298" s="3"/>
      <c r="S298" s="3"/>
      <c r="T298" s="3"/>
      <c r="U298" s="3"/>
      <c r="V298" s="3"/>
      <c r="W298" s="3"/>
      <c r="X298" s="3"/>
      <c r="Y298" s="3"/>
      <c r="Z298" s="3"/>
    </row>
    <row r="299" spans="1:26" ht="12" customHeight="1">
      <c r="A299" s="52"/>
      <c r="B299" s="320"/>
      <c r="C299" s="52"/>
      <c r="D299" s="306" t="s">
        <v>219</v>
      </c>
      <c r="E299" s="370">
        <v>3.3799999999999997E-2</v>
      </c>
      <c r="F299" s="371">
        <v>3.32E-2</v>
      </c>
      <c r="G299" s="371">
        <v>3.32E-2</v>
      </c>
      <c r="H299" s="371">
        <v>3.32E-2</v>
      </c>
      <c r="I299" s="371">
        <v>3.32E-2</v>
      </c>
      <c r="J299" s="371">
        <v>3.32E-2</v>
      </c>
      <c r="K299" s="3"/>
      <c r="L299" s="3"/>
      <c r="M299" s="3"/>
      <c r="N299" s="3"/>
      <c r="O299" s="3"/>
      <c r="P299" s="3"/>
      <c r="Q299" s="3"/>
      <c r="R299" s="3"/>
      <c r="S299" s="3"/>
      <c r="T299" s="3"/>
      <c r="U299" s="3"/>
      <c r="V299" s="3"/>
      <c r="W299" s="3"/>
      <c r="X299" s="3"/>
      <c r="Y299" s="3"/>
      <c r="Z299" s="3"/>
    </row>
    <row r="300" spans="1:26" ht="12" customHeight="1">
      <c r="A300" s="52"/>
      <c r="B300" s="320"/>
      <c r="C300" s="52"/>
      <c r="D300" s="306" t="s">
        <v>220</v>
      </c>
      <c r="E300" s="370">
        <v>3.3799999999999997E-2</v>
      </c>
      <c r="F300" s="371">
        <v>3.32E-2</v>
      </c>
      <c r="G300" s="371">
        <v>3.32E-2</v>
      </c>
      <c r="H300" s="371">
        <v>3.32E-2</v>
      </c>
      <c r="I300" s="371">
        <v>3.32E-2</v>
      </c>
      <c r="J300" s="371">
        <v>3.32E-2</v>
      </c>
      <c r="K300" s="3"/>
      <c r="L300" s="3"/>
      <c r="M300" s="3"/>
      <c r="N300" s="3"/>
      <c r="O300" s="3"/>
      <c r="P300" s="3"/>
      <c r="Q300" s="3"/>
      <c r="R300" s="3"/>
      <c r="S300" s="3"/>
      <c r="T300" s="3"/>
      <c r="U300" s="3"/>
      <c r="V300" s="3"/>
      <c r="W300" s="3"/>
      <c r="X300" s="3"/>
      <c r="Y300" s="3"/>
      <c r="Z300" s="3"/>
    </row>
    <row r="301" spans="1:26" ht="12" customHeight="1">
      <c r="A301" s="52"/>
      <c r="B301" s="320"/>
      <c r="C301" s="52"/>
      <c r="D301" s="306" t="s">
        <v>221</v>
      </c>
      <c r="E301" s="370">
        <v>3.3799999999999997E-2</v>
      </c>
      <c r="F301" s="371">
        <v>3.32E-2</v>
      </c>
      <c r="G301" s="371">
        <v>3.32E-2</v>
      </c>
      <c r="H301" s="371">
        <v>3.32E-2</v>
      </c>
      <c r="I301" s="371">
        <v>3.32E-2</v>
      </c>
      <c r="J301" s="371">
        <v>3.32E-2</v>
      </c>
      <c r="K301" s="3"/>
      <c r="L301" s="3"/>
      <c r="M301" s="3"/>
      <c r="N301" s="3"/>
      <c r="O301" s="3"/>
      <c r="P301" s="3"/>
      <c r="Q301" s="3"/>
      <c r="R301" s="3"/>
      <c r="S301" s="3"/>
      <c r="T301" s="3"/>
      <c r="U301" s="3"/>
      <c r="V301" s="3"/>
      <c r="W301" s="3"/>
      <c r="X301" s="3"/>
      <c r="Y301" s="3"/>
      <c r="Z301" s="3"/>
    </row>
    <row r="302" spans="1:26" ht="12" customHeight="1">
      <c r="A302" s="52"/>
      <c r="B302" s="320"/>
      <c r="C302" s="52"/>
      <c r="D302" s="306" t="s">
        <v>222</v>
      </c>
      <c r="E302" s="370">
        <v>3.3799999999999997E-2</v>
      </c>
      <c r="F302" s="371">
        <v>3.32E-2</v>
      </c>
      <c r="G302" s="371">
        <v>3.32E-2</v>
      </c>
      <c r="H302" s="371">
        <v>3.32E-2</v>
      </c>
      <c r="I302" s="371">
        <v>3.32E-2</v>
      </c>
      <c r="J302" s="371">
        <v>3.32E-2</v>
      </c>
      <c r="K302" s="3"/>
      <c r="L302" s="3"/>
      <c r="M302" s="3"/>
      <c r="N302" s="3"/>
      <c r="O302" s="3"/>
      <c r="P302" s="3"/>
      <c r="Q302" s="3"/>
      <c r="R302" s="3"/>
      <c r="S302" s="3"/>
      <c r="T302" s="3"/>
      <c r="U302" s="3"/>
      <c r="V302" s="3"/>
      <c r="W302" s="3"/>
      <c r="X302" s="3"/>
      <c r="Y302" s="3"/>
      <c r="Z302" s="3"/>
    </row>
    <row r="303" spans="1:26" ht="12" customHeight="1">
      <c r="A303" s="52"/>
      <c r="B303" s="320"/>
      <c r="C303" s="52"/>
      <c r="D303" s="306" t="s">
        <v>223</v>
      </c>
      <c r="E303" s="370">
        <v>5.1000000000000004E-3</v>
      </c>
      <c r="F303" s="371">
        <v>4.7999999999999996E-3</v>
      </c>
      <c r="G303" s="371">
        <v>4.7999999999999996E-3</v>
      </c>
      <c r="H303" s="371">
        <v>4.7999999999999996E-3</v>
      </c>
      <c r="I303" s="371">
        <v>4.7999999999999996E-3</v>
      </c>
      <c r="J303" s="371">
        <v>4.7999999999999996E-3</v>
      </c>
      <c r="K303" s="3"/>
      <c r="L303" s="3"/>
      <c r="M303" s="3"/>
      <c r="N303" s="3"/>
      <c r="O303" s="3"/>
      <c r="P303" s="3"/>
      <c r="Q303" s="3"/>
      <c r="R303" s="3"/>
      <c r="S303" s="3"/>
      <c r="T303" s="3"/>
      <c r="U303" s="3"/>
      <c r="V303" s="3"/>
      <c r="W303" s="3"/>
      <c r="X303" s="3"/>
      <c r="Y303" s="3"/>
      <c r="Z303" s="3"/>
    </row>
    <row r="304" spans="1:26" ht="12" customHeight="1">
      <c r="A304" s="52"/>
      <c r="B304" s="320"/>
      <c r="C304" s="52"/>
      <c r="D304" s="306" t="s">
        <v>224</v>
      </c>
      <c r="E304" s="370">
        <v>3.3799999999999997E-2</v>
      </c>
      <c r="F304" s="371">
        <v>3.32E-2</v>
      </c>
      <c r="G304" s="371">
        <v>3.32E-2</v>
      </c>
      <c r="H304" s="371">
        <v>3.32E-2</v>
      </c>
      <c r="I304" s="371">
        <v>3.32E-2</v>
      </c>
      <c r="J304" s="371">
        <v>3.32E-2</v>
      </c>
      <c r="K304" s="3"/>
      <c r="L304" s="3"/>
      <c r="M304" s="3"/>
      <c r="N304" s="3"/>
      <c r="O304" s="3"/>
      <c r="P304" s="3"/>
      <c r="Q304" s="3"/>
      <c r="R304" s="3"/>
      <c r="S304" s="3"/>
      <c r="T304" s="3"/>
      <c r="U304" s="3"/>
      <c r="V304" s="3"/>
      <c r="W304" s="3"/>
      <c r="X304" s="3"/>
      <c r="Y304" s="3"/>
      <c r="Z304" s="3"/>
    </row>
    <row r="305" spans="1:26" ht="12" customHeight="1">
      <c r="A305" s="52"/>
      <c r="B305" s="320"/>
      <c r="C305" s="52"/>
      <c r="D305" s="306" t="s">
        <v>225</v>
      </c>
      <c r="E305" s="370">
        <v>3.3799999999999997E-2</v>
      </c>
      <c r="F305" s="371">
        <v>3.32E-2</v>
      </c>
      <c r="G305" s="371">
        <v>3.32E-2</v>
      </c>
      <c r="H305" s="371">
        <v>3.32E-2</v>
      </c>
      <c r="I305" s="371">
        <v>3.32E-2</v>
      </c>
      <c r="J305" s="371">
        <v>3.32E-2</v>
      </c>
      <c r="K305" s="3"/>
      <c r="L305" s="3"/>
      <c r="M305" s="3"/>
      <c r="N305" s="3"/>
      <c r="O305" s="3"/>
      <c r="P305" s="3"/>
      <c r="Q305" s="3"/>
      <c r="R305" s="3"/>
      <c r="S305" s="3"/>
      <c r="T305" s="3"/>
      <c r="U305" s="3"/>
      <c r="V305" s="3"/>
      <c r="W305" s="3"/>
      <c r="X305" s="3"/>
      <c r="Y305" s="3"/>
      <c r="Z305" s="3"/>
    </row>
    <row r="306" spans="1:26" ht="12" customHeight="1">
      <c r="A306" s="52"/>
      <c r="B306" s="320"/>
      <c r="C306" s="52"/>
      <c r="D306" s="306" t="s">
        <v>226</v>
      </c>
      <c r="E306" s="370">
        <v>3.3799999999999997E-2</v>
      </c>
      <c r="F306" s="371">
        <v>3.32E-2</v>
      </c>
      <c r="G306" s="371">
        <v>3.32E-2</v>
      </c>
      <c r="H306" s="371">
        <v>3.32E-2</v>
      </c>
      <c r="I306" s="371">
        <v>3.32E-2</v>
      </c>
      <c r="J306" s="371">
        <v>3.32E-2</v>
      </c>
      <c r="K306" s="3"/>
      <c r="L306" s="3"/>
      <c r="M306" s="3"/>
      <c r="N306" s="3"/>
      <c r="O306" s="3"/>
      <c r="P306" s="3"/>
      <c r="Q306" s="3"/>
      <c r="R306" s="3"/>
      <c r="S306" s="3"/>
      <c r="T306" s="3"/>
      <c r="U306" s="3"/>
      <c r="V306" s="3"/>
      <c r="W306" s="3"/>
      <c r="X306" s="3"/>
      <c r="Y306" s="3"/>
      <c r="Z306" s="3"/>
    </row>
    <row r="307" spans="1:26" ht="12" customHeight="1">
      <c r="A307" s="52"/>
      <c r="B307" s="320"/>
      <c r="C307" s="52"/>
      <c r="D307" s="306" t="s">
        <v>227</v>
      </c>
      <c r="E307" s="3"/>
      <c r="F307" s="3"/>
      <c r="G307" s="3"/>
      <c r="H307" s="3"/>
      <c r="I307" s="3"/>
      <c r="J307" s="3"/>
      <c r="K307" s="3"/>
      <c r="L307" s="3"/>
      <c r="M307" s="3"/>
      <c r="N307" s="3"/>
      <c r="O307" s="3"/>
      <c r="P307" s="3"/>
      <c r="Q307" s="3"/>
      <c r="R307" s="3"/>
      <c r="S307" s="3"/>
      <c r="T307" s="3"/>
      <c r="U307" s="3"/>
      <c r="V307" s="3"/>
      <c r="W307" s="3"/>
      <c r="X307" s="3"/>
      <c r="Y307" s="3"/>
      <c r="Z307" s="3"/>
    </row>
    <row r="308" spans="1:26" ht="12" customHeight="1">
      <c r="A308" s="52"/>
      <c r="B308" s="320"/>
      <c r="C308" s="52"/>
      <c r="D308" s="306" t="s">
        <v>228</v>
      </c>
      <c r="E308" s="3"/>
      <c r="F308" s="3"/>
      <c r="G308" s="3"/>
      <c r="H308" s="3"/>
      <c r="I308" s="3"/>
      <c r="J308" s="3"/>
      <c r="K308" s="3"/>
      <c r="L308" s="3"/>
      <c r="M308" s="3"/>
      <c r="N308" s="3"/>
      <c r="O308" s="3"/>
      <c r="P308" s="3"/>
      <c r="Q308" s="3"/>
      <c r="R308" s="3"/>
      <c r="S308" s="3"/>
      <c r="T308" s="3"/>
      <c r="U308" s="3"/>
      <c r="V308" s="3"/>
      <c r="W308" s="3"/>
      <c r="X308" s="3"/>
      <c r="Y308" s="3"/>
      <c r="Z308" s="3"/>
    </row>
    <row r="309" spans="1:26" ht="12" customHeight="1">
      <c r="A309" s="52"/>
      <c r="B309" s="320"/>
      <c r="C309" s="52"/>
      <c r="D309" s="306" t="s">
        <v>229</v>
      </c>
      <c r="E309" s="3"/>
      <c r="F309" s="3"/>
      <c r="G309" s="3"/>
      <c r="H309" s="3"/>
      <c r="I309" s="3"/>
      <c r="J309" s="3"/>
      <c r="K309" s="3"/>
      <c r="L309" s="3"/>
      <c r="M309" s="3"/>
      <c r="N309" s="3"/>
      <c r="O309" s="3"/>
      <c r="P309" s="3"/>
      <c r="Q309" s="3"/>
      <c r="R309" s="3"/>
      <c r="S309" s="3"/>
      <c r="T309" s="3"/>
      <c r="U309" s="3"/>
      <c r="V309" s="3"/>
      <c r="W309" s="3"/>
      <c r="X309" s="3"/>
      <c r="Y309" s="3"/>
      <c r="Z309" s="3"/>
    </row>
    <row r="310" spans="1:26" ht="12" customHeight="1">
      <c r="A310" s="52"/>
      <c r="B310" s="52"/>
      <c r="C310" s="52"/>
      <c r="D310" s="306"/>
      <c r="E310" s="3"/>
      <c r="F310" s="52"/>
      <c r="G310" s="52"/>
      <c r="H310" s="52"/>
      <c r="I310" s="52"/>
      <c r="J310" s="52"/>
      <c r="K310" s="3"/>
      <c r="L310" s="3"/>
      <c r="M310" s="3"/>
      <c r="N310" s="3"/>
      <c r="O310" s="3"/>
      <c r="P310" s="3"/>
      <c r="Q310" s="3"/>
      <c r="R310" s="3"/>
      <c r="S310" s="3"/>
      <c r="T310" s="3"/>
      <c r="U310" s="3"/>
      <c r="V310" s="3"/>
      <c r="W310" s="3"/>
      <c r="X310" s="3"/>
      <c r="Y310" s="3"/>
      <c r="Z310" s="3"/>
    </row>
    <row r="311" spans="1:26" ht="12" customHeight="1">
      <c r="A311" s="52"/>
      <c r="B311" s="306"/>
      <c r="C311" s="317" t="s">
        <v>275</v>
      </c>
      <c r="D311" s="306"/>
      <c r="E311" s="3"/>
      <c r="F311" s="3"/>
      <c r="G311" s="3"/>
      <c r="H311" s="3"/>
      <c r="I311" s="3"/>
      <c r="J311" s="3"/>
      <c r="K311" s="3"/>
      <c r="L311" s="3"/>
      <c r="M311" s="3"/>
      <c r="N311" s="3"/>
      <c r="O311" s="3"/>
      <c r="P311" s="3"/>
      <c r="Q311" s="3"/>
      <c r="R311" s="3"/>
      <c r="S311" s="3"/>
      <c r="T311" s="3"/>
      <c r="U311" s="3"/>
      <c r="V311" s="3"/>
      <c r="W311" s="3"/>
      <c r="X311" s="3"/>
      <c r="Y311" s="3"/>
      <c r="Z311" s="3"/>
    </row>
    <row r="312" spans="1:26" ht="12" customHeight="1">
      <c r="A312" s="52"/>
      <c r="B312" s="52"/>
      <c r="C312" s="52"/>
      <c r="D312" s="306" t="s">
        <v>147</v>
      </c>
      <c r="E312" s="360">
        <v>1.0338000000000001</v>
      </c>
      <c r="F312" s="364">
        <v>1.0331999999999999</v>
      </c>
      <c r="G312" s="364">
        <v>1.0331999999999999</v>
      </c>
      <c r="H312" s="364">
        <v>1.0331999999999999</v>
      </c>
      <c r="I312" s="364">
        <v>1.0331999999999999</v>
      </c>
      <c r="J312" s="364">
        <v>1.0331999999999999</v>
      </c>
      <c r="K312" s="3"/>
      <c r="L312" s="3"/>
      <c r="M312" s="3"/>
      <c r="N312" s="3"/>
      <c r="O312" s="3"/>
      <c r="P312" s="3"/>
      <c r="Q312" s="3"/>
      <c r="R312" s="3"/>
      <c r="S312" s="3"/>
      <c r="T312" s="3"/>
      <c r="U312" s="3"/>
      <c r="V312" s="3"/>
      <c r="W312" s="3"/>
      <c r="X312" s="3"/>
      <c r="Y312" s="3"/>
      <c r="Z312" s="3"/>
    </row>
    <row r="313" spans="1:26" ht="12" customHeight="1">
      <c r="A313" s="52"/>
      <c r="B313" s="52"/>
      <c r="C313" s="52"/>
      <c r="D313" s="306" t="s">
        <v>148</v>
      </c>
      <c r="E313" s="360">
        <v>1.0152000000000001</v>
      </c>
      <c r="F313" s="364">
        <v>1.0149999999999999</v>
      </c>
      <c r="G313" s="364">
        <v>1.0149999999999999</v>
      </c>
      <c r="H313" s="364">
        <v>1.0149999999999999</v>
      </c>
      <c r="I313" s="364">
        <v>1.0149999999999999</v>
      </c>
      <c r="J313" s="364">
        <v>1.0149999999999999</v>
      </c>
      <c r="K313" s="3"/>
      <c r="L313" s="3"/>
      <c r="M313" s="3"/>
      <c r="N313" s="3"/>
      <c r="O313" s="3"/>
      <c r="P313" s="3"/>
      <c r="Q313" s="3"/>
      <c r="R313" s="3"/>
      <c r="S313" s="3"/>
      <c r="T313" s="3"/>
      <c r="U313" s="3"/>
      <c r="V313" s="3"/>
      <c r="W313" s="3"/>
      <c r="X313" s="3"/>
      <c r="Y313" s="3"/>
      <c r="Z313" s="3"/>
    </row>
    <row r="314" spans="1:26" ht="12" customHeight="1">
      <c r="A314" s="52"/>
      <c r="B314" s="52"/>
      <c r="C314" s="52"/>
      <c r="D314" s="306" t="s">
        <v>149</v>
      </c>
      <c r="E314" s="360">
        <v>1.0234000000000001</v>
      </c>
      <c r="F314" s="364">
        <v>1.0230999999999999</v>
      </c>
      <c r="G314" s="364">
        <v>1.0230999999999999</v>
      </c>
      <c r="H314" s="364">
        <v>1.0230999999999999</v>
      </c>
      <c r="I314" s="364">
        <v>1.0230999999999999</v>
      </c>
      <c r="J314" s="364">
        <v>1.0230999999999999</v>
      </c>
      <c r="K314" s="3"/>
      <c r="L314" s="3"/>
      <c r="M314" s="3"/>
      <c r="N314" s="3"/>
      <c r="O314" s="3"/>
      <c r="P314" s="3"/>
      <c r="Q314" s="3"/>
      <c r="R314" s="3"/>
      <c r="S314" s="3"/>
      <c r="T314" s="3"/>
      <c r="U314" s="3"/>
      <c r="V314" s="3"/>
      <c r="W314" s="3"/>
      <c r="X314" s="3"/>
      <c r="Y314" s="3"/>
      <c r="Z314" s="3"/>
    </row>
    <row r="315" spans="1:26" ht="12" customHeight="1">
      <c r="A315" s="52"/>
      <c r="B315" s="52"/>
      <c r="C315" s="52"/>
      <c r="D315" s="306" t="s">
        <v>150</v>
      </c>
      <c r="E315" s="360">
        <v>1.0051000000000001</v>
      </c>
      <c r="F315" s="364">
        <v>1.0047999999999999</v>
      </c>
      <c r="G315" s="364">
        <v>1.0047999999999999</v>
      </c>
      <c r="H315" s="364">
        <v>1.0047999999999999</v>
      </c>
      <c r="I315" s="364">
        <v>1.0047999999999999</v>
      </c>
      <c r="J315" s="364">
        <v>1.0047999999999999</v>
      </c>
      <c r="K315" s="3"/>
      <c r="L315" s="3"/>
      <c r="M315" s="3"/>
      <c r="N315" s="3"/>
      <c r="O315" s="3"/>
      <c r="P315" s="3"/>
      <c r="Q315" s="3"/>
      <c r="R315" s="3"/>
      <c r="S315" s="3"/>
      <c r="T315" s="3"/>
      <c r="U315" s="3"/>
      <c r="V315" s="3"/>
      <c r="W315" s="3"/>
      <c r="X315" s="3"/>
      <c r="Y315" s="3"/>
      <c r="Z315" s="3"/>
    </row>
    <row r="316" spans="1:26" ht="12" customHeight="1">
      <c r="A316" s="52"/>
      <c r="B316" s="52"/>
      <c r="C316" s="52"/>
      <c r="D316" s="306"/>
      <c r="E316" s="3"/>
      <c r="F316" s="3"/>
      <c r="G316" s="3"/>
      <c r="H316" s="3"/>
      <c r="I316" s="3"/>
      <c r="J316" s="3"/>
      <c r="K316" s="3"/>
      <c r="L316" s="3"/>
      <c r="M316" s="3"/>
      <c r="N316" s="3"/>
      <c r="O316" s="3"/>
      <c r="P316" s="3"/>
      <c r="Q316" s="3"/>
      <c r="R316" s="3"/>
      <c r="S316" s="3"/>
      <c r="T316" s="3"/>
      <c r="U316" s="3"/>
      <c r="V316" s="3"/>
      <c r="W316" s="3"/>
      <c r="X316" s="3"/>
      <c r="Y316" s="3"/>
      <c r="Z316" s="3"/>
    </row>
    <row r="317" spans="1:26" ht="12" customHeight="1">
      <c r="A317" s="52"/>
      <c r="B317" s="52"/>
      <c r="C317" s="52"/>
      <c r="D317" s="306"/>
      <c r="E317" s="3"/>
      <c r="F317" s="3"/>
      <c r="G317" s="3"/>
      <c r="H317" s="3"/>
      <c r="I317" s="3"/>
      <c r="J317" s="3"/>
      <c r="K317" s="3"/>
      <c r="L317" s="3"/>
      <c r="M317" s="3"/>
      <c r="N317" s="3"/>
      <c r="O317" s="3"/>
      <c r="P317" s="3"/>
      <c r="Q317" s="3"/>
      <c r="R317" s="3"/>
      <c r="S317" s="3"/>
      <c r="T317" s="3"/>
      <c r="U317" s="3"/>
      <c r="V317" s="3"/>
      <c r="W317" s="3"/>
      <c r="X317" s="3"/>
      <c r="Y317" s="3"/>
      <c r="Z317" s="3"/>
    </row>
    <row r="318" spans="1:26" ht="12" customHeight="1">
      <c r="A318" s="52"/>
      <c r="B318" s="306"/>
      <c r="C318" s="317" t="s">
        <v>103</v>
      </c>
      <c r="D318" s="3"/>
      <c r="E318" s="318" t="s">
        <v>215</v>
      </c>
      <c r="F318" s="319" t="str">
        <f t="shared" ref="F318:J318" si="45">F$4</f>
        <v>2026F</v>
      </c>
      <c r="G318" s="319" t="str">
        <f t="shared" si="45"/>
        <v>2027F</v>
      </c>
      <c r="H318" s="319" t="str">
        <f t="shared" si="45"/>
        <v>2028F</v>
      </c>
      <c r="I318" s="319" t="str">
        <f t="shared" si="45"/>
        <v>2029F</v>
      </c>
      <c r="J318" s="319" t="str">
        <f t="shared" si="45"/>
        <v>2030F</v>
      </c>
      <c r="K318" s="3"/>
      <c r="L318" s="3"/>
      <c r="M318" s="3"/>
      <c r="N318" s="3"/>
      <c r="O318" s="3"/>
      <c r="P318" s="3"/>
      <c r="Q318" s="3"/>
      <c r="R318" s="3"/>
      <c r="S318" s="3"/>
      <c r="T318" s="3"/>
      <c r="U318" s="3"/>
      <c r="V318" s="3"/>
      <c r="W318" s="3"/>
      <c r="X318" s="3"/>
      <c r="Y318" s="3"/>
      <c r="Z318" s="3"/>
    </row>
    <row r="319" spans="1:26" ht="12" customHeight="1">
      <c r="A319" s="52"/>
      <c r="B319" s="52"/>
      <c r="C319" s="52"/>
      <c r="D319" s="306" t="s">
        <v>104</v>
      </c>
      <c r="E319" s="372">
        <v>18</v>
      </c>
      <c r="F319" s="372">
        <v>0</v>
      </c>
      <c r="G319" s="372">
        <v>0</v>
      </c>
      <c r="H319" s="372">
        <v>0</v>
      </c>
      <c r="I319" s="372">
        <v>0</v>
      </c>
      <c r="J319" s="372">
        <v>0</v>
      </c>
      <c r="K319" s="52"/>
      <c r="L319" s="52"/>
      <c r="M319" s="52"/>
      <c r="N319" s="52"/>
      <c r="O319" s="52"/>
      <c r="P319" s="52"/>
      <c r="Q319" s="52"/>
      <c r="R319" s="52"/>
      <c r="S319" s="52"/>
      <c r="T319" s="52"/>
      <c r="U319" s="52"/>
      <c r="V319" s="52"/>
      <c r="W319" s="52"/>
      <c r="X319" s="52"/>
      <c r="Y319" s="52"/>
      <c r="Z319" s="52"/>
    </row>
    <row r="320" spans="1:26" ht="12" customHeight="1">
      <c r="A320" s="52"/>
      <c r="B320" s="52"/>
      <c r="C320" s="52"/>
      <c r="D320" s="306" t="s">
        <v>105</v>
      </c>
      <c r="E320" s="372">
        <v>29</v>
      </c>
      <c r="F320" s="372">
        <v>30</v>
      </c>
      <c r="G320" s="372">
        <v>30</v>
      </c>
      <c r="H320" s="372">
        <v>30</v>
      </c>
      <c r="I320" s="372">
        <v>30</v>
      </c>
      <c r="J320" s="372">
        <v>30</v>
      </c>
      <c r="K320" s="52"/>
      <c r="L320" s="52"/>
      <c r="M320" s="52"/>
      <c r="N320" s="52"/>
      <c r="O320" s="52"/>
      <c r="P320" s="52"/>
      <c r="Q320" s="52"/>
      <c r="R320" s="52"/>
      <c r="S320" s="52"/>
      <c r="T320" s="52"/>
      <c r="U320" s="52"/>
      <c r="V320" s="52"/>
      <c r="W320" s="52"/>
      <c r="X320" s="52"/>
      <c r="Y320" s="52"/>
      <c r="Z320" s="52"/>
    </row>
    <row r="321" spans="1:26" ht="12" customHeight="1">
      <c r="A321" s="52"/>
      <c r="B321" s="52"/>
      <c r="C321" s="52"/>
      <c r="D321" s="306" t="s">
        <v>106</v>
      </c>
      <c r="E321" s="372">
        <v>6</v>
      </c>
      <c r="F321" s="372">
        <v>7</v>
      </c>
      <c r="G321" s="372">
        <v>7</v>
      </c>
      <c r="H321" s="372">
        <v>7</v>
      </c>
      <c r="I321" s="372">
        <v>7</v>
      </c>
      <c r="J321" s="372">
        <v>7</v>
      </c>
      <c r="K321" s="52"/>
      <c r="L321" s="52"/>
      <c r="M321" s="52"/>
      <c r="N321" s="52"/>
      <c r="O321" s="52"/>
      <c r="P321" s="52"/>
      <c r="Q321" s="52"/>
      <c r="R321" s="52"/>
      <c r="S321" s="52"/>
      <c r="T321" s="52"/>
      <c r="U321" s="52"/>
      <c r="V321" s="52"/>
      <c r="W321" s="52"/>
      <c r="X321" s="52"/>
      <c r="Y321" s="52"/>
      <c r="Z321" s="52"/>
    </row>
    <row r="322" spans="1:26" ht="12" customHeight="1">
      <c r="A322" s="52"/>
      <c r="B322" s="52"/>
      <c r="C322" s="52"/>
      <c r="D322" s="306" t="s">
        <v>107</v>
      </c>
      <c r="E322" s="372">
        <v>140</v>
      </c>
      <c r="F322" s="372">
        <v>141</v>
      </c>
      <c r="G322" s="372">
        <v>144</v>
      </c>
      <c r="H322" s="372">
        <v>147</v>
      </c>
      <c r="I322" s="372">
        <v>151</v>
      </c>
      <c r="J322" s="372">
        <v>154</v>
      </c>
      <c r="K322" s="52"/>
      <c r="L322" s="52"/>
      <c r="M322" s="52"/>
      <c r="N322" s="52"/>
      <c r="O322" s="52"/>
      <c r="P322" s="52"/>
      <c r="Q322" s="52"/>
      <c r="R322" s="52"/>
      <c r="S322" s="52"/>
      <c r="T322" s="52"/>
      <c r="U322" s="52"/>
      <c r="V322" s="52"/>
      <c r="W322" s="52"/>
      <c r="X322" s="52"/>
      <c r="Y322" s="52"/>
      <c r="Z322" s="52"/>
    </row>
    <row r="323" spans="1:26" ht="12" customHeight="1">
      <c r="A323" s="52"/>
      <c r="B323" s="52"/>
      <c r="C323" s="52"/>
      <c r="D323" s="306" t="s">
        <v>108</v>
      </c>
      <c r="E323" s="372">
        <v>18</v>
      </c>
      <c r="F323" s="372">
        <v>20</v>
      </c>
      <c r="G323" s="372">
        <v>20</v>
      </c>
      <c r="H323" s="372">
        <v>20</v>
      </c>
      <c r="I323" s="372">
        <v>20</v>
      </c>
      <c r="J323" s="372">
        <v>20</v>
      </c>
      <c r="K323" s="52"/>
      <c r="L323" s="52"/>
      <c r="M323" s="52"/>
      <c r="N323" s="52"/>
      <c r="O323" s="52"/>
      <c r="P323" s="52"/>
      <c r="Q323" s="52"/>
      <c r="R323" s="52"/>
      <c r="S323" s="52"/>
      <c r="T323" s="52"/>
      <c r="U323" s="52"/>
      <c r="V323" s="52"/>
      <c r="W323" s="52"/>
      <c r="X323" s="52"/>
      <c r="Y323" s="52"/>
      <c r="Z323" s="52"/>
    </row>
    <row r="324" spans="1:26" ht="12" customHeight="1">
      <c r="A324" s="52"/>
      <c r="B324" s="52"/>
      <c r="C324" s="52"/>
      <c r="D324" s="306" t="s">
        <v>109</v>
      </c>
      <c r="E324" s="372">
        <v>29</v>
      </c>
      <c r="F324" s="372">
        <v>25</v>
      </c>
      <c r="G324" s="372">
        <v>25</v>
      </c>
      <c r="H324" s="372">
        <v>25</v>
      </c>
      <c r="I324" s="372">
        <v>25</v>
      </c>
      <c r="J324" s="372">
        <v>25</v>
      </c>
      <c r="K324" s="52"/>
      <c r="L324" s="52"/>
      <c r="M324" s="52"/>
      <c r="N324" s="52"/>
      <c r="O324" s="52"/>
      <c r="P324" s="52"/>
      <c r="Q324" s="52"/>
      <c r="R324" s="52"/>
      <c r="S324" s="52"/>
      <c r="T324" s="52"/>
      <c r="U324" s="52"/>
      <c r="V324" s="52"/>
      <c r="W324" s="52"/>
      <c r="X324" s="52"/>
      <c r="Y324" s="52"/>
      <c r="Z324" s="52"/>
    </row>
    <row r="325" spans="1:26" ht="12" customHeight="1">
      <c r="A325" s="52"/>
      <c r="B325" s="52"/>
      <c r="C325" s="52"/>
      <c r="D325" s="306" t="s">
        <v>110</v>
      </c>
      <c r="E325" s="372">
        <v>29</v>
      </c>
      <c r="F325" s="372">
        <v>10</v>
      </c>
      <c r="G325" s="372">
        <v>10</v>
      </c>
      <c r="H325" s="372">
        <v>10</v>
      </c>
      <c r="I325" s="372">
        <v>10</v>
      </c>
      <c r="J325" s="372">
        <v>10</v>
      </c>
      <c r="K325" s="52"/>
      <c r="L325" s="52"/>
      <c r="M325" s="52"/>
      <c r="N325" s="52"/>
      <c r="O325" s="52"/>
      <c r="P325" s="52"/>
      <c r="Q325" s="52"/>
      <c r="R325" s="52"/>
      <c r="S325" s="52"/>
      <c r="T325" s="52"/>
      <c r="U325" s="52"/>
      <c r="V325" s="52"/>
      <c r="W325" s="52"/>
      <c r="X325" s="52"/>
      <c r="Y325" s="52"/>
      <c r="Z325" s="52"/>
    </row>
    <row r="326" spans="1:26" ht="12" customHeight="1">
      <c r="A326" s="52"/>
      <c r="B326" s="52"/>
      <c r="C326" s="52"/>
      <c r="D326" s="306" t="s">
        <v>276</v>
      </c>
      <c r="E326" s="372">
        <v>0</v>
      </c>
      <c r="F326" s="372">
        <v>0</v>
      </c>
      <c r="G326" s="372">
        <v>0</v>
      </c>
      <c r="H326" s="372">
        <v>0</v>
      </c>
      <c r="I326" s="372">
        <v>0</v>
      </c>
      <c r="J326" s="372">
        <v>0</v>
      </c>
      <c r="K326" s="52"/>
      <c r="L326" s="52"/>
      <c r="M326" s="52"/>
      <c r="N326" s="52"/>
      <c r="O326" s="52"/>
      <c r="P326" s="52"/>
      <c r="Q326" s="52"/>
      <c r="R326" s="52"/>
      <c r="S326" s="52"/>
      <c r="T326" s="52"/>
      <c r="U326" s="52"/>
      <c r="V326" s="52"/>
      <c r="W326" s="52"/>
      <c r="X326" s="52"/>
      <c r="Y326" s="52"/>
      <c r="Z326" s="52"/>
    </row>
    <row r="327" spans="1:26" ht="12" customHeight="1">
      <c r="A327" s="52"/>
      <c r="B327" s="52"/>
      <c r="C327" s="52"/>
      <c r="D327" s="306" t="s">
        <v>277</v>
      </c>
      <c r="E327" s="372">
        <v>0</v>
      </c>
      <c r="F327" s="372">
        <v>0</v>
      </c>
      <c r="G327" s="372">
        <v>0</v>
      </c>
      <c r="H327" s="372">
        <v>0</v>
      </c>
      <c r="I327" s="372">
        <v>0</v>
      </c>
      <c r="J327" s="372">
        <v>0</v>
      </c>
      <c r="K327" s="52"/>
      <c r="L327" s="52"/>
      <c r="M327" s="52"/>
      <c r="N327" s="52"/>
      <c r="O327" s="52"/>
      <c r="P327" s="52"/>
      <c r="Q327" s="52"/>
      <c r="R327" s="52"/>
      <c r="S327" s="52"/>
      <c r="T327" s="52"/>
      <c r="U327" s="52"/>
      <c r="V327" s="52"/>
      <c r="W327" s="52"/>
      <c r="X327" s="52"/>
      <c r="Y327" s="52"/>
      <c r="Z327" s="52"/>
    </row>
    <row r="328" spans="1:26" ht="12" customHeight="1">
      <c r="A328" s="52"/>
      <c r="B328" s="52"/>
      <c r="C328" s="52"/>
      <c r="D328" s="306" t="s">
        <v>111</v>
      </c>
      <c r="E328" s="372">
        <v>359</v>
      </c>
      <c r="F328" s="372">
        <v>366</v>
      </c>
      <c r="G328" s="372">
        <v>374</v>
      </c>
      <c r="H328" s="372">
        <v>382</v>
      </c>
      <c r="I328" s="372">
        <v>390</v>
      </c>
      <c r="J328" s="372">
        <v>398</v>
      </c>
      <c r="K328" s="52"/>
      <c r="L328" s="52"/>
      <c r="M328" s="52"/>
      <c r="N328" s="52"/>
      <c r="O328" s="52"/>
      <c r="P328" s="52"/>
      <c r="Q328" s="52"/>
      <c r="R328" s="52"/>
      <c r="S328" s="52"/>
      <c r="T328" s="52"/>
      <c r="U328" s="52"/>
      <c r="V328" s="52"/>
      <c r="W328" s="52"/>
      <c r="X328" s="52"/>
      <c r="Y328" s="52"/>
      <c r="Z328" s="52"/>
    </row>
    <row r="329" spans="1:26" ht="12" customHeight="1">
      <c r="A329" s="52"/>
      <c r="B329" s="52"/>
      <c r="C329" s="52"/>
      <c r="D329" s="306" t="s">
        <v>112</v>
      </c>
      <c r="E329" s="372">
        <v>270</v>
      </c>
      <c r="F329" s="372">
        <v>322</v>
      </c>
      <c r="G329" s="372">
        <v>328</v>
      </c>
      <c r="H329" s="372">
        <v>335</v>
      </c>
      <c r="I329" s="372">
        <v>342</v>
      </c>
      <c r="J329" s="372">
        <v>350</v>
      </c>
      <c r="K329" s="52"/>
      <c r="L329" s="52"/>
      <c r="M329" s="52"/>
      <c r="N329" s="52"/>
      <c r="O329" s="52"/>
      <c r="P329" s="52"/>
      <c r="Q329" s="52"/>
      <c r="R329" s="52"/>
      <c r="S329" s="52"/>
      <c r="T329" s="52"/>
      <c r="U329" s="52"/>
      <c r="V329" s="52"/>
      <c r="W329" s="52"/>
      <c r="X329" s="52"/>
      <c r="Y329" s="52"/>
      <c r="Z329" s="52"/>
    </row>
    <row r="330" spans="1:26" ht="12" customHeight="1">
      <c r="A330" s="52"/>
      <c r="B330" s="52"/>
      <c r="C330" s="52"/>
      <c r="D330" s="306"/>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 customHeight="1">
      <c r="A331" s="52"/>
      <c r="B331" s="306"/>
      <c r="C331" s="317" t="s">
        <v>113</v>
      </c>
      <c r="D331" s="52"/>
      <c r="E331" s="319" t="s">
        <v>215</v>
      </c>
      <c r="F331" s="319" t="str">
        <f t="shared" ref="F331:J331" si="46">F$4</f>
        <v>2026F</v>
      </c>
      <c r="G331" s="319" t="str">
        <f t="shared" si="46"/>
        <v>2027F</v>
      </c>
      <c r="H331" s="319" t="str">
        <f t="shared" si="46"/>
        <v>2028F</v>
      </c>
      <c r="I331" s="319" t="str">
        <f t="shared" si="46"/>
        <v>2029F</v>
      </c>
      <c r="J331" s="319" t="str">
        <f t="shared" si="46"/>
        <v>2030F</v>
      </c>
      <c r="K331" s="52"/>
      <c r="L331" s="52"/>
      <c r="M331" s="52"/>
      <c r="N331" s="52"/>
      <c r="O331" s="52"/>
      <c r="P331" s="52"/>
      <c r="Q331" s="52"/>
      <c r="R331" s="52"/>
      <c r="S331" s="52"/>
      <c r="T331" s="52"/>
      <c r="U331" s="52"/>
      <c r="V331" s="52"/>
      <c r="W331" s="52"/>
      <c r="X331" s="52"/>
      <c r="Y331" s="52"/>
      <c r="Z331" s="52"/>
    </row>
    <row r="332" spans="1:26" ht="12" customHeight="1">
      <c r="A332" s="52"/>
      <c r="B332" s="52"/>
      <c r="C332" s="52"/>
      <c r="D332" s="306" t="s">
        <v>114</v>
      </c>
      <c r="E332" s="371">
        <v>1.4999999999999999E-2</v>
      </c>
      <c r="F332" s="371">
        <v>1.4999999999999999E-2</v>
      </c>
      <c r="G332" s="371">
        <v>1.4999999999999999E-2</v>
      </c>
      <c r="H332" s="371">
        <v>1.4999999999999999E-2</v>
      </c>
      <c r="I332" s="371">
        <v>1.4999999999999999E-2</v>
      </c>
      <c r="J332" s="371">
        <v>1.4999999999999999E-2</v>
      </c>
      <c r="K332" s="52"/>
      <c r="L332" s="52"/>
      <c r="M332" s="52"/>
      <c r="N332" s="52"/>
      <c r="O332" s="52"/>
      <c r="P332" s="52"/>
      <c r="Q332" s="52"/>
      <c r="R332" s="52"/>
      <c r="S332" s="52"/>
      <c r="T332" s="52"/>
      <c r="U332" s="52"/>
      <c r="V332" s="52"/>
      <c r="W332" s="52"/>
      <c r="X332" s="52"/>
      <c r="Y332" s="52"/>
      <c r="Z332" s="52"/>
    </row>
    <row r="333" spans="1:26" ht="12" customHeight="1">
      <c r="A333" s="52"/>
      <c r="B333" s="52"/>
      <c r="C333" s="52"/>
      <c r="D333" s="306" t="s">
        <v>115</v>
      </c>
      <c r="E333" s="372">
        <v>76</v>
      </c>
      <c r="F333" s="372">
        <v>70</v>
      </c>
      <c r="G333" s="372">
        <v>71</v>
      </c>
      <c r="H333" s="372">
        <v>72</v>
      </c>
      <c r="I333" s="372">
        <v>74</v>
      </c>
      <c r="J333" s="372">
        <v>76</v>
      </c>
      <c r="K333" s="52"/>
      <c r="L333" s="52"/>
      <c r="M333" s="52"/>
      <c r="N333" s="52"/>
      <c r="O333" s="52"/>
      <c r="P333" s="52"/>
      <c r="Q333" s="52"/>
      <c r="R333" s="52"/>
      <c r="S333" s="52"/>
      <c r="T333" s="52"/>
      <c r="U333" s="52"/>
      <c r="V333" s="52"/>
      <c r="W333" s="52"/>
      <c r="X333" s="52"/>
      <c r="Y333" s="52"/>
      <c r="Z333" s="52"/>
    </row>
    <row r="334" spans="1:26" ht="12" customHeight="1">
      <c r="A334" s="52"/>
      <c r="B334" s="52"/>
      <c r="C334" s="52"/>
      <c r="D334" s="306" t="s">
        <v>116</v>
      </c>
      <c r="E334" s="372">
        <v>115</v>
      </c>
      <c r="F334" s="372">
        <v>94</v>
      </c>
      <c r="G334" s="372">
        <v>96</v>
      </c>
      <c r="H334" s="372">
        <v>98</v>
      </c>
      <c r="I334" s="372">
        <v>100</v>
      </c>
      <c r="J334" s="372">
        <v>102</v>
      </c>
      <c r="K334" s="52"/>
      <c r="L334" s="52"/>
      <c r="M334" s="52"/>
      <c r="N334" s="52"/>
      <c r="O334" s="52"/>
      <c r="P334" s="52"/>
      <c r="Q334" s="52"/>
      <c r="R334" s="52"/>
      <c r="S334" s="52"/>
      <c r="T334" s="52"/>
      <c r="U334" s="52"/>
      <c r="V334" s="52"/>
      <c r="W334" s="52"/>
      <c r="X334" s="52"/>
      <c r="Y334" s="52"/>
      <c r="Z334" s="52"/>
    </row>
    <row r="335" spans="1:26" ht="12" customHeight="1">
      <c r="A335" s="52"/>
      <c r="B335" s="52"/>
      <c r="C335" s="52"/>
      <c r="D335" s="306" t="s">
        <v>117</v>
      </c>
      <c r="E335" s="372">
        <v>286</v>
      </c>
      <c r="F335" s="372">
        <v>318</v>
      </c>
      <c r="G335" s="372">
        <v>325</v>
      </c>
      <c r="H335" s="372">
        <v>331</v>
      </c>
      <c r="I335" s="372">
        <v>338</v>
      </c>
      <c r="J335" s="372">
        <v>345</v>
      </c>
      <c r="K335" s="52"/>
      <c r="L335" s="52"/>
      <c r="M335" s="52"/>
      <c r="N335" s="52"/>
      <c r="O335" s="52"/>
      <c r="P335" s="52"/>
      <c r="Q335" s="52"/>
      <c r="R335" s="52"/>
      <c r="S335" s="52"/>
      <c r="T335" s="52"/>
      <c r="U335" s="52"/>
      <c r="V335" s="52"/>
      <c r="W335" s="52"/>
      <c r="X335" s="52"/>
      <c r="Y335" s="52"/>
      <c r="Z335" s="52"/>
    </row>
    <row r="336" spans="1:26" ht="12" customHeight="1">
      <c r="A336" s="52"/>
      <c r="B336" s="52"/>
      <c r="C336" s="52"/>
      <c r="D336" s="306" t="s">
        <v>118</v>
      </c>
      <c r="E336" s="372">
        <v>483</v>
      </c>
      <c r="F336" s="372">
        <v>480</v>
      </c>
      <c r="G336" s="372">
        <v>490</v>
      </c>
      <c r="H336" s="372">
        <v>500</v>
      </c>
      <c r="I336" s="372">
        <v>510</v>
      </c>
      <c r="J336" s="372">
        <v>521</v>
      </c>
      <c r="K336" s="52"/>
      <c r="L336" s="52"/>
      <c r="M336" s="52"/>
      <c r="N336" s="52"/>
      <c r="O336" s="52"/>
      <c r="P336" s="52"/>
      <c r="Q336" s="52"/>
      <c r="R336" s="52"/>
      <c r="S336" s="52"/>
      <c r="T336" s="52"/>
      <c r="U336" s="52"/>
      <c r="V336" s="52"/>
      <c r="W336" s="52"/>
      <c r="X336" s="52"/>
      <c r="Y336" s="52"/>
      <c r="Z336" s="52"/>
    </row>
    <row r="337" spans="1:26" ht="12" customHeight="1">
      <c r="A337" s="52"/>
      <c r="B337" s="52"/>
      <c r="C337" s="52"/>
      <c r="D337" s="306"/>
      <c r="E337" s="373"/>
      <c r="F337" s="373"/>
      <c r="G337" s="373"/>
      <c r="H337" s="373"/>
      <c r="I337" s="373"/>
      <c r="J337" s="373"/>
      <c r="K337" s="52"/>
      <c r="L337" s="52"/>
      <c r="M337" s="52"/>
      <c r="N337" s="52"/>
      <c r="O337" s="52"/>
      <c r="P337" s="52"/>
      <c r="Q337" s="52"/>
      <c r="R337" s="52"/>
      <c r="S337" s="52"/>
      <c r="T337" s="52"/>
      <c r="U337" s="52"/>
      <c r="V337" s="52"/>
      <c r="W337" s="52"/>
      <c r="X337" s="52"/>
      <c r="Y337" s="52"/>
      <c r="Z337" s="52"/>
    </row>
    <row r="338" spans="1:26" ht="12" customHeight="1">
      <c r="A338" s="52"/>
      <c r="B338" s="374"/>
      <c r="C338" s="375" t="s">
        <v>119</v>
      </c>
      <c r="D338" s="52"/>
      <c r="E338" s="373"/>
      <c r="F338" s="373"/>
      <c r="G338" s="373"/>
      <c r="H338" s="373"/>
      <c r="I338" s="373"/>
      <c r="J338" s="373"/>
      <c r="K338" s="52"/>
      <c r="L338" s="52"/>
      <c r="M338" s="52"/>
      <c r="N338" s="52"/>
      <c r="O338" s="52"/>
      <c r="P338" s="52"/>
      <c r="Q338" s="52"/>
      <c r="R338" s="52"/>
      <c r="S338" s="52"/>
      <c r="T338" s="52"/>
      <c r="U338" s="52"/>
      <c r="V338" s="52"/>
      <c r="W338" s="52"/>
      <c r="X338" s="52"/>
      <c r="Y338" s="52"/>
      <c r="Z338" s="52"/>
    </row>
    <row r="339" spans="1:26" ht="12" customHeight="1">
      <c r="A339" s="52"/>
      <c r="B339" s="52"/>
      <c r="C339" s="52"/>
      <c r="D339" s="306" t="s">
        <v>120</v>
      </c>
      <c r="E339" s="372">
        <v>1007</v>
      </c>
      <c r="F339" s="372">
        <v>1079</v>
      </c>
      <c r="G339" s="372">
        <v>1102</v>
      </c>
      <c r="H339" s="372">
        <v>1125</v>
      </c>
      <c r="I339" s="372">
        <v>1148</v>
      </c>
      <c r="J339" s="372">
        <v>1172</v>
      </c>
      <c r="K339" s="52"/>
      <c r="L339" s="52"/>
      <c r="M339" s="52"/>
      <c r="N339" s="52"/>
      <c r="O339" s="52"/>
      <c r="P339" s="52"/>
      <c r="Q339" s="52"/>
      <c r="R339" s="52"/>
      <c r="S339" s="52"/>
      <c r="T339" s="52"/>
      <c r="U339" s="52"/>
      <c r="V339" s="52"/>
      <c r="W339" s="52"/>
      <c r="X339" s="52"/>
      <c r="Y339" s="52"/>
      <c r="Z339" s="52"/>
    </row>
    <row r="340" spans="1:26" ht="12" customHeight="1">
      <c r="A340" s="52"/>
      <c r="B340" s="52"/>
      <c r="C340" s="52"/>
      <c r="D340" s="306" t="s">
        <v>121</v>
      </c>
      <c r="E340" s="372">
        <v>1461</v>
      </c>
      <c r="F340" s="372">
        <v>1422</v>
      </c>
      <c r="G340" s="372">
        <v>1452</v>
      </c>
      <c r="H340" s="372">
        <v>1483</v>
      </c>
      <c r="I340" s="372">
        <v>1514</v>
      </c>
      <c r="J340" s="372">
        <v>1546</v>
      </c>
      <c r="K340" s="52"/>
      <c r="L340" s="52"/>
      <c r="M340" s="52"/>
      <c r="N340" s="52"/>
      <c r="O340" s="52"/>
      <c r="P340" s="52"/>
      <c r="Q340" s="52"/>
      <c r="R340" s="52"/>
      <c r="S340" s="52"/>
      <c r="T340" s="52"/>
      <c r="U340" s="52"/>
      <c r="V340" s="52"/>
      <c r="W340" s="52"/>
      <c r="X340" s="52"/>
      <c r="Y340" s="52"/>
      <c r="Z340" s="52"/>
    </row>
    <row r="341" spans="1:26" ht="12" customHeight="1">
      <c r="A341" s="52"/>
      <c r="B341" s="52"/>
      <c r="C341" s="52"/>
      <c r="D341" s="306" t="s">
        <v>122</v>
      </c>
      <c r="E341" s="372">
        <v>3590</v>
      </c>
      <c r="F341" s="372">
        <v>5010</v>
      </c>
      <c r="G341" s="372">
        <v>5116</v>
      </c>
      <c r="H341" s="372">
        <v>5223</v>
      </c>
      <c r="I341" s="372">
        <v>5333</v>
      </c>
      <c r="J341" s="372">
        <v>5445</v>
      </c>
      <c r="K341" s="52"/>
      <c r="L341" s="52"/>
      <c r="M341" s="52"/>
      <c r="N341" s="52"/>
      <c r="O341" s="52"/>
      <c r="P341" s="52"/>
      <c r="Q341" s="52"/>
      <c r="R341" s="52"/>
      <c r="S341" s="52"/>
      <c r="T341" s="52"/>
      <c r="U341" s="52"/>
      <c r="V341" s="52"/>
      <c r="W341" s="52"/>
      <c r="X341" s="52"/>
      <c r="Y341" s="52"/>
      <c r="Z341" s="52"/>
    </row>
    <row r="342" spans="1:26" ht="12" customHeight="1">
      <c r="A342" s="52"/>
      <c r="B342" s="52"/>
      <c r="C342" s="52"/>
      <c r="D342" s="306" t="s">
        <v>123</v>
      </c>
      <c r="E342" s="372">
        <v>39.14</v>
      </c>
      <c r="F342" s="372">
        <v>39.14</v>
      </c>
      <c r="G342" s="372">
        <v>39.14</v>
      </c>
      <c r="H342" s="372">
        <v>39.14</v>
      </c>
      <c r="I342" s="372">
        <v>39.14</v>
      </c>
      <c r="J342" s="372">
        <v>39.14</v>
      </c>
      <c r="K342" s="52"/>
      <c r="L342" s="52"/>
      <c r="M342" s="52"/>
      <c r="N342" s="52"/>
      <c r="O342" s="52"/>
      <c r="P342" s="52"/>
      <c r="Q342" s="52"/>
      <c r="R342" s="52"/>
      <c r="S342" s="52"/>
      <c r="T342" s="52"/>
      <c r="U342" s="52"/>
      <c r="V342" s="52"/>
      <c r="W342" s="52"/>
      <c r="X342" s="52"/>
      <c r="Y342" s="52"/>
      <c r="Z342" s="52"/>
    </row>
    <row r="343" spans="1:26" ht="12" customHeight="1">
      <c r="A343" s="52"/>
      <c r="B343" s="52"/>
      <c r="C343" s="52"/>
      <c r="D343" s="306" t="s">
        <v>124</v>
      </c>
      <c r="E343" s="52" t="s">
        <v>278</v>
      </c>
      <c r="F343" s="52" t="s">
        <v>278</v>
      </c>
      <c r="G343" s="52" t="s">
        <v>278</v>
      </c>
      <c r="H343" s="52" t="s">
        <v>278</v>
      </c>
      <c r="I343" s="52" t="s">
        <v>278</v>
      </c>
      <c r="J343" s="52" t="s">
        <v>278</v>
      </c>
      <c r="K343" s="52"/>
      <c r="L343" s="52"/>
      <c r="M343" s="52"/>
      <c r="N343" s="52"/>
      <c r="O343" s="52"/>
      <c r="P343" s="52"/>
      <c r="Q343" s="52"/>
      <c r="R343" s="52"/>
      <c r="S343" s="52"/>
      <c r="T343" s="52"/>
      <c r="U343" s="52"/>
      <c r="V343" s="52"/>
      <c r="W343" s="52"/>
      <c r="X343" s="52"/>
      <c r="Y343" s="52"/>
      <c r="Z343" s="52"/>
    </row>
    <row r="344" spans="1:26" ht="12" customHeight="1">
      <c r="A344" s="52"/>
      <c r="B344" s="52"/>
      <c r="C344" s="52"/>
      <c r="D344" s="306" t="s">
        <v>125</v>
      </c>
      <c r="E344" s="372">
        <v>162</v>
      </c>
      <c r="F344" s="372">
        <v>165</v>
      </c>
      <c r="G344" s="372">
        <v>168</v>
      </c>
      <c r="H344" s="372">
        <v>172</v>
      </c>
      <c r="I344" s="372">
        <v>176</v>
      </c>
      <c r="J344" s="372">
        <v>179</v>
      </c>
      <c r="K344" s="52"/>
      <c r="L344" s="52"/>
      <c r="M344" s="52"/>
      <c r="N344" s="52"/>
      <c r="O344" s="52"/>
      <c r="P344" s="52"/>
      <c r="Q344" s="52"/>
      <c r="R344" s="52"/>
      <c r="S344" s="52"/>
      <c r="T344" s="52"/>
      <c r="U344" s="52"/>
      <c r="V344" s="52"/>
      <c r="W344" s="52"/>
      <c r="X344" s="52"/>
      <c r="Y344" s="52"/>
      <c r="Z344" s="52"/>
    </row>
    <row r="345" spans="1:26" ht="12" customHeight="1">
      <c r="A345" s="52"/>
      <c r="B345" s="52"/>
      <c r="C345" s="52"/>
      <c r="D345" s="306"/>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 customHeight="1">
      <c r="A346" s="52"/>
      <c r="B346" s="374"/>
      <c r="C346" s="375" t="s">
        <v>126</v>
      </c>
      <c r="D346" s="52"/>
      <c r="E346" s="319" t="s">
        <v>215</v>
      </c>
      <c r="F346" s="319" t="str">
        <f t="shared" ref="F346:J346" si="47">F$4</f>
        <v>2026F</v>
      </c>
      <c r="G346" s="319" t="str">
        <f t="shared" si="47"/>
        <v>2027F</v>
      </c>
      <c r="H346" s="319" t="str">
        <f t="shared" si="47"/>
        <v>2028F</v>
      </c>
      <c r="I346" s="319" t="str">
        <f t="shared" si="47"/>
        <v>2029F</v>
      </c>
      <c r="J346" s="319" t="str">
        <f t="shared" si="47"/>
        <v>2030F</v>
      </c>
      <c r="K346" s="52"/>
      <c r="L346" s="52"/>
      <c r="M346" s="52"/>
      <c r="N346" s="52"/>
      <c r="O346" s="52"/>
      <c r="P346" s="52"/>
      <c r="Q346" s="52"/>
      <c r="R346" s="52"/>
      <c r="S346" s="52"/>
      <c r="T346" s="52"/>
      <c r="U346" s="52"/>
      <c r="V346" s="52"/>
      <c r="W346" s="52"/>
      <c r="X346" s="52"/>
      <c r="Y346" s="52"/>
      <c r="Z346" s="52"/>
    </row>
    <row r="347" spans="1:26" ht="12" customHeight="1">
      <c r="A347" s="52"/>
      <c r="B347" s="52"/>
      <c r="C347" s="52"/>
      <c r="D347" s="306" t="s">
        <v>129</v>
      </c>
      <c r="E347" s="372">
        <v>121.23</v>
      </c>
      <c r="F347" s="372">
        <v>125.72</v>
      </c>
      <c r="G347" s="372">
        <v>125.72</v>
      </c>
      <c r="H347" s="372">
        <v>125.72</v>
      </c>
      <c r="I347" s="372">
        <v>125.72</v>
      </c>
      <c r="J347" s="372">
        <v>125.72</v>
      </c>
      <c r="K347" s="52"/>
      <c r="L347" s="52"/>
      <c r="M347" s="52"/>
      <c r="N347" s="52"/>
      <c r="O347" s="52"/>
      <c r="P347" s="52"/>
      <c r="Q347" s="52"/>
      <c r="R347" s="52"/>
      <c r="S347" s="52"/>
      <c r="T347" s="52"/>
      <c r="U347" s="52"/>
      <c r="V347" s="52"/>
      <c r="W347" s="52"/>
      <c r="X347" s="52"/>
      <c r="Y347" s="52"/>
      <c r="Z347" s="52"/>
    </row>
    <row r="348" spans="1:26" ht="12" customHeight="1">
      <c r="A348" s="52"/>
      <c r="B348" s="52"/>
      <c r="C348" s="52"/>
      <c r="D348" s="306" t="s">
        <v>130</v>
      </c>
      <c r="E348" s="372">
        <v>48.5</v>
      </c>
      <c r="F348" s="372">
        <v>50.29</v>
      </c>
      <c r="G348" s="372">
        <v>50.29</v>
      </c>
      <c r="H348" s="372">
        <v>50.29</v>
      </c>
      <c r="I348" s="372">
        <v>50.29</v>
      </c>
      <c r="J348" s="372">
        <v>50.29</v>
      </c>
      <c r="K348" s="52"/>
      <c r="L348" s="52"/>
      <c r="M348" s="52"/>
      <c r="N348" s="52"/>
      <c r="O348" s="52"/>
      <c r="P348" s="52"/>
      <c r="Q348" s="52"/>
      <c r="R348" s="52"/>
      <c r="S348" s="52"/>
      <c r="T348" s="52"/>
      <c r="U348" s="52"/>
      <c r="V348" s="52"/>
      <c r="W348" s="52"/>
      <c r="X348" s="52"/>
      <c r="Y348" s="52"/>
      <c r="Z348" s="52"/>
    </row>
    <row r="349" spans="1:26" ht="12" customHeight="1">
      <c r="A349" s="52"/>
      <c r="B349" s="52"/>
      <c r="C349" s="52"/>
      <c r="D349" s="306" t="s">
        <v>131</v>
      </c>
      <c r="E349" s="372">
        <v>1.2</v>
      </c>
      <c r="F349" s="372">
        <v>1.24</v>
      </c>
      <c r="G349" s="372">
        <v>1.24</v>
      </c>
      <c r="H349" s="372">
        <v>1.24</v>
      </c>
      <c r="I349" s="372">
        <v>1.24</v>
      </c>
      <c r="J349" s="372">
        <v>1.24</v>
      </c>
      <c r="K349" s="52"/>
      <c r="L349" s="52"/>
      <c r="M349" s="52"/>
      <c r="N349" s="52"/>
      <c r="O349" s="52"/>
      <c r="P349" s="52"/>
      <c r="Q349" s="52"/>
      <c r="R349" s="52"/>
      <c r="S349" s="52"/>
      <c r="T349" s="52"/>
      <c r="U349" s="52"/>
      <c r="V349" s="52"/>
      <c r="W349" s="52"/>
      <c r="X349" s="52"/>
      <c r="Y349" s="52"/>
      <c r="Z349" s="52"/>
    </row>
    <row r="350" spans="1:26" ht="12" customHeight="1">
      <c r="A350" s="52"/>
      <c r="B350" s="52"/>
      <c r="C350" s="52"/>
      <c r="D350" s="306" t="s">
        <v>133</v>
      </c>
      <c r="E350" s="372">
        <v>0.71</v>
      </c>
      <c r="F350" s="372">
        <v>0.74</v>
      </c>
      <c r="G350" s="372">
        <v>0.74</v>
      </c>
      <c r="H350" s="372">
        <v>0.74</v>
      </c>
      <c r="I350" s="372">
        <v>0.74</v>
      </c>
      <c r="J350" s="372">
        <v>0.74</v>
      </c>
      <c r="K350" s="52"/>
      <c r="L350" s="52"/>
      <c r="M350" s="52"/>
      <c r="N350" s="52"/>
      <c r="O350" s="52"/>
      <c r="P350" s="52"/>
      <c r="Q350" s="52"/>
      <c r="R350" s="52"/>
      <c r="S350" s="52"/>
      <c r="T350" s="52"/>
      <c r="U350" s="52"/>
      <c r="V350" s="52"/>
      <c r="W350" s="52"/>
      <c r="X350" s="52"/>
      <c r="Y350" s="52"/>
      <c r="Z350" s="52"/>
    </row>
    <row r="351" spans="1:26" ht="12" customHeight="1">
      <c r="A351" s="52"/>
      <c r="B351" s="52"/>
      <c r="C351" s="52"/>
      <c r="D351" s="306" t="s">
        <v>134</v>
      </c>
      <c r="E351" s="372">
        <v>-0.71</v>
      </c>
      <c r="F351" s="372">
        <v>-0.74</v>
      </c>
      <c r="G351" s="372">
        <v>-0.74</v>
      </c>
      <c r="H351" s="372">
        <v>-0.74</v>
      </c>
      <c r="I351" s="372">
        <v>-0.74</v>
      </c>
      <c r="J351" s="372">
        <v>-0.74</v>
      </c>
      <c r="K351" s="52"/>
      <c r="L351" s="52"/>
      <c r="M351" s="52"/>
      <c r="N351" s="52"/>
      <c r="O351" s="52"/>
      <c r="P351" s="52"/>
      <c r="Q351" s="52"/>
      <c r="R351" s="52"/>
      <c r="S351" s="52"/>
      <c r="T351" s="52"/>
      <c r="U351" s="52"/>
      <c r="V351" s="52"/>
      <c r="W351" s="52"/>
      <c r="X351" s="52"/>
      <c r="Y351" s="52"/>
      <c r="Z351" s="52"/>
    </row>
    <row r="352" spans="1:26" ht="12" customHeight="1">
      <c r="A352" s="52"/>
      <c r="B352" s="52"/>
      <c r="C352" s="52"/>
      <c r="D352" s="306" t="s">
        <v>279</v>
      </c>
      <c r="E352" s="376"/>
      <c r="F352" s="376"/>
      <c r="G352" s="376"/>
      <c r="H352" s="376"/>
      <c r="I352" s="376"/>
      <c r="J352" s="376"/>
      <c r="K352" s="52"/>
      <c r="L352" s="52"/>
      <c r="M352" s="52"/>
      <c r="N352" s="52"/>
      <c r="O352" s="52"/>
      <c r="P352" s="52"/>
      <c r="Q352" s="52"/>
      <c r="R352" s="52"/>
      <c r="S352" s="52"/>
      <c r="T352" s="52"/>
      <c r="U352" s="52"/>
      <c r="V352" s="52"/>
      <c r="W352" s="52"/>
      <c r="X352" s="52"/>
      <c r="Y352" s="52"/>
      <c r="Z352" s="52"/>
    </row>
    <row r="353" spans="1:26" ht="12" customHeight="1">
      <c r="A353" s="52"/>
      <c r="B353" s="52"/>
      <c r="C353" s="52"/>
      <c r="D353" s="306" t="s">
        <v>136</v>
      </c>
      <c r="E353" s="372">
        <v>0.61</v>
      </c>
      <c r="F353" s="372">
        <v>0.63</v>
      </c>
      <c r="G353" s="372">
        <v>0.63</v>
      </c>
      <c r="H353" s="372">
        <v>0.63</v>
      </c>
      <c r="I353" s="372">
        <v>0.63</v>
      </c>
      <c r="J353" s="372">
        <v>0.63</v>
      </c>
      <c r="K353" s="52"/>
      <c r="L353" s="52"/>
      <c r="M353" s="52"/>
      <c r="N353" s="52"/>
      <c r="O353" s="52"/>
      <c r="P353" s="52"/>
      <c r="Q353" s="52"/>
      <c r="R353" s="52"/>
      <c r="S353" s="52"/>
      <c r="T353" s="52"/>
      <c r="U353" s="52"/>
      <c r="V353" s="52"/>
      <c r="W353" s="52"/>
      <c r="X353" s="52"/>
      <c r="Y353" s="52"/>
      <c r="Z353" s="52"/>
    </row>
    <row r="354" spans="1:26" ht="12" customHeight="1">
      <c r="A354" s="52"/>
      <c r="B354" s="52"/>
      <c r="C354" s="52"/>
      <c r="D354" s="306" t="s">
        <v>137</v>
      </c>
      <c r="E354" s="372">
        <v>1.2</v>
      </c>
      <c r="F354" s="372">
        <v>1.24</v>
      </c>
      <c r="G354" s="372">
        <v>1.24</v>
      </c>
      <c r="H354" s="372">
        <v>1.24</v>
      </c>
      <c r="I354" s="372">
        <v>1.24</v>
      </c>
      <c r="J354" s="372">
        <v>1.24</v>
      </c>
      <c r="K354" s="52"/>
      <c r="L354" s="52"/>
      <c r="M354" s="52"/>
      <c r="N354" s="52"/>
      <c r="O354" s="52"/>
      <c r="P354" s="52"/>
      <c r="Q354" s="52"/>
      <c r="R354" s="52"/>
      <c r="S354" s="52"/>
      <c r="T354" s="52"/>
      <c r="U354" s="52"/>
      <c r="V354" s="52"/>
      <c r="W354" s="52"/>
      <c r="X354" s="52"/>
      <c r="Y354" s="52"/>
      <c r="Z354" s="52"/>
    </row>
    <row r="355" spans="1:26" ht="12" customHeight="1">
      <c r="A355" s="52"/>
      <c r="B355" s="52"/>
      <c r="C355" s="52"/>
      <c r="D355" s="306" t="s">
        <v>138</v>
      </c>
      <c r="E355" s="376"/>
      <c r="F355" s="376"/>
      <c r="G355" s="52"/>
      <c r="H355" s="52"/>
      <c r="I355" s="52"/>
      <c r="J355" s="52"/>
      <c r="K355" s="52"/>
      <c r="L355" s="52"/>
      <c r="M355" s="52"/>
      <c r="N355" s="52"/>
      <c r="O355" s="52"/>
      <c r="P355" s="52"/>
      <c r="Q355" s="52"/>
      <c r="R355" s="52"/>
      <c r="S355" s="52"/>
      <c r="T355" s="52"/>
      <c r="U355" s="52"/>
      <c r="V355" s="52"/>
      <c r="W355" s="52"/>
      <c r="X355" s="52"/>
      <c r="Y355" s="52"/>
      <c r="Z355" s="52"/>
    </row>
    <row r="356" spans="1:26" ht="12" customHeight="1">
      <c r="A356" s="52"/>
      <c r="B356" s="52"/>
      <c r="C356" s="52"/>
      <c r="D356" s="306" t="s">
        <v>139</v>
      </c>
      <c r="E356" s="376"/>
      <c r="F356" s="376"/>
      <c r="G356" s="52"/>
      <c r="H356" s="52"/>
      <c r="I356" s="52"/>
      <c r="J356" s="52"/>
      <c r="K356" s="52"/>
      <c r="L356" s="52"/>
      <c r="M356" s="52"/>
      <c r="N356" s="52"/>
      <c r="O356" s="52"/>
      <c r="P356" s="52"/>
      <c r="Q356" s="52"/>
      <c r="R356" s="52"/>
      <c r="S356" s="52"/>
      <c r="T356" s="52"/>
      <c r="U356" s="52"/>
      <c r="V356" s="52"/>
      <c r="W356" s="52"/>
      <c r="X356" s="52"/>
      <c r="Y356" s="52"/>
      <c r="Z356" s="52"/>
    </row>
    <row r="357" spans="1:26" ht="12" customHeight="1">
      <c r="A357" s="52"/>
      <c r="B357" s="52"/>
      <c r="C357" s="52"/>
      <c r="D357" s="306" t="s">
        <v>280</v>
      </c>
      <c r="E357" s="376"/>
      <c r="F357" s="376"/>
      <c r="G357" s="52"/>
      <c r="H357" s="52"/>
      <c r="I357" s="52"/>
      <c r="J357" s="52"/>
      <c r="K357" s="52"/>
      <c r="L357" s="52"/>
      <c r="M357" s="52"/>
      <c r="N357" s="52"/>
      <c r="O357" s="52"/>
      <c r="P357" s="52"/>
      <c r="Q357" s="52"/>
      <c r="R357" s="52"/>
      <c r="S357" s="52"/>
      <c r="T357" s="52"/>
      <c r="U357" s="52"/>
      <c r="V357" s="52"/>
      <c r="W357" s="52"/>
      <c r="X357" s="52"/>
      <c r="Y357" s="52"/>
      <c r="Z357" s="52"/>
    </row>
    <row r="358" spans="1:26" ht="12" customHeight="1">
      <c r="A358" s="52"/>
      <c r="B358" s="52"/>
      <c r="C358" s="52"/>
      <c r="D358" s="306" t="s">
        <v>281</v>
      </c>
      <c r="E358" s="376" t="s">
        <v>282</v>
      </c>
      <c r="F358" s="376" t="s">
        <v>282</v>
      </c>
      <c r="G358" s="52" t="s">
        <v>282</v>
      </c>
      <c r="H358" s="52" t="s">
        <v>282</v>
      </c>
      <c r="I358" s="52" t="s">
        <v>282</v>
      </c>
      <c r="J358" s="52" t="s">
        <v>282</v>
      </c>
      <c r="K358" s="52"/>
      <c r="L358" s="52"/>
      <c r="M358" s="52"/>
      <c r="N358" s="52"/>
      <c r="O358" s="52"/>
      <c r="P358" s="52"/>
      <c r="Q358" s="52"/>
      <c r="R358" s="52"/>
      <c r="S358" s="52"/>
      <c r="T358" s="52"/>
      <c r="U358" s="52"/>
      <c r="V358" s="52"/>
      <c r="W358" s="52"/>
      <c r="X358" s="52"/>
      <c r="Y358" s="52"/>
      <c r="Z358" s="52"/>
    </row>
    <row r="359" spans="1:26" ht="12" customHeight="1">
      <c r="A359" s="52"/>
      <c r="B359" s="52"/>
      <c r="C359" s="52"/>
      <c r="D359" s="306" t="s">
        <v>142</v>
      </c>
      <c r="E359" s="372">
        <v>4.8499999999999996</v>
      </c>
      <c r="F359" s="372">
        <v>5.03</v>
      </c>
      <c r="G359" s="372">
        <v>5.03</v>
      </c>
      <c r="H359" s="372">
        <v>5.03</v>
      </c>
      <c r="I359" s="372">
        <v>5.03</v>
      </c>
      <c r="J359" s="372">
        <v>5.03</v>
      </c>
      <c r="K359" s="52"/>
      <c r="L359" s="52"/>
      <c r="M359" s="52"/>
      <c r="N359" s="52"/>
      <c r="O359" s="52"/>
      <c r="P359" s="52"/>
      <c r="Q359" s="52"/>
      <c r="R359" s="52"/>
      <c r="S359" s="52"/>
      <c r="T359" s="52"/>
      <c r="U359" s="52"/>
      <c r="V359" s="52"/>
      <c r="W359" s="52"/>
      <c r="X359" s="52"/>
      <c r="Y359" s="52"/>
      <c r="Z359" s="52"/>
    </row>
    <row r="360" spans="1:26" ht="12" customHeight="1">
      <c r="A360" s="52"/>
      <c r="B360" s="52"/>
      <c r="C360" s="52"/>
      <c r="D360" s="306" t="s">
        <v>283</v>
      </c>
      <c r="E360" s="376"/>
      <c r="F360" s="376"/>
      <c r="G360" s="376"/>
      <c r="H360" s="376"/>
      <c r="I360" s="376"/>
      <c r="J360" s="376"/>
      <c r="K360" s="52"/>
      <c r="L360" s="52"/>
      <c r="M360" s="52"/>
      <c r="N360" s="52"/>
      <c r="O360" s="52"/>
      <c r="P360" s="52"/>
      <c r="Q360" s="52"/>
      <c r="R360" s="52"/>
      <c r="S360" s="52"/>
      <c r="T360" s="52"/>
      <c r="U360" s="52"/>
      <c r="V360" s="52"/>
      <c r="W360" s="52"/>
      <c r="X360" s="52"/>
      <c r="Y360" s="52"/>
      <c r="Z360" s="52"/>
    </row>
    <row r="361" spans="1:26" ht="12" customHeight="1">
      <c r="A361" s="52"/>
      <c r="B361" s="52"/>
      <c r="C361" s="52"/>
      <c r="D361" s="306" t="s">
        <v>284</v>
      </c>
      <c r="E361" s="372">
        <v>2.42</v>
      </c>
      <c r="F361" s="372">
        <v>2.5099999999999998</v>
      </c>
      <c r="G361" s="372">
        <v>2.5099999999999998</v>
      </c>
      <c r="H361" s="372">
        <v>2.5099999999999998</v>
      </c>
      <c r="I361" s="372">
        <v>2.5099999999999998</v>
      </c>
      <c r="J361" s="372">
        <v>2.5099999999999998</v>
      </c>
      <c r="K361" s="52"/>
      <c r="L361" s="52"/>
      <c r="M361" s="52"/>
      <c r="N361" s="52"/>
      <c r="O361" s="52"/>
      <c r="P361" s="52"/>
      <c r="Q361" s="52"/>
      <c r="R361" s="52"/>
      <c r="S361" s="52"/>
      <c r="T361" s="52"/>
      <c r="U361" s="52"/>
      <c r="V361" s="52"/>
      <c r="W361" s="52"/>
      <c r="X361" s="52"/>
      <c r="Y361" s="52"/>
      <c r="Z361" s="52"/>
    </row>
    <row r="362" spans="1:26" ht="12" customHeight="1">
      <c r="A362" s="52"/>
      <c r="B362" s="52"/>
      <c r="C362" s="52"/>
      <c r="D362" s="306"/>
      <c r="E362" s="52"/>
      <c r="F362" s="52"/>
      <c r="G362" s="376"/>
      <c r="H362" s="376"/>
      <c r="I362" s="376"/>
      <c r="J362" s="376"/>
      <c r="K362" s="52"/>
      <c r="L362" s="52"/>
      <c r="M362" s="52"/>
      <c r="N362" s="52"/>
      <c r="O362" s="52"/>
      <c r="P362" s="52"/>
      <c r="Q362" s="52"/>
      <c r="R362" s="52"/>
      <c r="S362" s="52"/>
      <c r="T362" s="52"/>
      <c r="U362" s="52"/>
      <c r="V362" s="52"/>
      <c r="W362" s="52"/>
      <c r="X362" s="52"/>
      <c r="Y362" s="52"/>
      <c r="Z362" s="52"/>
    </row>
    <row r="363" spans="1:26" ht="12" customHeight="1">
      <c r="A363" s="52"/>
      <c r="B363" s="52"/>
      <c r="C363" s="52"/>
      <c r="D363" s="306"/>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 customHeight="1">
      <c r="A364" s="52"/>
      <c r="B364" s="52"/>
      <c r="C364" s="306"/>
      <c r="D364" s="306"/>
      <c r="E364" s="3"/>
      <c r="F364" s="52"/>
      <c r="G364" s="52"/>
      <c r="H364" s="52"/>
      <c r="I364" s="52"/>
      <c r="J364" s="52"/>
      <c r="K364" s="52"/>
      <c r="L364" s="52"/>
      <c r="M364" s="52"/>
      <c r="N364" s="52"/>
      <c r="O364" s="52"/>
      <c r="P364" s="52"/>
      <c r="Q364" s="52"/>
      <c r="R364" s="52"/>
      <c r="S364" s="52"/>
      <c r="T364" s="52"/>
      <c r="U364" s="52"/>
      <c r="V364" s="52"/>
      <c r="W364" s="52"/>
      <c r="X364" s="52"/>
      <c r="Y364" s="52"/>
      <c r="Z364" s="52"/>
    </row>
    <row r="365" spans="1:26" ht="12" customHeight="1">
      <c r="A365" s="52"/>
      <c r="B365" s="320"/>
      <c r="C365" s="320"/>
      <c r="D365" s="306"/>
      <c r="E365" s="3"/>
      <c r="F365" s="52"/>
      <c r="G365" s="52"/>
      <c r="H365" s="52"/>
      <c r="I365" s="52"/>
      <c r="J365" s="52"/>
      <c r="K365" s="52"/>
      <c r="L365" s="52"/>
      <c r="M365" s="52"/>
      <c r="N365" s="52"/>
      <c r="O365" s="52"/>
      <c r="P365" s="52"/>
      <c r="Q365" s="52"/>
      <c r="R365" s="52"/>
      <c r="S365" s="52"/>
      <c r="T365" s="52"/>
      <c r="U365" s="52"/>
      <c r="V365" s="52"/>
      <c r="W365" s="52"/>
      <c r="X365" s="52"/>
      <c r="Y365" s="52"/>
      <c r="Z365" s="52"/>
    </row>
    <row r="366" spans="1:26" ht="12" customHeight="1">
      <c r="A366" s="52"/>
      <c r="B366" s="320"/>
      <c r="C366" s="320"/>
      <c r="D366" s="306"/>
      <c r="E366" s="3"/>
      <c r="F366" s="52"/>
      <c r="G366" s="52"/>
      <c r="H366" s="52"/>
      <c r="I366" s="52"/>
      <c r="J366" s="52"/>
      <c r="K366" s="52"/>
      <c r="L366" s="52"/>
      <c r="M366" s="52"/>
      <c r="N366" s="52"/>
      <c r="O366" s="52"/>
      <c r="P366" s="52"/>
      <c r="Q366" s="52"/>
      <c r="R366" s="52"/>
      <c r="S366" s="52"/>
      <c r="T366" s="52"/>
      <c r="U366" s="52"/>
      <c r="V366" s="52"/>
      <c r="W366" s="52"/>
      <c r="X366" s="52"/>
      <c r="Y366" s="52"/>
      <c r="Z366" s="52"/>
    </row>
    <row r="367" spans="1:26" ht="12" customHeight="1">
      <c r="A367" s="52"/>
      <c r="B367" s="320"/>
      <c r="C367" s="52"/>
      <c r="D367" s="377"/>
      <c r="E367" s="378" t="s">
        <v>7</v>
      </c>
      <c r="F367" s="378" t="s">
        <v>285</v>
      </c>
      <c r="G367" s="378"/>
      <c r="H367" s="378"/>
      <c r="I367" s="378"/>
      <c r="J367" s="378"/>
      <c r="K367" s="52"/>
      <c r="L367" s="52"/>
      <c r="M367" s="52"/>
      <c r="N367" s="52"/>
      <c r="O367" s="52"/>
      <c r="P367" s="52"/>
      <c r="Q367" s="52"/>
      <c r="R367" s="52"/>
      <c r="S367" s="52"/>
      <c r="T367" s="52"/>
      <c r="U367" s="52"/>
      <c r="V367" s="52"/>
      <c r="W367" s="52"/>
      <c r="X367" s="52"/>
      <c r="Y367" s="52"/>
      <c r="Z367" s="52"/>
    </row>
    <row r="368" spans="1:26" ht="12" customHeight="1">
      <c r="A368" s="52"/>
      <c r="B368" s="320"/>
      <c r="C368" s="52"/>
      <c r="D368" s="52"/>
      <c r="E368" s="319">
        <v>2025</v>
      </c>
      <c r="F368" s="319">
        <v>2026</v>
      </c>
      <c r="G368" s="319">
        <v>2027</v>
      </c>
      <c r="H368" s="319">
        <v>2028</v>
      </c>
      <c r="I368" s="319">
        <v>2029</v>
      </c>
      <c r="J368" s="319">
        <v>2030</v>
      </c>
      <c r="K368" s="52"/>
      <c r="L368" s="52"/>
      <c r="M368" s="52"/>
      <c r="N368" s="52"/>
      <c r="O368" s="52"/>
      <c r="P368" s="52"/>
      <c r="Q368" s="52"/>
      <c r="R368" s="52"/>
      <c r="S368" s="52"/>
      <c r="T368" s="52"/>
      <c r="U368" s="52"/>
      <c r="V368" s="52"/>
      <c r="W368" s="52"/>
      <c r="X368" s="52"/>
      <c r="Y368" s="52"/>
      <c r="Z368" s="52"/>
    </row>
    <row r="369" spans="1:26" ht="12" customHeight="1">
      <c r="A369" s="52"/>
      <c r="B369" s="320"/>
      <c r="C369" s="52"/>
      <c r="D369" s="377" t="s">
        <v>286</v>
      </c>
      <c r="E369" s="376">
        <v>16</v>
      </c>
      <c r="F369" s="376">
        <v>11</v>
      </c>
      <c r="G369" s="376">
        <v>12</v>
      </c>
      <c r="H369" s="376">
        <v>12</v>
      </c>
      <c r="I369" s="376">
        <v>12</v>
      </c>
      <c r="J369" s="376">
        <v>12</v>
      </c>
      <c r="K369" s="52"/>
      <c r="L369" s="52"/>
      <c r="M369" s="52"/>
      <c r="N369" s="52"/>
      <c r="O369" s="52"/>
      <c r="P369" s="52"/>
      <c r="Q369" s="52"/>
      <c r="R369" s="52"/>
      <c r="S369" s="52"/>
      <c r="T369" s="52"/>
      <c r="U369" s="52"/>
      <c r="V369" s="52"/>
      <c r="W369" s="52"/>
      <c r="X369" s="52"/>
      <c r="Y369" s="52"/>
      <c r="Z369" s="52"/>
    </row>
    <row r="370" spans="1:26" ht="12" customHeight="1">
      <c r="A370" s="52"/>
      <c r="B370" s="320"/>
      <c r="C370" s="52"/>
      <c r="D370" s="377" t="s">
        <v>287</v>
      </c>
      <c r="E370" s="376">
        <v>84</v>
      </c>
      <c r="F370" s="376">
        <v>87</v>
      </c>
      <c r="G370" s="376">
        <v>89</v>
      </c>
      <c r="H370" s="376">
        <v>91</v>
      </c>
      <c r="I370" s="376">
        <v>93</v>
      </c>
      <c r="J370" s="376">
        <v>95</v>
      </c>
      <c r="K370" s="52"/>
      <c r="L370" s="52"/>
      <c r="M370" s="52"/>
      <c r="N370" s="52"/>
      <c r="O370" s="52"/>
      <c r="P370" s="52"/>
      <c r="Q370" s="52"/>
      <c r="R370" s="52"/>
      <c r="S370" s="52"/>
      <c r="T370" s="52"/>
      <c r="U370" s="52"/>
      <c r="V370" s="52"/>
      <c r="W370" s="52"/>
      <c r="X370" s="52"/>
      <c r="Y370" s="52"/>
      <c r="Z370" s="52"/>
    </row>
    <row r="371" spans="1:26" ht="12" customHeight="1">
      <c r="A371" s="52"/>
      <c r="B371" s="320"/>
      <c r="C371" s="52"/>
      <c r="D371" s="377" t="s">
        <v>288</v>
      </c>
      <c r="E371" s="376">
        <v>347</v>
      </c>
      <c r="F371" s="376">
        <v>266</v>
      </c>
      <c r="G371" s="376">
        <v>272</v>
      </c>
      <c r="H371" s="376">
        <v>277</v>
      </c>
      <c r="I371" s="376">
        <v>283</v>
      </c>
      <c r="J371" s="376">
        <v>289</v>
      </c>
      <c r="K371" s="52"/>
      <c r="L371" s="52"/>
      <c r="M371" s="52"/>
      <c r="N371" s="52"/>
      <c r="O371" s="52"/>
      <c r="P371" s="52"/>
      <c r="Q371" s="52"/>
      <c r="R371" s="52"/>
      <c r="S371" s="52"/>
      <c r="T371" s="52"/>
      <c r="U371" s="52"/>
      <c r="V371" s="52"/>
      <c r="W371" s="52"/>
      <c r="X371" s="52"/>
      <c r="Y371" s="52"/>
      <c r="Z371" s="52"/>
    </row>
    <row r="372" spans="1:26" ht="12" customHeight="1">
      <c r="A372" s="52"/>
      <c r="B372" s="320"/>
      <c r="C372" s="52"/>
      <c r="D372" s="377" t="s">
        <v>289</v>
      </c>
      <c r="E372" s="376">
        <v>15</v>
      </c>
      <c r="F372" s="376">
        <v>0</v>
      </c>
      <c r="G372" s="376">
        <v>0</v>
      </c>
      <c r="H372" s="376">
        <v>0</v>
      </c>
      <c r="I372" s="376">
        <v>0</v>
      </c>
      <c r="J372" s="376">
        <v>0</v>
      </c>
      <c r="K372" s="52"/>
      <c r="L372" s="52"/>
      <c r="M372" s="52"/>
      <c r="N372" s="52"/>
      <c r="O372" s="52"/>
      <c r="P372" s="52"/>
      <c r="Q372" s="52"/>
      <c r="R372" s="52"/>
      <c r="S372" s="52"/>
      <c r="T372" s="52"/>
      <c r="U372" s="52"/>
      <c r="V372" s="52"/>
      <c r="W372" s="52"/>
      <c r="X372" s="52"/>
      <c r="Y372" s="52"/>
      <c r="Z372" s="52"/>
    </row>
    <row r="373" spans="1:26" ht="12" customHeight="1">
      <c r="A373" s="52"/>
      <c r="B373" s="52"/>
      <c r="C373" s="320"/>
      <c r="D373" s="306"/>
      <c r="E373" s="3"/>
      <c r="F373" s="52"/>
      <c r="G373" s="52"/>
      <c r="H373" s="52"/>
      <c r="I373" s="52"/>
      <c r="J373" s="52"/>
      <c r="K373" s="52"/>
      <c r="L373" s="52"/>
      <c r="M373" s="52"/>
      <c r="N373" s="52"/>
      <c r="O373" s="52"/>
      <c r="P373" s="52"/>
      <c r="Q373" s="52"/>
      <c r="R373" s="52"/>
      <c r="S373" s="52"/>
      <c r="T373" s="52"/>
      <c r="U373" s="52"/>
      <c r="V373" s="52"/>
      <c r="W373" s="52"/>
      <c r="X373" s="52"/>
      <c r="Y373" s="52"/>
      <c r="Z373" s="52"/>
    </row>
    <row r="374" spans="1:26" ht="12" customHeight="1">
      <c r="A374" s="52"/>
      <c r="B374" s="52"/>
      <c r="C374" s="320"/>
      <c r="D374" s="306"/>
      <c r="E374" s="3"/>
      <c r="F374" s="52"/>
      <c r="G374" s="52"/>
      <c r="H374" s="52"/>
      <c r="I374" s="52"/>
      <c r="J374" s="52"/>
      <c r="K374" s="52"/>
      <c r="L374" s="52"/>
      <c r="M374" s="52"/>
      <c r="N374" s="52"/>
      <c r="O374" s="52"/>
      <c r="P374" s="52"/>
      <c r="Q374" s="52"/>
      <c r="R374" s="52"/>
      <c r="S374" s="52"/>
      <c r="T374" s="52"/>
      <c r="U374" s="52"/>
      <c r="V374" s="52"/>
      <c r="W374" s="52"/>
      <c r="X374" s="52"/>
      <c r="Y374" s="52"/>
      <c r="Z374" s="52"/>
    </row>
    <row r="375" spans="1:26" ht="12" customHeight="1">
      <c r="A375" s="52"/>
      <c r="B375" s="52"/>
      <c r="C375" s="320"/>
      <c r="D375" s="306"/>
      <c r="E375" s="3"/>
      <c r="F375" s="52"/>
      <c r="G375" s="52"/>
      <c r="H375" s="52"/>
      <c r="I375" s="52"/>
      <c r="J375" s="52"/>
      <c r="K375" s="52"/>
      <c r="L375" s="52"/>
      <c r="M375" s="52"/>
      <c r="N375" s="52"/>
      <c r="O375" s="52"/>
      <c r="P375" s="52"/>
      <c r="Q375" s="52"/>
      <c r="R375" s="52"/>
      <c r="S375" s="52"/>
      <c r="T375" s="52"/>
      <c r="U375" s="52"/>
      <c r="V375" s="52"/>
      <c r="W375" s="52"/>
      <c r="X375" s="52"/>
      <c r="Y375" s="52"/>
      <c r="Z375" s="52"/>
    </row>
    <row r="376" spans="1:26" ht="12" customHeight="1">
      <c r="A376" s="52"/>
      <c r="B376" s="52"/>
      <c r="C376" s="52"/>
      <c r="D376" s="306"/>
      <c r="E376" s="3"/>
      <c r="F376" s="52"/>
      <c r="G376" s="52"/>
      <c r="H376" s="52"/>
      <c r="I376" s="52"/>
      <c r="J376" s="52"/>
      <c r="K376" s="52"/>
      <c r="L376" s="52"/>
      <c r="M376" s="52"/>
      <c r="N376" s="52"/>
      <c r="O376" s="52"/>
      <c r="P376" s="52"/>
      <c r="Q376" s="52"/>
      <c r="R376" s="52"/>
      <c r="S376" s="52"/>
      <c r="T376" s="52"/>
      <c r="U376" s="52"/>
      <c r="V376" s="52"/>
      <c r="W376" s="52"/>
      <c r="X376" s="52"/>
      <c r="Y376" s="52"/>
      <c r="Z376" s="52"/>
    </row>
    <row r="377" spans="1:26" ht="12" customHeight="1">
      <c r="A377" s="52"/>
      <c r="B377" s="52"/>
      <c r="C377" s="306"/>
      <c r="D377" s="3"/>
      <c r="E377" s="3"/>
      <c r="F377" s="3"/>
      <c r="G377" s="3"/>
      <c r="H377" s="3"/>
      <c r="I377" s="3"/>
      <c r="J377" s="3"/>
      <c r="K377" s="52"/>
      <c r="L377" s="52"/>
      <c r="M377" s="52"/>
      <c r="N377" s="52"/>
      <c r="O377" s="52"/>
      <c r="P377" s="52"/>
      <c r="Q377" s="52"/>
      <c r="R377" s="52"/>
      <c r="S377" s="52"/>
      <c r="T377" s="52"/>
      <c r="U377" s="52"/>
      <c r="V377" s="52"/>
      <c r="W377" s="52"/>
      <c r="X377" s="52"/>
      <c r="Y377" s="52"/>
      <c r="Z377" s="52"/>
    </row>
    <row r="378" spans="1:26" ht="12" customHeight="1">
      <c r="A378" s="52"/>
      <c r="B378" s="320"/>
      <c r="C378" s="320"/>
      <c r="D378" s="306"/>
      <c r="E378" s="3"/>
      <c r="F378" s="52"/>
      <c r="G378" s="52"/>
      <c r="H378" s="52"/>
      <c r="I378" s="52"/>
      <c r="J378" s="52"/>
      <c r="K378" s="52"/>
      <c r="L378" s="52"/>
      <c r="M378" s="52"/>
      <c r="N378" s="52"/>
      <c r="O378" s="52"/>
      <c r="P378" s="52"/>
      <c r="Q378" s="52"/>
      <c r="R378" s="52"/>
      <c r="S378" s="52"/>
      <c r="T378" s="52"/>
      <c r="U378" s="52"/>
      <c r="V378" s="52"/>
      <c r="W378" s="52"/>
      <c r="X378" s="52"/>
      <c r="Y378" s="52"/>
      <c r="Z378" s="52"/>
    </row>
    <row r="379" spans="1:26" ht="12" customHeight="1">
      <c r="A379" s="52"/>
      <c r="B379" s="320"/>
      <c r="C379" s="320"/>
      <c r="D379" s="306"/>
      <c r="E379" s="3"/>
      <c r="F379" s="52"/>
      <c r="G379" s="52"/>
      <c r="H379" s="52"/>
      <c r="I379" s="52"/>
      <c r="J379" s="52"/>
      <c r="K379" s="52"/>
      <c r="L379" s="52"/>
      <c r="M379" s="52"/>
      <c r="N379" s="52"/>
      <c r="O379" s="52"/>
      <c r="P379" s="52"/>
      <c r="Q379" s="52"/>
      <c r="R379" s="52"/>
      <c r="S379" s="52"/>
      <c r="T379" s="52"/>
      <c r="U379" s="52"/>
      <c r="V379" s="52"/>
      <c r="W379" s="52"/>
      <c r="X379" s="52"/>
      <c r="Y379" s="52"/>
      <c r="Z379" s="52"/>
    </row>
    <row r="380" spans="1:26" ht="12" customHeight="1">
      <c r="A380" s="52"/>
      <c r="B380" s="320"/>
      <c r="C380" s="320"/>
      <c r="D380" s="306"/>
      <c r="E380" s="3"/>
      <c r="F380" s="52"/>
      <c r="G380" s="52"/>
      <c r="H380" s="52"/>
      <c r="I380" s="52"/>
      <c r="J380" s="52"/>
      <c r="K380" s="52"/>
      <c r="L380" s="52"/>
      <c r="M380" s="52"/>
      <c r="N380" s="52"/>
      <c r="O380" s="52"/>
      <c r="P380" s="52"/>
      <c r="Q380" s="52"/>
      <c r="R380" s="52"/>
      <c r="S380" s="52"/>
      <c r="T380" s="52"/>
      <c r="U380" s="52"/>
      <c r="V380" s="52"/>
      <c r="W380" s="52"/>
      <c r="X380" s="52"/>
      <c r="Y380" s="52"/>
      <c r="Z380" s="52"/>
    </row>
    <row r="381" spans="1:26" ht="12" customHeight="1">
      <c r="A381" s="52"/>
      <c r="B381" s="320"/>
      <c r="C381" s="320"/>
      <c r="D381" s="306"/>
      <c r="E381" s="3"/>
      <c r="F381" s="52"/>
      <c r="G381" s="52"/>
      <c r="H381" s="52"/>
      <c r="I381" s="52"/>
      <c r="J381" s="52"/>
      <c r="K381" s="52"/>
      <c r="L381" s="52"/>
      <c r="M381" s="52"/>
      <c r="N381" s="52"/>
      <c r="O381" s="52"/>
      <c r="P381" s="52"/>
      <c r="Q381" s="52"/>
      <c r="R381" s="52"/>
      <c r="S381" s="52"/>
      <c r="T381" s="52"/>
      <c r="U381" s="52"/>
      <c r="V381" s="52"/>
      <c r="W381" s="52"/>
      <c r="X381" s="52"/>
      <c r="Y381" s="52"/>
      <c r="Z381" s="52"/>
    </row>
    <row r="382" spans="1:26" ht="12" customHeight="1">
      <c r="A382" s="52"/>
      <c r="B382" s="320"/>
      <c r="C382" s="320"/>
      <c r="D382" s="306"/>
      <c r="E382" s="3"/>
      <c r="F382" s="52"/>
      <c r="G382" s="52"/>
      <c r="H382" s="52"/>
      <c r="I382" s="52"/>
      <c r="J382" s="52"/>
      <c r="K382" s="52"/>
      <c r="L382" s="52"/>
      <c r="M382" s="52"/>
      <c r="N382" s="52"/>
      <c r="O382" s="52"/>
      <c r="P382" s="52"/>
      <c r="Q382" s="52"/>
      <c r="R382" s="52"/>
      <c r="S382" s="52"/>
      <c r="T382" s="52"/>
      <c r="U382" s="52"/>
      <c r="V382" s="52"/>
      <c r="W382" s="52"/>
      <c r="X382" s="52"/>
      <c r="Y382" s="52"/>
      <c r="Z382" s="52"/>
    </row>
    <row r="383" spans="1:26" ht="12" customHeight="1">
      <c r="A383" s="52"/>
      <c r="B383" s="320"/>
      <c r="C383" s="320"/>
      <c r="D383" s="306"/>
      <c r="E383" s="3"/>
      <c r="F383" s="52"/>
      <c r="G383" s="52"/>
      <c r="H383" s="52"/>
      <c r="I383" s="52"/>
      <c r="J383" s="52"/>
      <c r="K383" s="52"/>
      <c r="L383" s="52"/>
      <c r="M383" s="52"/>
      <c r="N383" s="52"/>
      <c r="O383" s="52"/>
      <c r="P383" s="52"/>
      <c r="Q383" s="52"/>
      <c r="R383" s="52"/>
      <c r="S383" s="52"/>
      <c r="T383" s="52"/>
      <c r="U383" s="52"/>
      <c r="V383" s="52"/>
      <c r="W383" s="52"/>
      <c r="X383" s="52"/>
      <c r="Y383" s="52"/>
      <c r="Z383" s="52"/>
    </row>
    <row r="384" spans="1:26" ht="12" customHeight="1">
      <c r="A384" s="52"/>
      <c r="B384" s="320"/>
      <c r="C384" s="320"/>
      <c r="D384" s="306"/>
      <c r="E384" s="3"/>
      <c r="F384" s="52"/>
      <c r="G384" s="52"/>
      <c r="H384" s="52"/>
      <c r="I384" s="52"/>
      <c r="J384" s="52"/>
      <c r="K384" s="52"/>
      <c r="L384" s="52"/>
      <c r="M384" s="52"/>
      <c r="N384" s="52"/>
      <c r="O384" s="52"/>
      <c r="P384" s="52"/>
      <c r="Q384" s="52"/>
      <c r="R384" s="52"/>
      <c r="S384" s="52"/>
      <c r="T384" s="52"/>
      <c r="U384" s="52"/>
      <c r="V384" s="52"/>
      <c r="W384" s="52"/>
      <c r="X384" s="52"/>
      <c r="Y384" s="52"/>
      <c r="Z384" s="52"/>
    </row>
    <row r="385" spans="1:26" ht="12" customHeight="1">
      <c r="A385" s="52"/>
      <c r="B385" s="320"/>
      <c r="C385" s="320"/>
      <c r="D385" s="306"/>
      <c r="E385" s="3"/>
      <c r="F385" s="52"/>
      <c r="G385" s="52"/>
      <c r="H385" s="52"/>
      <c r="I385" s="52"/>
      <c r="J385" s="52"/>
      <c r="K385" s="52"/>
      <c r="L385" s="52"/>
      <c r="M385" s="52"/>
      <c r="N385" s="52"/>
      <c r="O385" s="52"/>
      <c r="P385" s="52"/>
      <c r="Q385" s="52"/>
      <c r="R385" s="52"/>
      <c r="S385" s="52"/>
      <c r="T385" s="52"/>
      <c r="U385" s="52"/>
      <c r="V385" s="52"/>
      <c r="W385" s="52"/>
      <c r="X385" s="52"/>
      <c r="Y385" s="52"/>
      <c r="Z385" s="52"/>
    </row>
    <row r="386" spans="1:26" ht="12" customHeight="1">
      <c r="A386" s="52"/>
      <c r="B386" s="52"/>
      <c r="C386" s="320"/>
      <c r="D386" s="306"/>
      <c r="E386" s="3"/>
      <c r="F386" s="52"/>
      <c r="G386" s="52"/>
      <c r="H386" s="52"/>
      <c r="I386" s="52"/>
      <c r="J386" s="52"/>
      <c r="K386" s="52"/>
      <c r="L386" s="52"/>
      <c r="M386" s="52"/>
      <c r="N386" s="52"/>
      <c r="O386" s="52"/>
      <c r="P386" s="52"/>
      <c r="Q386" s="52"/>
      <c r="R386" s="52"/>
      <c r="S386" s="52"/>
      <c r="T386" s="52"/>
      <c r="U386" s="52"/>
      <c r="V386" s="52"/>
      <c r="W386" s="52"/>
      <c r="X386" s="52"/>
      <c r="Y386" s="52"/>
      <c r="Z386" s="52"/>
    </row>
    <row r="387" spans="1:26" ht="12" customHeight="1">
      <c r="A387" s="52"/>
      <c r="B387" s="52"/>
      <c r="C387" s="320"/>
      <c r="D387" s="306"/>
      <c r="E387" s="3"/>
      <c r="F387" s="52"/>
      <c r="G387" s="52"/>
      <c r="H387" s="52"/>
      <c r="I387" s="52"/>
      <c r="J387" s="52"/>
      <c r="K387" s="52"/>
      <c r="L387" s="52"/>
      <c r="M387" s="52"/>
      <c r="N387" s="52"/>
      <c r="O387" s="52"/>
      <c r="P387" s="52"/>
      <c r="Q387" s="52"/>
      <c r="R387" s="52"/>
      <c r="S387" s="52"/>
      <c r="T387" s="52"/>
      <c r="U387" s="52"/>
      <c r="V387" s="52"/>
      <c r="W387" s="52"/>
      <c r="X387" s="52"/>
      <c r="Y387" s="52"/>
      <c r="Z387" s="52"/>
    </row>
    <row r="388" spans="1:26" ht="12" customHeight="1">
      <c r="A388" s="52"/>
      <c r="B388" s="52"/>
      <c r="C388" s="320"/>
      <c r="D388" s="306"/>
      <c r="E388" s="3"/>
      <c r="F388" s="52"/>
      <c r="G388" s="52"/>
      <c r="H388" s="52"/>
      <c r="I388" s="52"/>
      <c r="J388" s="52"/>
      <c r="K388" s="52"/>
      <c r="L388" s="52"/>
      <c r="M388" s="52"/>
      <c r="N388" s="52"/>
      <c r="O388" s="52"/>
      <c r="P388" s="52"/>
      <c r="Q388" s="52"/>
      <c r="R388" s="52"/>
      <c r="S388" s="52"/>
      <c r="T388" s="52"/>
      <c r="U388" s="52"/>
      <c r="V388" s="52"/>
      <c r="W388" s="52"/>
      <c r="X388" s="52"/>
      <c r="Y388" s="52"/>
      <c r="Z388" s="52"/>
    </row>
    <row r="389" spans="1:26" ht="12"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 customHeight="1">
      <c r="A390" s="52"/>
      <c r="B390" s="52"/>
      <c r="C390" s="306"/>
      <c r="D390" s="3"/>
      <c r="E390" s="3"/>
      <c r="F390" s="3"/>
      <c r="G390" s="3"/>
      <c r="H390" s="3"/>
      <c r="I390" s="3"/>
      <c r="J390" s="3"/>
      <c r="K390" s="52"/>
      <c r="L390" s="52"/>
      <c r="M390" s="52"/>
      <c r="N390" s="52"/>
      <c r="O390" s="52"/>
      <c r="P390" s="52"/>
      <c r="Q390" s="52"/>
      <c r="R390" s="52"/>
      <c r="S390" s="52"/>
      <c r="T390" s="52"/>
      <c r="U390" s="52"/>
      <c r="V390" s="52"/>
      <c r="W390" s="52"/>
      <c r="X390" s="52"/>
      <c r="Y390" s="52"/>
      <c r="Z390" s="52"/>
    </row>
    <row r="391" spans="1:26" ht="12" customHeight="1">
      <c r="A391" s="52"/>
      <c r="B391" s="320"/>
      <c r="C391" s="320"/>
      <c r="D391" s="306"/>
      <c r="E391" s="3"/>
      <c r="F391" s="52"/>
      <c r="G391" s="52"/>
      <c r="H391" s="52"/>
      <c r="I391" s="52"/>
      <c r="J391" s="52"/>
      <c r="K391" s="52"/>
      <c r="L391" s="52"/>
      <c r="M391" s="52"/>
      <c r="N391" s="52"/>
      <c r="O391" s="52"/>
      <c r="P391" s="52"/>
      <c r="Q391" s="52"/>
      <c r="R391" s="52"/>
      <c r="S391" s="52"/>
      <c r="T391" s="52"/>
      <c r="U391" s="52"/>
      <c r="V391" s="52"/>
      <c r="W391" s="52"/>
      <c r="X391" s="52"/>
      <c r="Y391" s="52"/>
      <c r="Z391" s="52"/>
    </row>
    <row r="392" spans="1:26" ht="12" customHeight="1">
      <c r="A392" s="52"/>
      <c r="B392" s="320"/>
      <c r="C392" s="320"/>
      <c r="D392" s="306"/>
      <c r="E392" s="3"/>
      <c r="F392" s="52"/>
      <c r="G392" s="52"/>
      <c r="H392" s="52"/>
      <c r="I392" s="52"/>
      <c r="J392" s="52"/>
      <c r="K392" s="52"/>
      <c r="L392" s="52"/>
      <c r="M392" s="52"/>
      <c r="N392" s="52"/>
      <c r="O392" s="52"/>
      <c r="P392" s="52"/>
      <c r="Q392" s="52"/>
      <c r="R392" s="52"/>
      <c r="S392" s="52"/>
      <c r="T392" s="52"/>
      <c r="U392" s="52"/>
      <c r="V392" s="52"/>
      <c r="W392" s="52"/>
      <c r="X392" s="52"/>
      <c r="Y392" s="52"/>
      <c r="Z392" s="52"/>
    </row>
    <row r="393" spans="1:26" ht="12" customHeight="1">
      <c r="A393" s="52"/>
      <c r="B393" s="320"/>
      <c r="C393" s="320"/>
      <c r="D393" s="306"/>
      <c r="E393" s="3"/>
      <c r="F393" s="52"/>
      <c r="G393" s="52"/>
      <c r="H393" s="52"/>
      <c r="I393" s="52"/>
      <c r="J393" s="52"/>
      <c r="K393" s="52"/>
      <c r="L393" s="52"/>
      <c r="M393" s="52"/>
      <c r="N393" s="52"/>
      <c r="O393" s="52"/>
      <c r="P393" s="52"/>
      <c r="Q393" s="52"/>
      <c r="R393" s="52"/>
      <c r="S393" s="52"/>
      <c r="T393" s="52"/>
      <c r="U393" s="52"/>
      <c r="V393" s="52"/>
      <c r="W393" s="52"/>
      <c r="X393" s="52"/>
      <c r="Y393" s="52"/>
      <c r="Z393" s="52"/>
    </row>
    <row r="394" spans="1:26" ht="12" customHeight="1">
      <c r="A394" s="52"/>
      <c r="B394" s="320"/>
      <c r="C394" s="320"/>
      <c r="D394" s="306"/>
      <c r="E394" s="3"/>
      <c r="F394" s="52"/>
      <c r="G394" s="52"/>
      <c r="H394" s="52"/>
      <c r="I394" s="52"/>
      <c r="J394" s="52"/>
      <c r="K394" s="52"/>
      <c r="L394" s="52"/>
      <c r="M394" s="52"/>
      <c r="N394" s="52"/>
      <c r="O394" s="52"/>
      <c r="P394" s="52"/>
      <c r="Q394" s="52"/>
      <c r="R394" s="52"/>
      <c r="S394" s="52"/>
      <c r="T394" s="52"/>
      <c r="U394" s="52"/>
      <c r="V394" s="52"/>
      <c r="W394" s="52"/>
      <c r="X394" s="52"/>
      <c r="Y394" s="52"/>
      <c r="Z394" s="52"/>
    </row>
    <row r="395" spans="1:26" ht="12" customHeight="1">
      <c r="A395" s="52"/>
      <c r="B395" s="320"/>
      <c r="C395" s="320"/>
      <c r="D395" s="306"/>
      <c r="E395" s="3"/>
      <c r="F395" s="52"/>
      <c r="G395" s="52"/>
      <c r="H395" s="52"/>
      <c r="I395" s="52"/>
      <c r="J395" s="52"/>
      <c r="K395" s="52"/>
      <c r="L395" s="52"/>
      <c r="M395" s="52"/>
      <c r="N395" s="52"/>
      <c r="O395" s="52"/>
      <c r="P395" s="52"/>
      <c r="Q395" s="52"/>
      <c r="R395" s="52"/>
      <c r="S395" s="52"/>
      <c r="T395" s="52"/>
      <c r="U395" s="52"/>
      <c r="V395" s="52"/>
      <c r="W395" s="52"/>
      <c r="X395" s="52"/>
      <c r="Y395" s="52"/>
      <c r="Z395" s="52"/>
    </row>
    <row r="396" spans="1:26" ht="12" customHeight="1">
      <c r="A396" s="52"/>
      <c r="B396" s="320"/>
      <c r="C396" s="320"/>
      <c r="D396" s="306"/>
      <c r="E396" s="3"/>
      <c r="F396" s="52"/>
      <c r="G396" s="52"/>
      <c r="H396" s="52"/>
      <c r="I396" s="52"/>
      <c r="J396" s="52"/>
      <c r="K396" s="52"/>
      <c r="L396" s="52"/>
      <c r="M396" s="52"/>
      <c r="N396" s="52"/>
      <c r="O396" s="52"/>
      <c r="P396" s="52"/>
      <c r="Q396" s="52"/>
      <c r="R396" s="52"/>
      <c r="S396" s="52"/>
      <c r="T396" s="52"/>
      <c r="U396" s="52"/>
      <c r="V396" s="52"/>
      <c r="W396" s="52"/>
      <c r="X396" s="52"/>
      <c r="Y396" s="52"/>
      <c r="Z396" s="52"/>
    </row>
    <row r="397" spans="1:26" ht="12" customHeight="1">
      <c r="A397" s="52"/>
      <c r="B397" s="320"/>
      <c r="C397" s="320"/>
      <c r="D397" s="306"/>
      <c r="E397" s="3"/>
      <c r="F397" s="52"/>
      <c r="G397" s="52"/>
      <c r="H397" s="52"/>
      <c r="I397" s="52"/>
      <c r="J397" s="52"/>
      <c r="K397" s="52"/>
      <c r="L397" s="52"/>
      <c r="M397" s="52"/>
      <c r="N397" s="52"/>
      <c r="O397" s="52"/>
      <c r="P397" s="52"/>
      <c r="Q397" s="52"/>
      <c r="R397" s="52"/>
      <c r="S397" s="52"/>
      <c r="T397" s="52"/>
      <c r="U397" s="52"/>
      <c r="V397" s="52"/>
      <c r="W397" s="52"/>
      <c r="X397" s="52"/>
      <c r="Y397" s="52"/>
      <c r="Z397" s="52"/>
    </row>
    <row r="398" spans="1:26" ht="12" customHeight="1">
      <c r="A398" s="52"/>
      <c r="B398" s="320"/>
      <c r="C398" s="320"/>
      <c r="D398" s="306"/>
      <c r="E398" s="3"/>
      <c r="F398" s="52"/>
      <c r="G398" s="52"/>
      <c r="H398" s="52"/>
      <c r="I398" s="52"/>
      <c r="J398" s="52"/>
      <c r="K398" s="52"/>
      <c r="L398" s="52"/>
      <c r="M398" s="52"/>
      <c r="N398" s="52"/>
      <c r="O398" s="52"/>
      <c r="P398" s="52"/>
      <c r="Q398" s="52"/>
      <c r="R398" s="52"/>
      <c r="S398" s="52"/>
      <c r="T398" s="52"/>
      <c r="U398" s="52"/>
      <c r="V398" s="52"/>
      <c r="W398" s="52"/>
      <c r="X398" s="52"/>
      <c r="Y398" s="52"/>
      <c r="Z398" s="52"/>
    </row>
    <row r="399" spans="1:26" ht="12" customHeight="1">
      <c r="A399" s="52"/>
      <c r="B399" s="52"/>
      <c r="C399" s="320"/>
      <c r="D399" s="306"/>
      <c r="E399" s="3"/>
      <c r="F399" s="52"/>
      <c r="G399" s="52"/>
      <c r="H399" s="52"/>
      <c r="I399" s="52"/>
      <c r="J399" s="52"/>
      <c r="K399" s="52"/>
      <c r="L399" s="52"/>
      <c r="M399" s="52"/>
      <c r="N399" s="52"/>
      <c r="O399" s="52"/>
      <c r="P399" s="52"/>
      <c r="Q399" s="52"/>
      <c r="R399" s="52"/>
      <c r="S399" s="52"/>
      <c r="T399" s="52"/>
      <c r="U399" s="52"/>
      <c r="V399" s="52"/>
      <c r="W399" s="52"/>
      <c r="X399" s="52"/>
      <c r="Y399" s="52"/>
      <c r="Z399" s="52"/>
    </row>
    <row r="400" spans="1:26" ht="12" customHeight="1">
      <c r="A400" s="52"/>
      <c r="B400" s="52"/>
      <c r="C400" s="320"/>
      <c r="D400" s="306"/>
      <c r="E400" s="3"/>
      <c r="F400" s="52"/>
      <c r="G400" s="52"/>
      <c r="H400" s="52"/>
      <c r="I400" s="52"/>
      <c r="J400" s="52"/>
      <c r="K400" s="52"/>
      <c r="L400" s="52"/>
      <c r="M400" s="52"/>
      <c r="N400" s="52"/>
      <c r="O400" s="52"/>
      <c r="P400" s="52"/>
      <c r="Q400" s="52"/>
      <c r="R400" s="52"/>
      <c r="S400" s="52"/>
      <c r="T400" s="52"/>
      <c r="U400" s="52"/>
      <c r="V400" s="52"/>
      <c r="W400" s="52"/>
      <c r="X400" s="52"/>
      <c r="Y400" s="52"/>
      <c r="Z400" s="52"/>
    </row>
    <row r="401" spans="1:26" ht="12" customHeight="1">
      <c r="A401" s="52"/>
      <c r="B401" s="52"/>
      <c r="C401" s="320"/>
      <c r="D401" s="306"/>
      <c r="E401" s="3"/>
      <c r="F401" s="52"/>
      <c r="G401" s="52"/>
      <c r="H401" s="52"/>
      <c r="I401" s="52"/>
      <c r="J401" s="52"/>
      <c r="K401" s="52"/>
      <c r="L401" s="52"/>
      <c r="M401" s="52"/>
      <c r="N401" s="52"/>
      <c r="O401" s="52"/>
      <c r="P401" s="52"/>
      <c r="Q401" s="52"/>
      <c r="R401" s="52"/>
      <c r="S401" s="52"/>
      <c r="T401" s="52"/>
      <c r="U401" s="52"/>
      <c r="V401" s="52"/>
      <c r="W401" s="52"/>
      <c r="X401" s="52"/>
      <c r="Y401" s="52"/>
      <c r="Z401" s="52"/>
    </row>
    <row r="402" spans="1:26" ht="12"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 customHeight="1">
      <c r="A506" s="52"/>
      <c r="B506" s="52"/>
      <c r="C506" s="52"/>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ustomHeight="1">
      <c r="A507" s="52"/>
      <c r="B507" s="52"/>
      <c r="C507" s="52"/>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ustomHeight="1">
      <c r="A508" s="52"/>
      <c r="B508" s="52"/>
      <c r="C508" s="52"/>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ustomHeight="1">
      <c r="A509" s="52"/>
      <c r="B509" s="52"/>
      <c r="C509" s="52"/>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ustomHeight="1">
      <c r="A510" s="52"/>
      <c r="B510" s="52"/>
      <c r="C510" s="52"/>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ustomHeight="1">
      <c r="A511" s="52"/>
      <c r="B511" s="52"/>
      <c r="C511" s="52"/>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ustomHeight="1">
      <c r="A512" s="52"/>
      <c r="B512" s="52"/>
      <c r="C512" s="52"/>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ustomHeight="1">
      <c r="A513" s="52"/>
      <c r="B513" s="52"/>
      <c r="C513" s="52"/>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ustomHeight="1">
      <c r="A514" s="52"/>
      <c r="B514" s="52"/>
      <c r="C514" s="52"/>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ustomHeight="1">
      <c r="A515" s="52"/>
      <c r="B515" s="52"/>
      <c r="C515" s="52"/>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ustomHeight="1">
      <c r="A516" s="52"/>
      <c r="B516" s="52"/>
      <c r="C516" s="52"/>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ustomHeight="1">
      <c r="A517" s="52"/>
      <c r="B517" s="52"/>
      <c r="C517" s="52"/>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ustomHeight="1">
      <c r="A518" s="52"/>
      <c r="B518" s="52"/>
      <c r="C518" s="52"/>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ustomHeight="1">
      <c r="A519" s="52"/>
      <c r="B519" s="52"/>
      <c r="C519" s="52"/>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ustomHeight="1">
      <c r="A520" s="52"/>
      <c r="B520" s="52"/>
      <c r="C520" s="52"/>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ustomHeight="1">
      <c r="A521" s="52"/>
      <c r="B521" s="52"/>
      <c r="C521" s="52"/>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ustomHeight="1">
      <c r="A522" s="52"/>
      <c r="B522" s="52"/>
      <c r="C522" s="52"/>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ustomHeight="1">
      <c r="A523" s="52"/>
      <c r="B523" s="52"/>
      <c r="C523" s="52"/>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ustomHeight="1">
      <c r="A524" s="52"/>
      <c r="B524" s="52"/>
      <c r="C524" s="52"/>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ustomHeight="1">
      <c r="A525" s="52"/>
      <c r="B525" s="52"/>
      <c r="C525" s="52"/>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ustomHeight="1">
      <c r="A526" s="52"/>
      <c r="B526" s="52"/>
      <c r="C526" s="52"/>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ustomHeight="1">
      <c r="A527" s="52"/>
      <c r="B527" s="52"/>
      <c r="C527" s="52"/>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ustomHeight="1">
      <c r="A528" s="52"/>
      <c r="B528" s="52"/>
      <c r="C528" s="52"/>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ustomHeight="1">
      <c r="A529" s="52"/>
      <c r="B529" s="52"/>
      <c r="C529" s="52"/>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ustomHeight="1">
      <c r="A530" s="52"/>
      <c r="B530" s="52"/>
      <c r="C530" s="52"/>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ustomHeight="1">
      <c r="A531" s="52"/>
      <c r="B531" s="52"/>
      <c r="C531" s="52"/>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ustomHeight="1">
      <c r="A532" s="52"/>
      <c r="B532" s="52"/>
      <c r="C532" s="52"/>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ustomHeight="1">
      <c r="A533" s="52"/>
      <c r="B533" s="52"/>
      <c r="C533" s="52"/>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ustomHeight="1">
      <c r="A534" s="52"/>
      <c r="B534" s="52"/>
      <c r="C534" s="52"/>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ustomHeight="1">
      <c r="A535" s="52"/>
      <c r="B535" s="52"/>
      <c r="C535" s="52"/>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ustomHeight="1">
      <c r="A536" s="52"/>
      <c r="B536" s="52"/>
      <c r="C536" s="52"/>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ustomHeight="1">
      <c r="A537" s="52"/>
      <c r="B537" s="52"/>
      <c r="C537" s="52"/>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ustomHeight="1">
      <c r="A538" s="52"/>
      <c r="B538" s="52"/>
      <c r="C538" s="52"/>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ustomHeight="1">
      <c r="A539" s="52"/>
      <c r="B539" s="52"/>
      <c r="C539" s="52"/>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ustomHeight="1">
      <c r="A540" s="52"/>
      <c r="B540" s="52"/>
      <c r="C540" s="52"/>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ustomHeight="1">
      <c r="A541" s="52"/>
      <c r="B541" s="52"/>
      <c r="C541" s="52"/>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ustomHeight="1">
      <c r="A542" s="52"/>
      <c r="B542" s="52"/>
      <c r="C542" s="52"/>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ustomHeight="1">
      <c r="A543" s="52"/>
      <c r="B543" s="52"/>
      <c r="C543" s="52"/>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ustomHeight="1">
      <c r="A544" s="52"/>
      <c r="B544" s="52"/>
      <c r="C544" s="52"/>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ustomHeight="1">
      <c r="A545" s="52"/>
      <c r="B545" s="52"/>
      <c r="C545" s="52"/>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ustomHeight="1">
      <c r="A546" s="52"/>
      <c r="B546" s="52"/>
      <c r="C546" s="52"/>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ustomHeight="1">
      <c r="A547" s="52"/>
      <c r="B547" s="52"/>
      <c r="C547" s="52"/>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ustomHeight="1">
      <c r="A548" s="52"/>
      <c r="B548" s="52"/>
      <c r="C548" s="52"/>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ustomHeight="1">
      <c r="A549" s="52"/>
      <c r="B549" s="52"/>
      <c r="C549" s="52"/>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ustomHeight="1">
      <c r="A550" s="52"/>
      <c r="B550" s="52"/>
      <c r="C550" s="52"/>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ustomHeight="1">
      <c r="A551" s="52"/>
      <c r="B551" s="52"/>
      <c r="C551" s="52"/>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ustomHeight="1">
      <c r="A552" s="52"/>
      <c r="B552" s="52"/>
      <c r="C552" s="52"/>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ustomHeight="1">
      <c r="A553" s="52"/>
      <c r="B553" s="52"/>
      <c r="C553" s="52"/>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ustomHeight="1">
      <c r="A554" s="52"/>
      <c r="B554" s="52"/>
      <c r="C554" s="52"/>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ustomHeight="1">
      <c r="A555" s="52"/>
      <c r="B555" s="52"/>
      <c r="C555" s="52"/>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ustomHeight="1">
      <c r="A556" s="52"/>
      <c r="B556" s="52"/>
      <c r="C556" s="52"/>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ustomHeight="1">
      <c r="A557" s="52"/>
      <c r="B557" s="52"/>
      <c r="C557" s="52"/>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ustomHeight="1">
      <c r="A558" s="52"/>
      <c r="B558" s="52"/>
      <c r="C558" s="52"/>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ustomHeight="1">
      <c r="A559" s="52"/>
      <c r="B559" s="52"/>
      <c r="C559" s="52"/>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ustomHeight="1">
      <c r="A560" s="52"/>
      <c r="B560" s="52"/>
      <c r="C560" s="52"/>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ustomHeight="1">
      <c r="A561" s="52"/>
      <c r="B561" s="52"/>
      <c r="C561" s="52"/>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ustomHeight="1">
      <c r="A562" s="52"/>
      <c r="B562" s="52"/>
      <c r="C562" s="52"/>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ustomHeight="1">
      <c r="A563" s="52"/>
      <c r="B563" s="52"/>
      <c r="C563" s="52"/>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ustomHeight="1">
      <c r="A564" s="52"/>
      <c r="B564" s="52"/>
      <c r="C564" s="52"/>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ustomHeight="1">
      <c r="A565" s="52"/>
      <c r="B565" s="52"/>
      <c r="C565" s="52"/>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ustomHeight="1">
      <c r="A566" s="52"/>
      <c r="B566" s="52"/>
      <c r="C566" s="52"/>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ustomHeight="1">
      <c r="A567" s="52"/>
      <c r="B567" s="52"/>
      <c r="C567" s="52"/>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ustomHeight="1">
      <c r="A568" s="52"/>
      <c r="B568" s="52"/>
      <c r="C568" s="52"/>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ustomHeight="1">
      <c r="A569" s="52"/>
      <c r="B569" s="52"/>
      <c r="C569" s="52"/>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ustomHeight="1">
      <c r="A570" s="52"/>
      <c r="B570" s="52"/>
      <c r="C570" s="52"/>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ustomHeight="1">
      <c r="A571" s="52"/>
      <c r="B571" s="52"/>
      <c r="C571" s="52"/>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ustomHeight="1">
      <c r="A572" s="52"/>
      <c r="B572" s="52"/>
      <c r="C572" s="52"/>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row r="574" spans="1:26" ht="15.75" customHeight="1"/>
    <row r="575" spans="1:26" ht="15.75" customHeight="1"/>
    <row r="576" spans="1:2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0866141732283472" right="0.70866141732283472" top="0.74803149606299213" bottom="0.74803149606299213" header="0" footer="0"/>
  <pageSetup orientation="landscape"/>
  <rowBreaks count="1" manualBreakCount="1">
    <brk id="25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6.28515625" customWidth="1"/>
    <col min="4" max="4" width="11.42578125" customWidth="1"/>
    <col min="5" max="5" width="1.42578125" customWidth="1"/>
    <col min="6" max="6" width="10.42578125" customWidth="1"/>
    <col min="7" max="7" width="8" customWidth="1"/>
    <col min="8" max="8" width="9.28515625" customWidth="1"/>
    <col min="9" max="9" width="1.28515625" customWidth="1"/>
    <col min="10" max="10" width="10.42578125" customWidth="1"/>
    <col min="11" max="11" width="8" customWidth="1"/>
    <col min="12" max="12" width="8.28515625" customWidth="1"/>
    <col min="13" max="13" width="2" customWidth="1"/>
    <col min="14" max="14" width="9.42578125" customWidth="1"/>
    <col min="15" max="15" width="10" customWidth="1"/>
    <col min="16" max="16" width="0.7109375" customWidth="1"/>
    <col min="17" max="17" width="10.42578125" customWidth="1"/>
    <col min="18" max="18" width="8" customWidth="1"/>
    <col min="19" max="19" width="8.28515625" customWidth="1"/>
    <col min="20" max="20" width="2" customWidth="1"/>
    <col min="21" max="21" width="9.42578125" customWidth="1"/>
    <col min="22" max="22" width="10" customWidth="1"/>
    <col min="23" max="23" width="0.85546875" customWidth="1"/>
    <col min="24" max="24" width="10.42578125" customWidth="1"/>
    <col min="25" max="25" width="8" customWidth="1"/>
    <col min="26" max="26" width="8.28515625" customWidth="1"/>
    <col min="27" max="27" width="2.85546875" customWidth="1"/>
    <col min="28" max="28" width="9.42578125" customWidth="1"/>
    <col min="29" max="29" width="10" customWidth="1"/>
    <col min="30" max="30" width="0.42578125" customWidth="1"/>
    <col min="31" max="31" width="10.42578125" customWidth="1"/>
    <col min="32" max="32" width="8" customWidth="1"/>
    <col min="33" max="33" width="8.28515625" customWidth="1"/>
    <col min="34" max="34" width="0.85546875" customWidth="1"/>
    <col min="35" max="35" width="9.42578125" customWidth="1"/>
    <col min="36" max="36" width="10" customWidth="1"/>
    <col min="37" max="37" width="1.140625" customWidth="1"/>
    <col min="38" max="38" width="10.42578125" customWidth="1"/>
    <col min="39" max="39" width="8" customWidth="1"/>
    <col min="40" max="40" width="8.28515625" customWidth="1"/>
    <col min="41" max="41" width="1" customWidth="1"/>
    <col min="42" max="42" width="9.42578125" customWidth="1"/>
    <col min="43" max="43" width="10" customWidth="1"/>
    <col min="44" max="44" width="12.42578125" customWidth="1"/>
  </cols>
  <sheetData>
    <row r="1" spans="1:44" ht="12" customHeight="1">
      <c r="A1" s="3"/>
      <c r="B1" s="3"/>
      <c r="C1" s="3"/>
      <c r="D1" s="3"/>
      <c r="E1" s="3"/>
      <c r="F1" s="3"/>
      <c r="G1" s="3"/>
      <c r="H1" s="3"/>
      <c r="I1" s="3"/>
      <c r="J1" s="3"/>
      <c r="K1" s="3"/>
      <c r="L1" s="3"/>
      <c r="M1" s="3"/>
      <c r="N1" s="3"/>
      <c r="O1" s="3"/>
      <c r="P1" s="3"/>
      <c r="Q1" s="3"/>
      <c r="R1" s="3"/>
      <c r="S1" s="619" t="s">
        <v>290</v>
      </c>
      <c r="T1" s="620"/>
      <c r="U1" s="620"/>
      <c r="V1" s="620"/>
      <c r="W1" s="620"/>
      <c r="X1" s="620"/>
      <c r="Y1" s="621"/>
      <c r="Z1" s="3"/>
      <c r="AA1" s="3"/>
      <c r="AB1" s="3"/>
      <c r="AC1" s="3"/>
      <c r="AD1" s="3"/>
      <c r="AE1" s="3"/>
      <c r="AF1" s="3"/>
      <c r="AG1" s="3"/>
      <c r="AH1" s="3"/>
      <c r="AI1" s="3"/>
      <c r="AJ1" s="3"/>
      <c r="AK1" s="3"/>
      <c r="AL1" s="3"/>
      <c r="AM1" s="3"/>
      <c r="AN1" s="3"/>
      <c r="AO1" s="3"/>
      <c r="AP1" s="3"/>
      <c r="AQ1" s="3"/>
      <c r="AR1" s="3"/>
    </row>
    <row r="2" spans="1:44" ht="12" customHeight="1">
      <c r="A2" s="52"/>
      <c r="B2" s="52"/>
      <c r="C2" s="379"/>
      <c r="D2" s="379"/>
      <c r="E2" s="379"/>
      <c r="F2" s="379" t="s">
        <v>291</v>
      </c>
      <c r="G2" s="379"/>
      <c r="H2" s="379"/>
      <c r="J2" s="52"/>
      <c r="K2" s="52"/>
      <c r="L2" s="52"/>
      <c r="M2" s="52"/>
      <c r="N2" s="52"/>
      <c r="O2" s="52"/>
      <c r="P2" s="52"/>
      <c r="Q2" s="52"/>
      <c r="R2" s="52"/>
      <c r="S2" s="380">
        <v>1</v>
      </c>
      <c r="T2" s="622" t="s">
        <v>292</v>
      </c>
      <c r="U2" s="623"/>
      <c r="V2" s="623"/>
      <c r="W2" s="623"/>
      <c r="X2" s="623"/>
      <c r="Y2" s="624"/>
      <c r="Z2" s="52"/>
      <c r="AA2" s="52"/>
      <c r="AB2" s="52"/>
      <c r="AC2" s="52"/>
      <c r="AD2" s="52"/>
      <c r="AE2" s="52"/>
      <c r="AF2" s="52"/>
      <c r="AG2" s="52"/>
      <c r="AH2" s="52"/>
      <c r="AI2" s="52"/>
      <c r="AJ2" s="52"/>
      <c r="AK2" s="52"/>
      <c r="AL2" s="52"/>
      <c r="AM2" s="52"/>
      <c r="AN2" s="52"/>
      <c r="AO2" s="52"/>
      <c r="AP2" s="52"/>
      <c r="AQ2" s="52"/>
    </row>
    <row r="3" spans="1:44" ht="12" customHeight="1">
      <c r="A3" s="52"/>
      <c r="B3" s="52"/>
      <c r="C3" s="379"/>
      <c r="D3" s="379"/>
      <c r="E3" s="379"/>
      <c r="F3" s="379" t="s">
        <v>293</v>
      </c>
      <c r="G3" s="379"/>
      <c r="H3" s="379"/>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row>
    <row r="4" spans="1:44" ht="12" customHeight="1">
      <c r="A4" s="52"/>
      <c r="B4" s="52"/>
      <c r="C4" s="52"/>
      <c r="D4" s="52"/>
      <c r="E4" s="52"/>
      <c r="F4" s="52"/>
      <c r="G4" s="52"/>
      <c r="H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row>
    <row r="5" spans="1:44" ht="12" customHeight="1">
      <c r="A5" s="52"/>
      <c r="B5" s="52"/>
      <c r="C5" s="52"/>
      <c r="D5" s="52"/>
      <c r="E5" s="52"/>
      <c r="F5" s="52"/>
      <c r="G5" s="52"/>
      <c r="H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row>
    <row r="6" spans="1:44" ht="12" customHeight="1">
      <c r="A6" s="52"/>
      <c r="B6" s="319" t="s">
        <v>294</v>
      </c>
      <c r="C6" s="52"/>
      <c r="D6" s="381" t="s">
        <v>219</v>
      </c>
      <c r="E6" s="381"/>
      <c r="F6" s="382"/>
      <c r="G6" s="382"/>
      <c r="H6" s="38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3"/>
    </row>
    <row r="7" spans="1:44" ht="12" customHeight="1">
      <c r="A7" s="52"/>
      <c r="B7" s="383"/>
      <c r="C7" s="52"/>
      <c r="D7" s="384"/>
      <c r="E7" s="384"/>
      <c r="F7" s="384"/>
      <c r="G7" s="384"/>
      <c r="H7" s="384"/>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row>
    <row r="8" spans="1:44" ht="12" customHeight="1">
      <c r="A8" s="52"/>
      <c r="B8" s="319" t="s">
        <v>295</v>
      </c>
      <c r="C8" s="52"/>
      <c r="D8" s="385" t="s">
        <v>296</v>
      </c>
      <c r="E8" s="384"/>
      <c r="F8" s="384"/>
      <c r="G8" s="384"/>
      <c r="H8" s="384"/>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row>
    <row r="9" spans="1:44" ht="12" customHeight="1">
      <c r="A9" s="52"/>
      <c r="B9" s="383"/>
      <c r="C9" s="52"/>
      <c r="D9" s="384"/>
      <c r="E9" s="384"/>
      <c r="F9" s="384"/>
      <c r="G9" s="384"/>
      <c r="H9" s="384"/>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row>
    <row r="10" spans="1:44" ht="12" customHeight="1">
      <c r="A10" s="52"/>
      <c r="B10" s="52"/>
      <c r="C10" s="52"/>
      <c r="D10" s="306" t="s">
        <v>297</v>
      </c>
      <c r="E10" s="306"/>
      <c r="F10" s="386">
        <v>100</v>
      </c>
      <c r="G10" s="306" t="s">
        <v>298</v>
      </c>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row>
    <row r="11" spans="1:44" ht="12" customHeight="1">
      <c r="A11" s="52"/>
      <c r="B11" s="52"/>
      <c r="C11" s="52"/>
      <c r="D11" s="52"/>
      <c r="E11" s="52"/>
      <c r="F11" s="387">
        <v>4</v>
      </c>
      <c r="G11" s="387"/>
      <c r="H11" s="387" t="str">
        <f>F12</f>
        <v>2025F</v>
      </c>
      <c r="I11" s="387"/>
      <c r="J11" s="387">
        <v>5</v>
      </c>
      <c r="K11" s="387"/>
      <c r="L11" s="387" t="str">
        <f>J12</f>
        <v>2026F</v>
      </c>
      <c r="M11" s="387"/>
      <c r="N11" s="387"/>
      <c r="O11" s="387" t="str">
        <f>L11&amp;"%"</f>
        <v>2026F%</v>
      </c>
      <c r="P11" s="387"/>
      <c r="Q11" s="387">
        <v>6</v>
      </c>
      <c r="R11" s="387"/>
      <c r="S11" s="387" t="str">
        <f>Q12</f>
        <v>2027F</v>
      </c>
      <c r="T11" s="387"/>
      <c r="U11" s="387"/>
      <c r="V11" s="387" t="str">
        <f>S11&amp;"%"</f>
        <v>2027F%</v>
      </c>
      <c r="W11" s="387"/>
      <c r="X11" s="387">
        <v>7</v>
      </c>
      <c r="Y11" s="387"/>
      <c r="Z11" s="387" t="str">
        <f>X12</f>
        <v>2028F</v>
      </c>
      <c r="AA11" s="387"/>
      <c r="AB11" s="387"/>
      <c r="AC11" s="387" t="str">
        <f>Z11&amp;"%"</f>
        <v>2028F%</v>
      </c>
      <c r="AD11" s="387"/>
      <c r="AE11" s="387">
        <v>8</v>
      </c>
      <c r="AF11" s="387"/>
      <c r="AG11" s="387" t="str">
        <f>AE12</f>
        <v>2029F</v>
      </c>
      <c r="AH11" s="387"/>
      <c r="AI11" s="387"/>
      <c r="AJ11" s="387" t="str">
        <f>AG11&amp;"%"</f>
        <v>2029F%</v>
      </c>
      <c r="AK11" s="387"/>
      <c r="AL11" s="387">
        <v>9</v>
      </c>
      <c r="AM11" s="387"/>
      <c r="AN11" s="387" t="str">
        <f>AL12</f>
        <v>2030F</v>
      </c>
      <c r="AO11" s="387"/>
      <c r="AP11" s="387"/>
      <c r="AQ11" s="387" t="str">
        <f>AN11&amp;"%"</f>
        <v>2030F%</v>
      </c>
    </row>
    <row r="12" spans="1:44" ht="12" customHeight="1">
      <c r="A12" s="52"/>
      <c r="B12" s="52"/>
      <c r="C12" s="52"/>
      <c r="D12" s="306"/>
      <c r="E12" s="306"/>
      <c r="F12" s="625" t="s">
        <v>215</v>
      </c>
      <c r="G12" s="589"/>
      <c r="H12" s="590"/>
      <c r="I12" s="52"/>
      <c r="J12" s="625" t="s">
        <v>2</v>
      </c>
      <c r="K12" s="589"/>
      <c r="L12" s="590"/>
      <c r="M12" s="52"/>
      <c r="N12" s="626" t="str">
        <f>"Impact "&amp;F12&amp;" vs "&amp;J12</f>
        <v>Impact 2025F vs 2026F</v>
      </c>
      <c r="O12" s="590"/>
      <c r="P12" s="52"/>
      <c r="Q12" s="625" t="s">
        <v>3</v>
      </c>
      <c r="R12" s="589"/>
      <c r="S12" s="590"/>
      <c r="T12" s="52"/>
      <c r="U12" s="626" t="str">
        <f>"Impact "&amp;J12&amp;" vs "&amp;Q12</f>
        <v>Impact 2026F vs 2027F</v>
      </c>
      <c r="V12" s="590"/>
      <c r="W12" s="52"/>
      <c r="X12" s="625" t="s">
        <v>4</v>
      </c>
      <c r="Y12" s="589"/>
      <c r="Z12" s="590"/>
      <c r="AA12" s="52"/>
      <c r="AB12" s="626" t="str">
        <f>"Impact "&amp;Q12&amp;" vs "&amp;X12</f>
        <v>Impact 2027F vs 2028F</v>
      </c>
      <c r="AC12" s="590"/>
      <c r="AD12" s="52"/>
      <c r="AE12" s="625" t="s">
        <v>5</v>
      </c>
      <c r="AF12" s="589"/>
      <c r="AG12" s="590"/>
      <c r="AH12" s="52"/>
      <c r="AI12" s="626" t="str">
        <f>"Impact "&amp;X12&amp;" vs "&amp;AE12</f>
        <v>Impact 2028F vs 2029F</v>
      </c>
      <c r="AJ12" s="590"/>
      <c r="AK12" s="309"/>
      <c r="AL12" s="625" t="s">
        <v>6</v>
      </c>
      <c r="AM12" s="589"/>
      <c r="AN12" s="590"/>
      <c r="AO12" s="52"/>
      <c r="AP12" s="626" t="str">
        <f>"Impact "&amp;AE12&amp;" vs "&amp;AL12</f>
        <v>Impact 2029F vs 2030F</v>
      </c>
      <c r="AQ12" s="590"/>
    </row>
    <row r="13" spans="1:44" ht="12" customHeight="1">
      <c r="A13" s="52"/>
      <c r="B13" s="52"/>
      <c r="C13" s="52"/>
      <c r="D13" s="633" t="s">
        <v>299</v>
      </c>
      <c r="E13" s="309"/>
      <c r="F13" s="389" t="s">
        <v>300</v>
      </c>
      <c r="G13" s="390" t="s">
        <v>301</v>
      </c>
      <c r="H13" s="391" t="s">
        <v>302</v>
      </c>
      <c r="I13" s="52"/>
      <c r="J13" s="389" t="s">
        <v>300</v>
      </c>
      <c r="K13" s="390" t="s">
        <v>301</v>
      </c>
      <c r="L13" s="391" t="s">
        <v>302</v>
      </c>
      <c r="M13" s="52"/>
      <c r="N13" s="629" t="s">
        <v>303</v>
      </c>
      <c r="O13" s="631" t="s">
        <v>304</v>
      </c>
      <c r="P13" s="52"/>
      <c r="Q13" s="389" t="s">
        <v>300</v>
      </c>
      <c r="R13" s="390" t="s">
        <v>301</v>
      </c>
      <c r="S13" s="391" t="s">
        <v>302</v>
      </c>
      <c r="T13" s="52"/>
      <c r="U13" s="629" t="s">
        <v>303</v>
      </c>
      <c r="V13" s="631" t="s">
        <v>304</v>
      </c>
      <c r="W13" s="52"/>
      <c r="X13" s="389" t="s">
        <v>300</v>
      </c>
      <c r="Y13" s="390" t="s">
        <v>301</v>
      </c>
      <c r="Z13" s="391" t="s">
        <v>302</v>
      </c>
      <c r="AA13" s="52"/>
      <c r="AB13" s="629" t="s">
        <v>303</v>
      </c>
      <c r="AC13" s="631" t="s">
        <v>304</v>
      </c>
      <c r="AD13" s="52"/>
      <c r="AE13" s="389" t="s">
        <v>300</v>
      </c>
      <c r="AF13" s="390" t="s">
        <v>301</v>
      </c>
      <c r="AG13" s="391" t="s">
        <v>302</v>
      </c>
      <c r="AH13" s="52"/>
      <c r="AI13" s="629" t="s">
        <v>303</v>
      </c>
      <c r="AJ13" s="631" t="s">
        <v>304</v>
      </c>
      <c r="AK13" s="388"/>
      <c r="AL13" s="389" t="s">
        <v>300</v>
      </c>
      <c r="AM13" s="390" t="s">
        <v>301</v>
      </c>
      <c r="AN13" s="391" t="s">
        <v>302</v>
      </c>
      <c r="AO13" s="52"/>
      <c r="AP13" s="629" t="s">
        <v>303</v>
      </c>
      <c r="AQ13" s="631" t="s">
        <v>304</v>
      </c>
    </row>
    <row r="14" spans="1:44" ht="12" customHeight="1">
      <c r="A14" s="52"/>
      <c r="B14" s="52"/>
      <c r="C14" s="52"/>
      <c r="D14" s="615"/>
      <c r="E14" s="309"/>
      <c r="F14" s="392" t="s">
        <v>305</v>
      </c>
      <c r="G14" s="393"/>
      <c r="H14" s="394" t="s">
        <v>305</v>
      </c>
      <c r="I14" s="52"/>
      <c r="J14" s="392" t="s">
        <v>305</v>
      </c>
      <c r="K14" s="393"/>
      <c r="L14" s="394" t="s">
        <v>305</v>
      </c>
      <c r="M14" s="52"/>
      <c r="N14" s="630"/>
      <c r="O14" s="632"/>
      <c r="P14" s="52"/>
      <c r="Q14" s="392" t="s">
        <v>305</v>
      </c>
      <c r="R14" s="393"/>
      <c r="S14" s="394" t="s">
        <v>305</v>
      </c>
      <c r="T14" s="52"/>
      <c r="U14" s="630"/>
      <c r="V14" s="632"/>
      <c r="W14" s="52"/>
      <c r="X14" s="392" t="s">
        <v>305</v>
      </c>
      <c r="Y14" s="393"/>
      <c r="Z14" s="394" t="s">
        <v>305</v>
      </c>
      <c r="AA14" s="52"/>
      <c r="AB14" s="630"/>
      <c r="AC14" s="632"/>
      <c r="AD14" s="52"/>
      <c r="AE14" s="392" t="s">
        <v>305</v>
      </c>
      <c r="AF14" s="393"/>
      <c r="AG14" s="394" t="s">
        <v>305</v>
      </c>
      <c r="AH14" s="52"/>
      <c r="AI14" s="630"/>
      <c r="AJ14" s="632"/>
      <c r="AK14" s="388"/>
      <c r="AL14" s="392" t="s">
        <v>305</v>
      </c>
      <c r="AM14" s="393"/>
      <c r="AN14" s="394" t="s">
        <v>305</v>
      </c>
      <c r="AO14" s="52"/>
      <c r="AP14" s="630"/>
      <c r="AQ14" s="632"/>
    </row>
    <row r="15" spans="1:44" ht="12" customHeight="1">
      <c r="A15" s="52"/>
      <c r="B15" s="320" t="s">
        <v>218</v>
      </c>
      <c r="C15" s="395" t="str">
        <f t="shared" ref="C15:C28" si="0">D$6&amp;"."&amp;B15</f>
        <v>Residential.Monthly Service Charge</v>
      </c>
      <c r="D15" s="396" t="s">
        <v>306</v>
      </c>
      <c r="E15" s="320"/>
      <c r="F15" s="397">
        <f>IFERROR(VLOOKUP($C15,'Proposed Rates'!$B:$J,F$11,FALSE),0)</f>
        <v>34.26</v>
      </c>
      <c r="G15" s="398">
        <f t="shared" ref="G15:G28" si="1">IF($D15="Monthly",1,IF($D15="per KWH",$F$10,0))</f>
        <v>1</v>
      </c>
      <c r="H15" s="399">
        <f t="shared" ref="H15:H28" si="2">G15*F15</f>
        <v>34.26</v>
      </c>
      <c r="I15" s="52"/>
      <c r="J15" s="397">
        <f>IFERROR(VLOOKUP($C15,'Proposed Rates'!$B:$J,J$11,FALSE),0)</f>
        <v>41.03</v>
      </c>
      <c r="K15" s="398">
        <f t="shared" ref="K15:K28" si="3">IF($D15="Monthly",1,IF($D15="per KWH",$F$10,0))</f>
        <v>1</v>
      </c>
      <c r="L15" s="400">
        <f t="shared" ref="L15:L28" si="4">K15*J15</f>
        <v>41.03</v>
      </c>
      <c r="M15" s="128"/>
      <c r="N15" s="401">
        <f t="shared" ref="N15:N48" si="5">L15-H15</f>
        <v>6.7700000000000031</v>
      </c>
      <c r="O15" s="402">
        <f t="shared" ref="O15:O48" si="6">IF((H15)=0,"",(N15/H15))</f>
        <v>0.19760653823701119</v>
      </c>
      <c r="P15" s="52"/>
      <c r="Q15" s="397">
        <f>IFERROR(VLOOKUP($C15,'Proposed Rates'!$B:$J,Q$11,FALSE),0)</f>
        <v>44.13</v>
      </c>
      <c r="R15" s="398">
        <f t="shared" ref="R15:R28" si="7">IF($D15="Monthly",1,IF($D15="per KWH",$F$10,0))</f>
        <v>1</v>
      </c>
      <c r="S15" s="400">
        <f t="shared" ref="S15:S28" si="8">R15*Q15</f>
        <v>44.13</v>
      </c>
      <c r="T15" s="128"/>
      <c r="U15" s="401">
        <f t="shared" ref="U15:U48" si="9">S15-L15</f>
        <v>3.1000000000000014</v>
      </c>
      <c r="V15" s="402">
        <f t="shared" ref="V15:V48" si="10">IF((L15)=0,"",(U15/L15))</f>
        <v>7.5554472337314188E-2</v>
      </c>
      <c r="W15" s="52"/>
      <c r="X15" s="397">
        <f>IFERROR(VLOOKUP($C15,'Proposed Rates'!$B:$J,X$11,FALSE),0)</f>
        <v>48.07</v>
      </c>
      <c r="Y15" s="398">
        <f t="shared" ref="Y15:Y28" si="11">IF($D15="Monthly",1,IF($D15="per KWH",$F$10,0))</f>
        <v>1</v>
      </c>
      <c r="Z15" s="400">
        <f t="shared" ref="Z15:Z28" si="12">Y15*X15</f>
        <v>48.07</v>
      </c>
      <c r="AA15" s="128"/>
      <c r="AB15" s="401">
        <f t="shared" ref="AB15:AB48" si="13">Z15-S15</f>
        <v>3.9399999999999977</v>
      </c>
      <c r="AC15" s="402">
        <f t="shared" ref="AC15:AC48" si="14">IF((S15)=0,"",(AB15/S15))</f>
        <v>8.9281667799682704E-2</v>
      </c>
      <c r="AD15" s="52"/>
      <c r="AE15" s="397">
        <f>IFERROR(VLOOKUP($C15,'Proposed Rates'!$B:$J,AE$11,FALSE),0)</f>
        <v>51.15</v>
      </c>
      <c r="AF15" s="398">
        <f t="shared" ref="AF15:AF28" si="15">IF($D15="Monthly",1,IF($D15="per KWH",$F$10,0))</f>
        <v>1</v>
      </c>
      <c r="AG15" s="400">
        <f t="shared" ref="AG15:AG28" si="16">AF15*AE15</f>
        <v>51.15</v>
      </c>
      <c r="AH15" s="128"/>
      <c r="AI15" s="401">
        <f t="shared" ref="AI15:AI48" si="17">AG15-Z15</f>
        <v>3.0799999999999983</v>
      </c>
      <c r="AJ15" s="402">
        <f t="shared" ref="AJ15:AJ48" si="18">IF((Z15)=0,"",(AI15/Z15))</f>
        <v>6.4073226544622386E-2</v>
      </c>
      <c r="AK15" s="403"/>
      <c r="AL15" s="397">
        <f>IFERROR(VLOOKUP($C15,'Proposed Rates'!$B:$J,AL$11,FALSE),0)</f>
        <v>54.07</v>
      </c>
      <c r="AM15" s="398">
        <f t="shared" ref="AM15:AM28" si="19">IF($D15="Monthly",1,IF($D15="per KWH",$F$10,0))</f>
        <v>1</v>
      </c>
      <c r="AN15" s="400">
        <f t="shared" ref="AN15:AN28" si="20">AM15*AL15</f>
        <v>54.07</v>
      </c>
      <c r="AO15" s="128"/>
      <c r="AP15" s="401">
        <f t="shared" ref="AP15:AP48" si="21">AN15-AG15</f>
        <v>2.9200000000000017</v>
      </c>
      <c r="AQ15" s="402">
        <f t="shared" ref="AQ15:AQ48" si="22">IF((AG15)=0,"",(AP15/AG15))</f>
        <v>5.7086999022482932E-2</v>
      </c>
    </row>
    <row r="16" spans="1:44" ht="12" customHeight="1">
      <c r="A16" s="52"/>
      <c r="B16" s="320" t="s">
        <v>307</v>
      </c>
      <c r="C16" s="395" t="str">
        <f t="shared" si="0"/>
        <v>Residential.Smart Meter Rate Adder</v>
      </c>
      <c r="D16" s="396" t="s">
        <v>306</v>
      </c>
      <c r="E16" s="320"/>
      <c r="F16" s="397">
        <f>IFERROR(VLOOKUP($C16,'Proposed Rates'!$B:$J,F$11,FALSE),0)</f>
        <v>0</v>
      </c>
      <c r="G16" s="398">
        <f t="shared" si="1"/>
        <v>1</v>
      </c>
      <c r="H16" s="399">
        <f t="shared" si="2"/>
        <v>0</v>
      </c>
      <c r="I16" s="52"/>
      <c r="J16" s="397">
        <f>IFERROR(VLOOKUP($C16,'Proposed Rates'!$B:$J,J$11,FALSE),0)</f>
        <v>0</v>
      </c>
      <c r="K16" s="398">
        <f t="shared" si="3"/>
        <v>1</v>
      </c>
      <c r="L16" s="400">
        <f t="shared" si="4"/>
        <v>0</v>
      </c>
      <c r="M16" s="128"/>
      <c r="N16" s="401">
        <f t="shared" si="5"/>
        <v>0</v>
      </c>
      <c r="O16" s="402" t="str">
        <f t="shared" si="6"/>
        <v/>
      </c>
      <c r="P16" s="52"/>
      <c r="Q16" s="397">
        <f>IFERROR(VLOOKUP($C16,'Proposed Rates'!$B:$J,Q$11,FALSE),0)</f>
        <v>0</v>
      </c>
      <c r="R16" s="398">
        <f t="shared" si="7"/>
        <v>1</v>
      </c>
      <c r="S16" s="400">
        <f t="shared" si="8"/>
        <v>0</v>
      </c>
      <c r="T16" s="128"/>
      <c r="U16" s="401">
        <f t="shared" si="9"/>
        <v>0</v>
      </c>
      <c r="V16" s="402" t="str">
        <f t="shared" si="10"/>
        <v/>
      </c>
      <c r="W16" s="52"/>
      <c r="X16" s="397">
        <f>IFERROR(VLOOKUP($C16,'Proposed Rates'!$B:$J,X$11,FALSE),0)</f>
        <v>0</v>
      </c>
      <c r="Y16" s="398">
        <f t="shared" si="11"/>
        <v>1</v>
      </c>
      <c r="Z16" s="400">
        <f t="shared" si="12"/>
        <v>0</v>
      </c>
      <c r="AA16" s="128"/>
      <c r="AB16" s="401">
        <f t="shared" si="13"/>
        <v>0</v>
      </c>
      <c r="AC16" s="402" t="str">
        <f t="shared" si="14"/>
        <v/>
      </c>
      <c r="AD16" s="52"/>
      <c r="AE16" s="397">
        <f>IFERROR(VLOOKUP($C16,'Proposed Rates'!$B:$J,AE$11,FALSE),0)</f>
        <v>0</v>
      </c>
      <c r="AF16" s="398">
        <f t="shared" si="15"/>
        <v>1</v>
      </c>
      <c r="AG16" s="400">
        <f t="shared" si="16"/>
        <v>0</v>
      </c>
      <c r="AH16" s="128"/>
      <c r="AI16" s="401">
        <f t="shared" si="17"/>
        <v>0</v>
      </c>
      <c r="AJ16" s="402" t="str">
        <f t="shared" si="18"/>
        <v/>
      </c>
      <c r="AK16" s="403"/>
      <c r="AL16" s="397">
        <f>IFERROR(VLOOKUP($C16,'Proposed Rates'!$B:$J,AL$11,FALSE),0)</f>
        <v>0</v>
      </c>
      <c r="AM16" s="398">
        <f t="shared" si="19"/>
        <v>1</v>
      </c>
      <c r="AN16" s="400">
        <f t="shared" si="20"/>
        <v>0</v>
      </c>
      <c r="AO16" s="128"/>
      <c r="AP16" s="401">
        <f t="shared" si="21"/>
        <v>0</v>
      </c>
      <c r="AQ16" s="402" t="str">
        <f t="shared" si="22"/>
        <v/>
      </c>
    </row>
    <row r="17" spans="1:43" ht="12" customHeight="1">
      <c r="A17" s="52"/>
      <c r="B17" s="404" t="str">
        <f>'Proposed Rates'!C115</f>
        <v>Rate Rider Calculation for PILs</v>
      </c>
      <c r="C17" s="395" t="str">
        <f t="shared" si="0"/>
        <v>Residential.Rate Rider Calculation for PILs</v>
      </c>
      <c r="D17" s="396" t="s">
        <v>308</v>
      </c>
      <c r="E17" s="320"/>
      <c r="F17" s="397">
        <f>IFERROR(VLOOKUP($C17,'Proposed Rates'!$B:$J,F$11,FALSE),0)</f>
        <v>0</v>
      </c>
      <c r="G17" s="398">
        <f t="shared" si="1"/>
        <v>100</v>
      </c>
      <c r="H17" s="399">
        <f t="shared" si="2"/>
        <v>0</v>
      </c>
      <c r="I17" s="52"/>
      <c r="J17" s="397">
        <f>IFERROR(VLOOKUP($C17,'Proposed Rates'!$B:$J,J$11,FALSE),0)</f>
        <v>0</v>
      </c>
      <c r="K17" s="398">
        <f t="shared" si="3"/>
        <v>100</v>
      </c>
      <c r="L17" s="400">
        <f t="shared" si="4"/>
        <v>0</v>
      </c>
      <c r="M17" s="128"/>
      <c r="N17" s="401">
        <f t="shared" si="5"/>
        <v>0</v>
      </c>
      <c r="O17" s="402" t="str">
        <f t="shared" si="6"/>
        <v/>
      </c>
      <c r="P17" s="52"/>
      <c r="Q17" s="397">
        <f>IFERROR(VLOOKUP($C17,'Proposed Rates'!$B:$J,Q$11,FALSE),0)</f>
        <v>0</v>
      </c>
      <c r="R17" s="398">
        <f t="shared" si="7"/>
        <v>100</v>
      </c>
      <c r="S17" s="400">
        <f t="shared" si="8"/>
        <v>0</v>
      </c>
      <c r="T17" s="128"/>
      <c r="U17" s="401">
        <f t="shared" si="9"/>
        <v>0</v>
      </c>
      <c r="V17" s="402" t="str">
        <f t="shared" si="10"/>
        <v/>
      </c>
      <c r="W17" s="52"/>
      <c r="X17" s="397">
        <f>IFERROR(VLOOKUP($C17,'Proposed Rates'!$B:$J,X$11,FALSE),0)</f>
        <v>0</v>
      </c>
      <c r="Y17" s="398">
        <f t="shared" si="11"/>
        <v>100</v>
      </c>
      <c r="Z17" s="400">
        <f t="shared" si="12"/>
        <v>0</v>
      </c>
      <c r="AA17" s="128"/>
      <c r="AB17" s="401">
        <f t="shared" si="13"/>
        <v>0</v>
      </c>
      <c r="AC17" s="402" t="str">
        <f t="shared" si="14"/>
        <v/>
      </c>
      <c r="AD17" s="52"/>
      <c r="AE17" s="397">
        <f>IFERROR(VLOOKUP($C17,'Proposed Rates'!$B:$J,AE$11,FALSE),0)</f>
        <v>0</v>
      </c>
      <c r="AF17" s="398">
        <f t="shared" si="15"/>
        <v>100</v>
      </c>
      <c r="AG17" s="400">
        <f t="shared" si="16"/>
        <v>0</v>
      </c>
      <c r="AH17" s="128"/>
      <c r="AI17" s="401">
        <f t="shared" si="17"/>
        <v>0</v>
      </c>
      <c r="AJ17" s="402" t="str">
        <f t="shared" si="18"/>
        <v/>
      </c>
      <c r="AK17" s="403"/>
      <c r="AL17" s="397">
        <f>IFERROR(VLOOKUP($C17,'Proposed Rates'!$B:$J,AL$11,FALSE),0)</f>
        <v>0</v>
      </c>
      <c r="AM17" s="398">
        <f t="shared" si="19"/>
        <v>100</v>
      </c>
      <c r="AN17" s="400">
        <f t="shared" si="20"/>
        <v>0</v>
      </c>
      <c r="AO17" s="128"/>
      <c r="AP17" s="401">
        <f t="shared" si="21"/>
        <v>0</v>
      </c>
      <c r="AQ17" s="402" t="str">
        <f t="shared" si="22"/>
        <v/>
      </c>
    </row>
    <row r="18" spans="1:43" ht="12" customHeight="1">
      <c r="A18" s="52"/>
      <c r="B18" s="404" t="str">
        <f>'Proposed Rates'!C128</f>
        <v>Rate Rider Calculation for Generic</v>
      </c>
      <c r="C18" s="395" t="str">
        <f t="shared" si="0"/>
        <v>Residential.Rate Rider Calculation for Generic</v>
      </c>
      <c r="D18" s="396" t="s">
        <v>306</v>
      </c>
      <c r="E18" s="320"/>
      <c r="F18" s="397">
        <f>IFERROR(VLOOKUP($C18,'Proposed Rates'!$B:$J,F$11,FALSE),0)</f>
        <v>0</v>
      </c>
      <c r="G18" s="398">
        <f t="shared" si="1"/>
        <v>1</v>
      </c>
      <c r="H18" s="399">
        <f t="shared" si="2"/>
        <v>0</v>
      </c>
      <c r="I18" s="52"/>
      <c r="J18" s="397">
        <f>IFERROR(VLOOKUP($C18,'Proposed Rates'!$B:$J,J$11,FALSE),0)</f>
        <v>0</v>
      </c>
      <c r="K18" s="398">
        <f t="shared" si="3"/>
        <v>1</v>
      </c>
      <c r="L18" s="400">
        <f t="shared" si="4"/>
        <v>0</v>
      </c>
      <c r="M18" s="128"/>
      <c r="N18" s="401">
        <f t="shared" si="5"/>
        <v>0</v>
      </c>
      <c r="O18" s="402" t="str">
        <f t="shared" si="6"/>
        <v/>
      </c>
      <c r="P18" s="52"/>
      <c r="Q18" s="397">
        <f>IFERROR(VLOOKUP($C18,'Proposed Rates'!$B:$J,Q$11,FALSE),0)</f>
        <v>0</v>
      </c>
      <c r="R18" s="398">
        <f t="shared" si="7"/>
        <v>1</v>
      </c>
      <c r="S18" s="400">
        <f t="shared" si="8"/>
        <v>0</v>
      </c>
      <c r="T18" s="128"/>
      <c r="U18" s="401">
        <f t="shared" si="9"/>
        <v>0</v>
      </c>
      <c r="V18" s="402" t="str">
        <f t="shared" si="10"/>
        <v/>
      </c>
      <c r="W18" s="52"/>
      <c r="X18" s="397">
        <f>IFERROR(VLOOKUP($C18,'Proposed Rates'!$B:$J,X$11,FALSE),0)</f>
        <v>0</v>
      </c>
      <c r="Y18" s="398">
        <f t="shared" si="11"/>
        <v>1</v>
      </c>
      <c r="Z18" s="400">
        <f t="shared" si="12"/>
        <v>0</v>
      </c>
      <c r="AA18" s="128"/>
      <c r="AB18" s="401">
        <f t="shared" si="13"/>
        <v>0</v>
      </c>
      <c r="AC18" s="402" t="str">
        <f t="shared" si="14"/>
        <v/>
      </c>
      <c r="AD18" s="52"/>
      <c r="AE18" s="397">
        <f>IFERROR(VLOOKUP($C18,'Proposed Rates'!$B:$J,AE$11,FALSE),0)</f>
        <v>0</v>
      </c>
      <c r="AF18" s="398">
        <f t="shared" si="15"/>
        <v>1</v>
      </c>
      <c r="AG18" s="400">
        <f t="shared" si="16"/>
        <v>0</v>
      </c>
      <c r="AH18" s="128"/>
      <c r="AI18" s="401">
        <f t="shared" si="17"/>
        <v>0</v>
      </c>
      <c r="AJ18" s="402" t="str">
        <f t="shared" si="18"/>
        <v/>
      </c>
      <c r="AK18" s="403"/>
      <c r="AL18" s="397">
        <f>IFERROR(VLOOKUP($C18,'Proposed Rates'!$B:$J,AL$11,FALSE),0)</f>
        <v>0</v>
      </c>
      <c r="AM18" s="398">
        <f t="shared" si="19"/>
        <v>1</v>
      </c>
      <c r="AN18" s="400">
        <f t="shared" si="20"/>
        <v>0</v>
      </c>
      <c r="AO18" s="128"/>
      <c r="AP18" s="401">
        <f t="shared" si="21"/>
        <v>0</v>
      </c>
      <c r="AQ18" s="402" t="str">
        <f t="shared" si="22"/>
        <v/>
      </c>
    </row>
    <row r="19" spans="1:43" ht="12" customHeight="1">
      <c r="A19" s="52"/>
      <c r="B19" s="320" t="s">
        <v>59</v>
      </c>
      <c r="C19" s="395" t="str">
        <f t="shared" si="0"/>
        <v>Residential.Distribution Volumetric Rate</v>
      </c>
      <c r="D19" s="396" t="s">
        <v>308</v>
      </c>
      <c r="E19" s="320"/>
      <c r="F19" s="397">
        <f>IFERROR(VLOOKUP($C19,'Proposed Rates'!$B:$J,F$11,FALSE),0)</f>
        <v>0</v>
      </c>
      <c r="G19" s="398">
        <f t="shared" si="1"/>
        <v>100</v>
      </c>
      <c r="H19" s="399">
        <f t="shared" si="2"/>
        <v>0</v>
      </c>
      <c r="I19" s="52"/>
      <c r="J19" s="397">
        <f>IFERROR(VLOOKUP($C19,'Proposed Rates'!$B:$J,J$11,FALSE),0)</f>
        <v>0</v>
      </c>
      <c r="K19" s="398">
        <f t="shared" si="3"/>
        <v>100</v>
      </c>
      <c r="L19" s="400">
        <f t="shared" si="4"/>
        <v>0</v>
      </c>
      <c r="M19" s="128"/>
      <c r="N19" s="401">
        <f t="shared" si="5"/>
        <v>0</v>
      </c>
      <c r="O19" s="402" t="str">
        <f t="shared" si="6"/>
        <v/>
      </c>
      <c r="P19" s="52"/>
      <c r="Q19" s="397">
        <f>IFERROR(VLOOKUP($C19,'Proposed Rates'!$B:$J,Q$11,FALSE),0)</f>
        <v>0</v>
      </c>
      <c r="R19" s="398">
        <f t="shared" si="7"/>
        <v>100</v>
      </c>
      <c r="S19" s="400">
        <f t="shared" si="8"/>
        <v>0</v>
      </c>
      <c r="T19" s="128"/>
      <c r="U19" s="401">
        <f t="shared" si="9"/>
        <v>0</v>
      </c>
      <c r="V19" s="402" t="str">
        <f t="shared" si="10"/>
        <v/>
      </c>
      <c r="W19" s="52"/>
      <c r="X19" s="397">
        <f>IFERROR(VLOOKUP($C19,'Proposed Rates'!$B:$J,X$11,FALSE),0)</f>
        <v>0</v>
      </c>
      <c r="Y19" s="398">
        <f t="shared" si="11"/>
        <v>100</v>
      </c>
      <c r="Z19" s="400">
        <f t="shared" si="12"/>
        <v>0</v>
      </c>
      <c r="AA19" s="128"/>
      <c r="AB19" s="401">
        <f t="shared" si="13"/>
        <v>0</v>
      </c>
      <c r="AC19" s="402" t="str">
        <f t="shared" si="14"/>
        <v/>
      </c>
      <c r="AD19" s="52"/>
      <c r="AE19" s="397">
        <f>IFERROR(VLOOKUP($C19,'Proposed Rates'!$B:$J,AE$11,FALSE),0)</f>
        <v>0</v>
      </c>
      <c r="AF19" s="398">
        <f t="shared" si="15"/>
        <v>100</v>
      </c>
      <c r="AG19" s="400">
        <f t="shared" si="16"/>
        <v>0</v>
      </c>
      <c r="AH19" s="128"/>
      <c r="AI19" s="401">
        <f t="shared" si="17"/>
        <v>0</v>
      </c>
      <c r="AJ19" s="402" t="str">
        <f t="shared" si="18"/>
        <v/>
      </c>
      <c r="AK19" s="403"/>
      <c r="AL19" s="397">
        <f>IFERROR(VLOOKUP($C19,'Proposed Rates'!$B:$J,AL$11,FALSE),0)</f>
        <v>0</v>
      </c>
      <c r="AM19" s="398">
        <f t="shared" si="19"/>
        <v>100</v>
      </c>
      <c r="AN19" s="400">
        <f t="shared" si="20"/>
        <v>0</v>
      </c>
      <c r="AO19" s="128"/>
      <c r="AP19" s="401">
        <f t="shared" si="21"/>
        <v>0</v>
      </c>
      <c r="AQ19" s="402" t="str">
        <f t="shared" si="22"/>
        <v/>
      </c>
    </row>
    <row r="20" spans="1:43" ht="12" customHeight="1">
      <c r="A20" s="52"/>
      <c r="B20" s="320" t="s">
        <v>309</v>
      </c>
      <c r="C20" s="395" t="str">
        <f t="shared" si="0"/>
        <v>Residential.Smart Meter Disposition Rider</v>
      </c>
      <c r="D20" s="396" t="s">
        <v>308</v>
      </c>
      <c r="E20" s="320"/>
      <c r="F20" s="397">
        <f>IFERROR(VLOOKUP($C20,'Proposed Rates'!$B:$J,F$11,FALSE),0)</f>
        <v>0</v>
      </c>
      <c r="G20" s="398">
        <f t="shared" si="1"/>
        <v>100</v>
      </c>
      <c r="H20" s="399">
        <f t="shared" si="2"/>
        <v>0</v>
      </c>
      <c r="I20" s="52"/>
      <c r="J20" s="397">
        <f>IFERROR(VLOOKUP($C20,'Proposed Rates'!$B:$J,J$11,FALSE),0)</f>
        <v>0</v>
      </c>
      <c r="K20" s="398">
        <f t="shared" si="3"/>
        <v>100</v>
      </c>
      <c r="L20" s="400">
        <f t="shared" si="4"/>
        <v>0</v>
      </c>
      <c r="M20" s="128"/>
      <c r="N20" s="401">
        <f t="shared" si="5"/>
        <v>0</v>
      </c>
      <c r="O20" s="402" t="str">
        <f t="shared" si="6"/>
        <v/>
      </c>
      <c r="P20" s="52"/>
      <c r="Q20" s="397">
        <f>IFERROR(VLOOKUP($C20,'Proposed Rates'!$B:$J,Q$11,FALSE),0)</f>
        <v>0</v>
      </c>
      <c r="R20" s="398">
        <f t="shared" si="7"/>
        <v>100</v>
      </c>
      <c r="S20" s="400">
        <f t="shared" si="8"/>
        <v>0</v>
      </c>
      <c r="T20" s="128"/>
      <c r="U20" s="401">
        <f t="shared" si="9"/>
        <v>0</v>
      </c>
      <c r="V20" s="402" t="str">
        <f t="shared" si="10"/>
        <v/>
      </c>
      <c r="W20" s="52"/>
      <c r="X20" s="397">
        <f>IFERROR(VLOOKUP($C20,'Proposed Rates'!$B:$J,X$11,FALSE),0)</f>
        <v>0</v>
      </c>
      <c r="Y20" s="398">
        <f t="shared" si="11"/>
        <v>100</v>
      </c>
      <c r="Z20" s="400">
        <f t="shared" si="12"/>
        <v>0</v>
      </c>
      <c r="AA20" s="128"/>
      <c r="AB20" s="401">
        <f t="shared" si="13"/>
        <v>0</v>
      </c>
      <c r="AC20" s="402" t="str">
        <f t="shared" si="14"/>
        <v/>
      </c>
      <c r="AD20" s="52"/>
      <c r="AE20" s="397">
        <f>IFERROR(VLOOKUP($C20,'Proposed Rates'!$B:$J,AE$11,FALSE),0)</f>
        <v>0</v>
      </c>
      <c r="AF20" s="398">
        <f t="shared" si="15"/>
        <v>100</v>
      </c>
      <c r="AG20" s="400">
        <f t="shared" si="16"/>
        <v>0</v>
      </c>
      <c r="AH20" s="128"/>
      <c r="AI20" s="401">
        <f t="shared" si="17"/>
        <v>0</v>
      </c>
      <c r="AJ20" s="402" t="str">
        <f t="shared" si="18"/>
        <v/>
      </c>
      <c r="AK20" s="403"/>
      <c r="AL20" s="397">
        <f>IFERROR(VLOOKUP($C20,'Proposed Rates'!$B:$J,AL$11,FALSE),0)</f>
        <v>0</v>
      </c>
      <c r="AM20" s="398">
        <f t="shared" si="19"/>
        <v>100</v>
      </c>
      <c r="AN20" s="400">
        <f t="shared" si="20"/>
        <v>0</v>
      </c>
      <c r="AO20" s="128"/>
      <c r="AP20" s="401">
        <f t="shared" si="21"/>
        <v>0</v>
      </c>
      <c r="AQ20" s="402" t="str">
        <f t="shared" si="22"/>
        <v/>
      </c>
    </row>
    <row r="21" spans="1:43" ht="12" customHeight="1">
      <c r="A21" s="52"/>
      <c r="B21" s="320" t="s">
        <v>241</v>
      </c>
      <c r="C21" s="395" t="str">
        <f t="shared" si="0"/>
        <v>Residential.LRAM Rate Rider</v>
      </c>
      <c r="D21" s="396" t="s">
        <v>306</v>
      </c>
      <c r="E21" s="320"/>
      <c r="F21" s="397">
        <f>'Proposed Rates'!E77+'Proposed Rates'!E90</f>
        <v>0.25</v>
      </c>
      <c r="G21" s="398">
        <f t="shared" si="1"/>
        <v>1</v>
      </c>
      <c r="H21" s="399">
        <f t="shared" si="2"/>
        <v>0.25</v>
      </c>
      <c r="I21" s="52"/>
      <c r="J21" s="397">
        <f>'Proposed Rates'!F77+'Proposed Rates'!F90</f>
        <v>0</v>
      </c>
      <c r="K21" s="398">
        <f t="shared" si="3"/>
        <v>1</v>
      </c>
      <c r="L21" s="400">
        <f t="shared" si="4"/>
        <v>0</v>
      </c>
      <c r="M21" s="128"/>
      <c r="N21" s="401">
        <f t="shared" si="5"/>
        <v>-0.25</v>
      </c>
      <c r="O21" s="402">
        <f t="shared" si="6"/>
        <v>-1</v>
      </c>
      <c r="P21" s="52"/>
      <c r="Q21" s="397">
        <f>'Proposed Rates'!G77+'Proposed Rates'!G90</f>
        <v>0</v>
      </c>
      <c r="R21" s="398">
        <f t="shared" si="7"/>
        <v>1</v>
      </c>
      <c r="S21" s="400">
        <f t="shared" si="8"/>
        <v>0</v>
      </c>
      <c r="T21" s="128"/>
      <c r="U21" s="401">
        <f t="shared" si="9"/>
        <v>0</v>
      </c>
      <c r="V21" s="402" t="str">
        <f t="shared" si="10"/>
        <v/>
      </c>
      <c r="W21" s="52"/>
      <c r="X21" s="397">
        <f>IFERROR(VLOOKUP($C21,'Proposed Rates'!$B:$J,X$11,FALSE),0)</f>
        <v>0</v>
      </c>
      <c r="Y21" s="398">
        <f t="shared" si="11"/>
        <v>1</v>
      </c>
      <c r="Z21" s="400">
        <f t="shared" si="12"/>
        <v>0</v>
      </c>
      <c r="AA21" s="128"/>
      <c r="AB21" s="401">
        <f t="shared" si="13"/>
        <v>0</v>
      </c>
      <c r="AC21" s="402" t="str">
        <f t="shared" si="14"/>
        <v/>
      </c>
      <c r="AD21" s="52"/>
      <c r="AE21" s="397">
        <f>IFERROR(VLOOKUP($C21,'Proposed Rates'!$B:$J,AE$11,FALSE),0)</f>
        <v>0</v>
      </c>
      <c r="AF21" s="398">
        <f t="shared" si="15"/>
        <v>1</v>
      </c>
      <c r="AG21" s="400">
        <f t="shared" si="16"/>
        <v>0</v>
      </c>
      <c r="AH21" s="128"/>
      <c r="AI21" s="401">
        <f t="shared" si="17"/>
        <v>0</v>
      </c>
      <c r="AJ21" s="402" t="str">
        <f t="shared" si="18"/>
        <v/>
      </c>
      <c r="AK21" s="403"/>
      <c r="AL21" s="397">
        <f>IFERROR(VLOOKUP($C21,'Proposed Rates'!$B:$J,AL$11,FALSE),0)</f>
        <v>0</v>
      </c>
      <c r="AM21" s="398">
        <f t="shared" si="19"/>
        <v>1</v>
      </c>
      <c r="AN21" s="400">
        <f t="shared" si="20"/>
        <v>0</v>
      </c>
      <c r="AO21" s="128"/>
      <c r="AP21" s="401">
        <f t="shared" si="21"/>
        <v>0</v>
      </c>
      <c r="AQ21" s="402" t="str">
        <f t="shared" si="22"/>
        <v/>
      </c>
    </row>
    <row r="22" spans="1:43" ht="12" customHeight="1">
      <c r="A22" s="52"/>
      <c r="B22" s="404" t="s">
        <v>237</v>
      </c>
      <c r="C22" s="395" t="str">
        <f t="shared" si="0"/>
        <v>Residential.Deferral/Variance Account Disposition Rate Rider Group 2</v>
      </c>
      <c r="D22" s="396" t="s">
        <v>306</v>
      </c>
      <c r="E22" s="320"/>
      <c r="F22" s="397">
        <f>IFERROR(VLOOKUP($C22,'Proposed Rates'!$B:$J,F$11,FALSE),0)</f>
        <v>0</v>
      </c>
      <c r="G22" s="398">
        <f t="shared" si="1"/>
        <v>1</v>
      </c>
      <c r="H22" s="399">
        <f t="shared" si="2"/>
        <v>0</v>
      </c>
      <c r="I22" s="52"/>
      <c r="J22" s="397">
        <f>IFERROR(VLOOKUP($C22,'Proposed Rates'!$B:$J,J$11,FALSE),0)</f>
        <v>-0.54</v>
      </c>
      <c r="K22" s="398">
        <f t="shared" si="3"/>
        <v>1</v>
      </c>
      <c r="L22" s="400">
        <f t="shared" si="4"/>
        <v>-0.54</v>
      </c>
      <c r="M22" s="128"/>
      <c r="N22" s="401">
        <f t="shared" si="5"/>
        <v>-0.54</v>
      </c>
      <c r="O22" s="402" t="str">
        <f t="shared" si="6"/>
        <v/>
      </c>
      <c r="P22" s="52"/>
      <c r="Q22" s="397">
        <f>IFERROR(VLOOKUP($C22,'Proposed Rates'!$B:$J,Q$11,FALSE),0)</f>
        <v>0</v>
      </c>
      <c r="R22" s="398">
        <f t="shared" si="7"/>
        <v>1</v>
      </c>
      <c r="S22" s="400">
        <f t="shared" si="8"/>
        <v>0</v>
      </c>
      <c r="T22" s="128"/>
      <c r="U22" s="401">
        <f t="shared" si="9"/>
        <v>0.54</v>
      </c>
      <c r="V22" s="402">
        <f t="shared" si="10"/>
        <v>-1</v>
      </c>
      <c r="W22" s="52"/>
      <c r="X22" s="397">
        <f>IFERROR(VLOOKUP($C22,'Proposed Rates'!$B:$J,X$11,FALSE),0)</f>
        <v>0</v>
      </c>
      <c r="Y22" s="398">
        <f t="shared" si="11"/>
        <v>1</v>
      </c>
      <c r="Z22" s="400">
        <f t="shared" si="12"/>
        <v>0</v>
      </c>
      <c r="AA22" s="128"/>
      <c r="AB22" s="401">
        <f t="shared" si="13"/>
        <v>0</v>
      </c>
      <c r="AC22" s="402" t="str">
        <f t="shared" si="14"/>
        <v/>
      </c>
      <c r="AD22" s="52"/>
      <c r="AE22" s="397">
        <f>IFERROR(VLOOKUP($C22,'Proposed Rates'!$B:$J,AE$11,FALSE),0)</f>
        <v>0</v>
      </c>
      <c r="AF22" s="398">
        <f t="shared" si="15"/>
        <v>1</v>
      </c>
      <c r="AG22" s="400">
        <f t="shared" si="16"/>
        <v>0</v>
      </c>
      <c r="AH22" s="128"/>
      <c r="AI22" s="401">
        <f t="shared" si="17"/>
        <v>0</v>
      </c>
      <c r="AJ22" s="402" t="str">
        <f t="shared" si="18"/>
        <v/>
      </c>
      <c r="AK22" s="403"/>
      <c r="AL22" s="397">
        <f>IFERROR(VLOOKUP($C22,'Proposed Rates'!$B:$J,AL$11,FALSE),0)</f>
        <v>0</v>
      </c>
      <c r="AM22" s="398">
        <f t="shared" si="19"/>
        <v>1</v>
      </c>
      <c r="AN22" s="400">
        <f t="shared" si="20"/>
        <v>0</v>
      </c>
      <c r="AO22" s="128"/>
      <c r="AP22" s="401">
        <f t="shared" si="21"/>
        <v>0</v>
      </c>
      <c r="AQ22" s="402" t="str">
        <f t="shared" si="22"/>
        <v/>
      </c>
    </row>
    <row r="23" spans="1:43" ht="12" customHeight="1">
      <c r="A23" s="52"/>
      <c r="B23" s="404"/>
      <c r="C23" s="395" t="str">
        <f t="shared" si="0"/>
        <v>Residential.</v>
      </c>
      <c r="D23" s="396"/>
      <c r="E23" s="320"/>
      <c r="F23" s="397">
        <f>IFERROR(VLOOKUP($C23,'Proposed Rates'!$B:$J,F$11,FALSE),0)</f>
        <v>0</v>
      </c>
      <c r="G23" s="398">
        <f t="shared" si="1"/>
        <v>0</v>
      </c>
      <c r="H23" s="399">
        <f t="shared" si="2"/>
        <v>0</v>
      </c>
      <c r="I23" s="52"/>
      <c r="J23" s="397">
        <f>IFERROR(VLOOKUP($C23,'Proposed Rates'!$B:$J,J$11,FALSE),0)</f>
        <v>0</v>
      </c>
      <c r="K23" s="398">
        <f t="shared" si="3"/>
        <v>0</v>
      </c>
      <c r="L23" s="400">
        <f t="shared" si="4"/>
        <v>0</v>
      </c>
      <c r="M23" s="128"/>
      <c r="N23" s="401">
        <f t="shared" si="5"/>
        <v>0</v>
      </c>
      <c r="O23" s="402" t="str">
        <f t="shared" si="6"/>
        <v/>
      </c>
      <c r="P23" s="52"/>
      <c r="Q23" s="397">
        <f>IFERROR(VLOOKUP($C23,'Proposed Rates'!$B:$J,Q$11,FALSE),0)</f>
        <v>0</v>
      </c>
      <c r="R23" s="398">
        <f t="shared" si="7"/>
        <v>0</v>
      </c>
      <c r="S23" s="400">
        <f t="shared" si="8"/>
        <v>0</v>
      </c>
      <c r="T23" s="128"/>
      <c r="U23" s="401">
        <f t="shared" si="9"/>
        <v>0</v>
      </c>
      <c r="V23" s="402" t="str">
        <f t="shared" si="10"/>
        <v/>
      </c>
      <c r="W23" s="52"/>
      <c r="X23" s="397">
        <f>IFERROR(VLOOKUP($C23,'Proposed Rates'!$B:$J,X$11,FALSE),0)</f>
        <v>0</v>
      </c>
      <c r="Y23" s="398">
        <f t="shared" si="11"/>
        <v>0</v>
      </c>
      <c r="Z23" s="400">
        <f t="shared" si="12"/>
        <v>0</v>
      </c>
      <c r="AA23" s="128"/>
      <c r="AB23" s="401">
        <f t="shared" si="13"/>
        <v>0</v>
      </c>
      <c r="AC23" s="402" t="str">
        <f t="shared" si="14"/>
        <v/>
      </c>
      <c r="AD23" s="52"/>
      <c r="AE23" s="397">
        <f>IFERROR(VLOOKUP($C23,'Proposed Rates'!$B:$J,AE$11,FALSE),0)</f>
        <v>0</v>
      </c>
      <c r="AF23" s="398">
        <f t="shared" si="15"/>
        <v>0</v>
      </c>
      <c r="AG23" s="400">
        <f t="shared" si="16"/>
        <v>0</v>
      </c>
      <c r="AH23" s="128"/>
      <c r="AI23" s="401">
        <f t="shared" si="17"/>
        <v>0</v>
      </c>
      <c r="AJ23" s="402" t="str">
        <f t="shared" si="18"/>
        <v/>
      </c>
      <c r="AK23" s="403"/>
      <c r="AL23" s="397">
        <f>IFERROR(VLOOKUP($C23,'Proposed Rates'!$B:$J,AL$11,FALSE),0)</f>
        <v>0</v>
      </c>
      <c r="AM23" s="398">
        <f t="shared" si="19"/>
        <v>0</v>
      </c>
      <c r="AN23" s="400">
        <f t="shared" si="20"/>
        <v>0</v>
      </c>
      <c r="AO23" s="128"/>
      <c r="AP23" s="401">
        <f t="shared" si="21"/>
        <v>0</v>
      </c>
      <c r="AQ23" s="402" t="str">
        <f t="shared" si="22"/>
        <v/>
      </c>
    </row>
    <row r="24" spans="1:43" ht="12" customHeight="1">
      <c r="A24" s="52"/>
      <c r="B24" s="404"/>
      <c r="C24" s="395" t="str">
        <f t="shared" si="0"/>
        <v>Residential.</v>
      </c>
      <c r="D24" s="396"/>
      <c r="E24" s="320"/>
      <c r="F24" s="397">
        <f>IFERROR(VLOOKUP($C24,'Proposed Rates'!$B:$J,F$11,FALSE),0)</f>
        <v>0</v>
      </c>
      <c r="G24" s="398">
        <f t="shared" si="1"/>
        <v>0</v>
      </c>
      <c r="H24" s="399">
        <f t="shared" si="2"/>
        <v>0</v>
      </c>
      <c r="I24" s="52"/>
      <c r="J24" s="397">
        <f>IFERROR(VLOOKUP($C24,'Proposed Rates'!$B:$J,J$11,FALSE),0)</f>
        <v>0</v>
      </c>
      <c r="K24" s="398">
        <f t="shared" si="3"/>
        <v>0</v>
      </c>
      <c r="L24" s="400">
        <f t="shared" si="4"/>
        <v>0</v>
      </c>
      <c r="M24" s="128"/>
      <c r="N24" s="401">
        <f t="shared" si="5"/>
        <v>0</v>
      </c>
      <c r="O24" s="402" t="str">
        <f t="shared" si="6"/>
        <v/>
      </c>
      <c r="P24" s="52"/>
      <c r="Q24" s="397">
        <f>IFERROR(VLOOKUP($C24,'Proposed Rates'!$B:$J,Q$11,FALSE),0)</f>
        <v>0</v>
      </c>
      <c r="R24" s="398">
        <f t="shared" si="7"/>
        <v>0</v>
      </c>
      <c r="S24" s="400">
        <f t="shared" si="8"/>
        <v>0</v>
      </c>
      <c r="T24" s="128"/>
      <c r="U24" s="401">
        <f t="shared" si="9"/>
        <v>0</v>
      </c>
      <c r="V24" s="402" t="str">
        <f t="shared" si="10"/>
        <v/>
      </c>
      <c r="W24" s="52"/>
      <c r="X24" s="397">
        <f>IFERROR(VLOOKUP($C24,'Proposed Rates'!$B:$J,X$11,FALSE),0)</f>
        <v>0</v>
      </c>
      <c r="Y24" s="398">
        <f t="shared" si="11"/>
        <v>0</v>
      </c>
      <c r="Z24" s="400">
        <f t="shared" si="12"/>
        <v>0</v>
      </c>
      <c r="AA24" s="128"/>
      <c r="AB24" s="401">
        <f t="shared" si="13"/>
        <v>0</v>
      </c>
      <c r="AC24" s="402" t="str">
        <f t="shared" si="14"/>
        <v/>
      </c>
      <c r="AD24" s="52"/>
      <c r="AE24" s="397">
        <f>IFERROR(VLOOKUP($C24,'Proposed Rates'!$B:$J,AE$11,FALSE),0)</f>
        <v>0</v>
      </c>
      <c r="AF24" s="398">
        <f t="shared" si="15"/>
        <v>0</v>
      </c>
      <c r="AG24" s="400">
        <f t="shared" si="16"/>
        <v>0</v>
      </c>
      <c r="AH24" s="128"/>
      <c r="AI24" s="401">
        <f t="shared" si="17"/>
        <v>0</v>
      </c>
      <c r="AJ24" s="402" t="str">
        <f t="shared" si="18"/>
        <v/>
      </c>
      <c r="AK24" s="403"/>
      <c r="AL24" s="397">
        <f>IFERROR(VLOOKUP($C24,'Proposed Rates'!$B:$J,AL$11,FALSE),0)</f>
        <v>0</v>
      </c>
      <c r="AM24" s="398">
        <f t="shared" si="19"/>
        <v>0</v>
      </c>
      <c r="AN24" s="400">
        <f t="shared" si="20"/>
        <v>0</v>
      </c>
      <c r="AO24" s="128"/>
      <c r="AP24" s="401">
        <f t="shared" si="21"/>
        <v>0</v>
      </c>
      <c r="AQ24" s="402" t="str">
        <f t="shared" si="22"/>
        <v/>
      </c>
    </row>
    <row r="25" spans="1:43" ht="12" customHeight="1">
      <c r="A25" s="52"/>
      <c r="B25" s="404"/>
      <c r="C25" s="395" t="str">
        <f t="shared" si="0"/>
        <v>Residential.</v>
      </c>
      <c r="D25" s="396"/>
      <c r="E25" s="320"/>
      <c r="F25" s="397">
        <f>IFERROR(VLOOKUP($C25,'Proposed Rates'!$B:$J,F$11,FALSE),0)</f>
        <v>0</v>
      </c>
      <c r="G25" s="398">
        <f t="shared" si="1"/>
        <v>0</v>
      </c>
      <c r="H25" s="399">
        <f t="shared" si="2"/>
        <v>0</v>
      </c>
      <c r="I25" s="52"/>
      <c r="J25" s="397">
        <f>IFERROR(VLOOKUP($C25,'Proposed Rates'!$B:$J,J$11,FALSE),0)</f>
        <v>0</v>
      </c>
      <c r="K25" s="398">
        <f t="shared" si="3"/>
        <v>0</v>
      </c>
      <c r="L25" s="400">
        <f t="shared" si="4"/>
        <v>0</v>
      </c>
      <c r="M25" s="128"/>
      <c r="N25" s="401">
        <f t="shared" si="5"/>
        <v>0</v>
      </c>
      <c r="O25" s="402" t="str">
        <f t="shared" si="6"/>
        <v/>
      </c>
      <c r="P25" s="52"/>
      <c r="Q25" s="397">
        <f>IFERROR(VLOOKUP($C25,'Proposed Rates'!$B:$J,Q$11,FALSE),0)</f>
        <v>0</v>
      </c>
      <c r="R25" s="398">
        <f t="shared" si="7"/>
        <v>0</v>
      </c>
      <c r="S25" s="400">
        <f t="shared" si="8"/>
        <v>0</v>
      </c>
      <c r="T25" s="128"/>
      <c r="U25" s="401">
        <f t="shared" si="9"/>
        <v>0</v>
      </c>
      <c r="V25" s="402" t="str">
        <f t="shared" si="10"/>
        <v/>
      </c>
      <c r="W25" s="52"/>
      <c r="X25" s="397">
        <f>IFERROR(VLOOKUP($C25,'Proposed Rates'!$B:$J,X$11,FALSE),0)</f>
        <v>0</v>
      </c>
      <c r="Y25" s="398">
        <f t="shared" si="11"/>
        <v>0</v>
      </c>
      <c r="Z25" s="400">
        <f t="shared" si="12"/>
        <v>0</v>
      </c>
      <c r="AA25" s="128"/>
      <c r="AB25" s="401">
        <f t="shared" si="13"/>
        <v>0</v>
      </c>
      <c r="AC25" s="402" t="str">
        <f t="shared" si="14"/>
        <v/>
      </c>
      <c r="AD25" s="52"/>
      <c r="AE25" s="397">
        <f>IFERROR(VLOOKUP($C25,'Proposed Rates'!$B:$J,AE$11,FALSE),0)</f>
        <v>0</v>
      </c>
      <c r="AF25" s="398">
        <f t="shared" si="15"/>
        <v>0</v>
      </c>
      <c r="AG25" s="400">
        <f t="shared" si="16"/>
        <v>0</v>
      </c>
      <c r="AH25" s="128"/>
      <c r="AI25" s="401">
        <f t="shared" si="17"/>
        <v>0</v>
      </c>
      <c r="AJ25" s="402" t="str">
        <f t="shared" si="18"/>
        <v/>
      </c>
      <c r="AK25" s="403"/>
      <c r="AL25" s="397">
        <f>IFERROR(VLOOKUP($C25,'Proposed Rates'!$B:$J,AL$11,FALSE),0)</f>
        <v>0</v>
      </c>
      <c r="AM25" s="398">
        <f t="shared" si="19"/>
        <v>0</v>
      </c>
      <c r="AN25" s="400">
        <f t="shared" si="20"/>
        <v>0</v>
      </c>
      <c r="AO25" s="128"/>
      <c r="AP25" s="401">
        <f t="shared" si="21"/>
        <v>0</v>
      </c>
      <c r="AQ25" s="402" t="str">
        <f t="shared" si="22"/>
        <v/>
      </c>
    </row>
    <row r="26" spans="1:43" ht="12" customHeight="1">
      <c r="A26" s="52"/>
      <c r="B26" s="404"/>
      <c r="C26" s="395" t="str">
        <f t="shared" si="0"/>
        <v>Residential.</v>
      </c>
      <c r="D26" s="396"/>
      <c r="E26" s="320"/>
      <c r="F26" s="397">
        <f>IFERROR(VLOOKUP($C26,'Proposed Rates'!$B:$J,F$11,FALSE),0)</f>
        <v>0</v>
      </c>
      <c r="G26" s="398">
        <f t="shared" si="1"/>
        <v>0</v>
      </c>
      <c r="H26" s="399">
        <f t="shared" si="2"/>
        <v>0</v>
      </c>
      <c r="I26" s="52"/>
      <c r="J26" s="397">
        <f>IFERROR(VLOOKUP($C26,'Proposed Rates'!$B:$J,J$11,FALSE),0)</f>
        <v>0</v>
      </c>
      <c r="K26" s="398">
        <f t="shared" si="3"/>
        <v>0</v>
      </c>
      <c r="L26" s="400">
        <f t="shared" si="4"/>
        <v>0</v>
      </c>
      <c r="M26" s="128"/>
      <c r="N26" s="401">
        <f t="shared" si="5"/>
        <v>0</v>
      </c>
      <c r="O26" s="402" t="str">
        <f t="shared" si="6"/>
        <v/>
      </c>
      <c r="P26" s="52"/>
      <c r="Q26" s="397">
        <f>IFERROR(VLOOKUP($C26,'Proposed Rates'!$B:$J,Q$11,FALSE),0)</f>
        <v>0</v>
      </c>
      <c r="R26" s="398">
        <f t="shared" si="7"/>
        <v>0</v>
      </c>
      <c r="S26" s="400">
        <f t="shared" si="8"/>
        <v>0</v>
      </c>
      <c r="T26" s="128"/>
      <c r="U26" s="401">
        <f t="shared" si="9"/>
        <v>0</v>
      </c>
      <c r="V26" s="402" t="str">
        <f t="shared" si="10"/>
        <v/>
      </c>
      <c r="W26" s="52"/>
      <c r="X26" s="397">
        <f>IFERROR(VLOOKUP($C26,'Proposed Rates'!$B:$J,X$11,FALSE),0)</f>
        <v>0</v>
      </c>
      <c r="Y26" s="398">
        <f t="shared" si="11"/>
        <v>0</v>
      </c>
      <c r="Z26" s="400">
        <f t="shared" si="12"/>
        <v>0</v>
      </c>
      <c r="AA26" s="128"/>
      <c r="AB26" s="401">
        <f t="shared" si="13"/>
        <v>0</v>
      </c>
      <c r="AC26" s="402" t="str">
        <f t="shared" si="14"/>
        <v/>
      </c>
      <c r="AD26" s="52"/>
      <c r="AE26" s="397">
        <f>IFERROR(VLOOKUP($C26,'Proposed Rates'!$B:$J,AE$11,FALSE),0)</f>
        <v>0</v>
      </c>
      <c r="AF26" s="398">
        <f t="shared" si="15"/>
        <v>0</v>
      </c>
      <c r="AG26" s="400">
        <f t="shared" si="16"/>
        <v>0</v>
      </c>
      <c r="AH26" s="128"/>
      <c r="AI26" s="401">
        <f t="shared" si="17"/>
        <v>0</v>
      </c>
      <c r="AJ26" s="402" t="str">
        <f t="shared" si="18"/>
        <v/>
      </c>
      <c r="AK26" s="403"/>
      <c r="AL26" s="397">
        <f>IFERROR(VLOOKUP($C26,'Proposed Rates'!$B:$J,AL$11,FALSE),0)</f>
        <v>0</v>
      </c>
      <c r="AM26" s="398">
        <f t="shared" si="19"/>
        <v>0</v>
      </c>
      <c r="AN26" s="400">
        <f t="shared" si="20"/>
        <v>0</v>
      </c>
      <c r="AO26" s="128"/>
      <c r="AP26" s="401">
        <f t="shared" si="21"/>
        <v>0</v>
      </c>
      <c r="AQ26" s="402" t="str">
        <f t="shared" si="22"/>
        <v/>
      </c>
    </row>
    <row r="27" spans="1:43" ht="12" customHeight="1">
      <c r="A27" s="52"/>
      <c r="B27" s="404"/>
      <c r="C27" s="395" t="str">
        <f t="shared" si="0"/>
        <v>Residential.</v>
      </c>
      <c r="D27" s="396"/>
      <c r="E27" s="320"/>
      <c r="F27" s="397">
        <f>IFERROR(VLOOKUP($C27,'Proposed Rates'!$B:$J,F$11,FALSE),0)</f>
        <v>0</v>
      </c>
      <c r="G27" s="398">
        <f t="shared" si="1"/>
        <v>0</v>
      </c>
      <c r="H27" s="399">
        <f t="shared" si="2"/>
        <v>0</v>
      </c>
      <c r="I27" s="52"/>
      <c r="J27" s="397">
        <f>IFERROR(VLOOKUP($C27,'Proposed Rates'!$B:$J,J$11,FALSE),0)</f>
        <v>0</v>
      </c>
      <c r="K27" s="398">
        <f t="shared" si="3"/>
        <v>0</v>
      </c>
      <c r="L27" s="400">
        <f t="shared" si="4"/>
        <v>0</v>
      </c>
      <c r="M27" s="128"/>
      <c r="N27" s="401">
        <f t="shared" si="5"/>
        <v>0</v>
      </c>
      <c r="O27" s="402" t="str">
        <f t="shared" si="6"/>
        <v/>
      </c>
      <c r="P27" s="52"/>
      <c r="Q27" s="397">
        <f>IFERROR(VLOOKUP($C27,'Proposed Rates'!$B:$J,Q$11,FALSE),0)</f>
        <v>0</v>
      </c>
      <c r="R27" s="398">
        <f t="shared" si="7"/>
        <v>0</v>
      </c>
      <c r="S27" s="400">
        <f t="shared" si="8"/>
        <v>0</v>
      </c>
      <c r="T27" s="128"/>
      <c r="U27" s="401">
        <f t="shared" si="9"/>
        <v>0</v>
      </c>
      <c r="V27" s="402" t="str">
        <f t="shared" si="10"/>
        <v/>
      </c>
      <c r="W27" s="52"/>
      <c r="X27" s="397">
        <f>IFERROR(VLOOKUP($C27,'Proposed Rates'!$B:$J,X$11,FALSE),0)</f>
        <v>0</v>
      </c>
      <c r="Y27" s="398">
        <f t="shared" si="11"/>
        <v>0</v>
      </c>
      <c r="Z27" s="400">
        <f t="shared" si="12"/>
        <v>0</v>
      </c>
      <c r="AA27" s="128"/>
      <c r="AB27" s="401">
        <f t="shared" si="13"/>
        <v>0</v>
      </c>
      <c r="AC27" s="402" t="str">
        <f t="shared" si="14"/>
        <v/>
      </c>
      <c r="AD27" s="52"/>
      <c r="AE27" s="397">
        <f>IFERROR(VLOOKUP($C27,'Proposed Rates'!$B:$J,AE$11,FALSE),0)</f>
        <v>0</v>
      </c>
      <c r="AF27" s="398">
        <f t="shared" si="15"/>
        <v>0</v>
      </c>
      <c r="AG27" s="400">
        <f t="shared" si="16"/>
        <v>0</v>
      </c>
      <c r="AH27" s="128"/>
      <c r="AI27" s="401">
        <f t="shared" si="17"/>
        <v>0</v>
      </c>
      <c r="AJ27" s="402" t="str">
        <f t="shared" si="18"/>
        <v/>
      </c>
      <c r="AK27" s="403"/>
      <c r="AL27" s="397">
        <f>IFERROR(VLOOKUP($C27,'Proposed Rates'!$B:$J,AL$11,FALSE),0)</f>
        <v>0</v>
      </c>
      <c r="AM27" s="398">
        <f t="shared" si="19"/>
        <v>0</v>
      </c>
      <c r="AN27" s="400">
        <f t="shared" si="20"/>
        <v>0</v>
      </c>
      <c r="AO27" s="128"/>
      <c r="AP27" s="401">
        <f t="shared" si="21"/>
        <v>0</v>
      </c>
      <c r="AQ27" s="402" t="str">
        <f t="shared" si="22"/>
        <v/>
      </c>
    </row>
    <row r="28" spans="1:43" ht="12" customHeight="1">
      <c r="A28" s="52"/>
      <c r="B28" s="404"/>
      <c r="C28" s="395" t="str">
        <f t="shared" si="0"/>
        <v>Residential.</v>
      </c>
      <c r="D28" s="396"/>
      <c r="E28" s="320"/>
      <c r="F28" s="397">
        <f>IFERROR(VLOOKUP($C28,'Proposed Rates'!$B:$J,F$11,FALSE),0)</f>
        <v>0</v>
      </c>
      <c r="G28" s="398">
        <f t="shared" si="1"/>
        <v>0</v>
      </c>
      <c r="H28" s="399">
        <f t="shared" si="2"/>
        <v>0</v>
      </c>
      <c r="I28" s="52"/>
      <c r="J28" s="397">
        <f>IFERROR(VLOOKUP($C28,'Proposed Rates'!$B:$J,J$11,FALSE),0)</f>
        <v>0</v>
      </c>
      <c r="K28" s="398">
        <f t="shared" si="3"/>
        <v>0</v>
      </c>
      <c r="L28" s="400">
        <f t="shared" si="4"/>
        <v>0</v>
      </c>
      <c r="M28" s="128"/>
      <c r="N28" s="401">
        <f t="shared" si="5"/>
        <v>0</v>
      </c>
      <c r="O28" s="402" t="str">
        <f t="shared" si="6"/>
        <v/>
      </c>
      <c r="P28" s="52"/>
      <c r="Q28" s="397">
        <f>IFERROR(VLOOKUP($C28,'Proposed Rates'!$B:$J,Q$11,FALSE),0)</f>
        <v>0</v>
      </c>
      <c r="R28" s="398">
        <f t="shared" si="7"/>
        <v>0</v>
      </c>
      <c r="S28" s="400">
        <f t="shared" si="8"/>
        <v>0</v>
      </c>
      <c r="T28" s="128"/>
      <c r="U28" s="401">
        <f t="shared" si="9"/>
        <v>0</v>
      </c>
      <c r="V28" s="402" t="str">
        <f t="shared" si="10"/>
        <v/>
      </c>
      <c r="W28" s="52"/>
      <c r="X28" s="397">
        <f>IFERROR(VLOOKUP($C28,'Proposed Rates'!$B:$J,X$11,FALSE),0)</f>
        <v>0</v>
      </c>
      <c r="Y28" s="398">
        <f t="shared" si="11"/>
        <v>0</v>
      </c>
      <c r="Z28" s="400">
        <f t="shared" si="12"/>
        <v>0</v>
      </c>
      <c r="AA28" s="128"/>
      <c r="AB28" s="401">
        <f t="shared" si="13"/>
        <v>0</v>
      </c>
      <c r="AC28" s="402" t="str">
        <f t="shared" si="14"/>
        <v/>
      </c>
      <c r="AD28" s="52"/>
      <c r="AE28" s="397">
        <f>IFERROR(VLOOKUP($C28,'Proposed Rates'!$B:$J,AE$11,FALSE),0)</f>
        <v>0</v>
      </c>
      <c r="AF28" s="398">
        <f t="shared" si="15"/>
        <v>0</v>
      </c>
      <c r="AG28" s="400">
        <f t="shared" si="16"/>
        <v>0</v>
      </c>
      <c r="AH28" s="128"/>
      <c r="AI28" s="401">
        <f t="shared" si="17"/>
        <v>0</v>
      </c>
      <c r="AJ28" s="402" t="str">
        <f t="shared" si="18"/>
        <v/>
      </c>
      <c r="AK28" s="403"/>
      <c r="AL28" s="397">
        <f>IFERROR(VLOOKUP($C28,'Proposed Rates'!$B:$J,AL$11,FALSE),0)</f>
        <v>0</v>
      </c>
      <c r="AM28" s="398">
        <f t="shared" si="19"/>
        <v>0</v>
      </c>
      <c r="AN28" s="400">
        <f t="shared" si="20"/>
        <v>0</v>
      </c>
      <c r="AO28" s="128"/>
      <c r="AP28" s="401">
        <f t="shared" si="21"/>
        <v>0</v>
      </c>
      <c r="AQ28" s="402" t="str">
        <f t="shared" si="22"/>
        <v/>
      </c>
    </row>
    <row r="29" spans="1:43" ht="12" customHeight="1">
      <c r="A29" s="306"/>
      <c r="B29" s="405" t="s">
        <v>310</v>
      </c>
      <c r="C29" s="406"/>
      <c r="D29" s="406"/>
      <c r="E29" s="406"/>
      <c r="F29" s="407"/>
      <c r="G29" s="408"/>
      <c r="H29" s="409">
        <f>SUM(H15:H28)</f>
        <v>34.51</v>
      </c>
      <c r="I29" s="306"/>
      <c r="J29" s="407"/>
      <c r="K29" s="408"/>
      <c r="L29" s="409">
        <f>SUM(L15:L28)</f>
        <v>40.49</v>
      </c>
      <c r="M29" s="410"/>
      <c r="N29" s="411">
        <f t="shared" si="5"/>
        <v>5.980000000000004</v>
      </c>
      <c r="O29" s="412">
        <f t="shared" si="6"/>
        <v>0.17328310634598679</v>
      </c>
      <c r="P29" s="306"/>
      <c r="Q29" s="407"/>
      <c r="R29" s="408"/>
      <c r="S29" s="409">
        <f>SUM(S15:S28)</f>
        <v>44.13</v>
      </c>
      <c r="T29" s="410"/>
      <c r="U29" s="411">
        <f t="shared" si="9"/>
        <v>3.6400000000000006</v>
      </c>
      <c r="V29" s="412">
        <f t="shared" si="10"/>
        <v>8.9898740429735752E-2</v>
      </c>
      <c r="W29" s="306"/>
      <c r="X29" s="407"/>
      <c r="Y29" s="408"/>
      <c r="Z29" s="409">
        <f>SUM(Z15:Z28)</f>
        <v>48.07</v>
      </c>
      <c r="AA29" s="410"/>
      <c r="AB29" s="411">
        <f t="shared" si="13"/>
        <v>3.9399999999999977</v>
      </c>
      <c r="AC29" s="412">
        <f t="shared" si="14"/>
        <v>8.9281667799682704E-2</v>
      </c>
      <c r="AD29" s="306"/>
      <c r="AE29" s="407"/>
      <c r="AF29" s="408"/>
      <c r="AG29" s="409">
        <f>SUM(AG15:AG28)</f>
        <v>51.15</v>
      </c>
      <c r="AH29" s="410"/>
      <c r="AI29" s="411">
        <f t="shared" si="17"/>
        <v>3.0799999999999983</v>
      </c>
      <c r="AJ29" s="412">
        <f t="shared" si="18"/>
        <v>6.4073226544622386E-2</v>
      </c>
      <c r="AK29" s="413"/>
      <c r="AL29" s="407"/>
      <c r="AM29" s="408"/>
      <c r="AN29" s="409">
        <f>SUM(AN15:AN28)</f>
        <v>54.07</v>
      </c>
      <c r="AO29" s="410"/>
      <c r="AP29" s="411">
        <f t="shared" si="21"/>
        <v>2.9200000000000017</v>
      </c>
      <c r="AQ29" s="412">
        <f t="shared" si="22"/>
        <v>5.7086999022482932E-2</v>
      </c>
    </row>
    <row r="30" spans="1:43" ht="12" customHeight="1">
      <c r="A30" s="52"/>
      <c r="B30" s="404" t="s">
        <v>234</v>
      </c>
      <c r="C30" s="395" t="str">
        <f t="shared" ref="C30:C36" si="23">D$6&amp;"."&amp;B30</f>
        <v>Residential.DVA Disposition Rate Rider Group 1 -2025</v>
      </c>
      <c r="D30" s="396" t="s">
        <v>308</v>
      </c>
      <c r="E30" s="320"/>
      <c r="F30" s="414">
        <f>IFERROR(VLOOKUP($C30,'Proposed Rates'!$B:$J,F$11,FALSE),0)</f>
        <v>-2.0000000000000001E-4</v>
      </c>
      <c r="G30" s="415">
        <f t="shared" ref="G30:G33" si="24">IF($D30="Monthly",1,IF($D30="per KWH",$F$10,0))</f>
        <v>100</v>
      </c>
      <c r="H30" s="416">
        <f t="shared" ref="H30:H36" si="25">G30*F30</f>
        <v>-0.02</v>
      </c>
      <c r="I30" s="52"/>
      <c r="J30" s="414">
        <f>IFERROR(VLOOKUP($C30,'Proposed Rates'!$B:$J,J$11,FALSE),0)</f>
        <v>-5.9999999999999995E-4</v>
      </c>
      <c r="K30" s="415">
        <f t="shared" ref="K30:K33" si="26">IF($D30="Monthly",1,IF($D30="per KWH",$F$10,0))</f>
        <v>100</v>
      </c>
      <c r="L30" s="400">
        <f t="shared" ref="L30:L36" si="27">K30*J30</f>
        <v>-0.06</v>
      </c>
      <c r="M30" s="128"/>
      <c r="N30" s="401">
        <f t="shared" si="5"/>
        <v>-3.9999999999999994E-2</v>
      </c>
      <c r="O30" s="402">
        <f t="shared" si="6"/>
        <v>1.9999999999999996</v>
      </c>
      <c r="P30" s="52"/>
      <c r="Q30" s="414">
        <f>IFERROR(VLOOKUP($C30,'Proposed Rates'!$B:$J,Q$11,FALSE),0)</f>
        <v>0</v>
      </c>
      <c r="R30" s="415">
        <f t="shared" ref="R30:R33" si="28">IF($D30="Monthly",1,IF($D30="per KWH",$F$10,0))</f>
        <v>100</v>
      </c>
      <c r="S30" s="400">
        <f t="shared" ref="S30:S36" si="29">R30*Q30</f>
        <v>0</v>
      </c>
      <c r="T30" s="128"/>
      <c r="U30" s="401">
        <f t="shared" si="9"/>
        <v>0.06</v>
      </c>
      <c r="V30" s="402">
        <f t="shared" si="10"/>
        <v>-1</v>
      </c>
      <c r="W30" s="52"/>
      <c r="X30" s="414">
        <f>IFERROR(VLOOKUP($C30,'Proposed Rates'!$B:$J,X$11,FALSE),0)</f>
        <v>0</v>
      </c>
      <c r="Y30" s="415">
        <f t="shared" ref="Y30:Y33" si="30">IF($D30="Monthly",1,IF($D30="per KWH",$F$10,0))</f>
        <v>100</v>
      </c>
      <c r="Z30" s="400">
        <f t="shared" ref="Z30:Z36" si="31">Y30*X30</f>
        <v>0</v>
      </c>
      <c r="AA30" s="128"/>
      <c r="AB30" s="401">
        <f t="shared" si="13"/>
        <v>0</v>
      </c>
      <c r="AC30" s="402" t="str">
        <f t="shared" si="14"/>
        <v/>
      </c>
      <c r="AD30" s="52"/>
      <c r="AE30" s="414">
        <f>IFERROR(VLOOKUP($C30,'Proposed Rates'!$B:$J,AE$11,FALSE),0)</f>
        <v>0</v>
      </c>
      <c r="AF30" s="415">
        <f t="shared" ref="AF30:AF33" si="32">IF($D30="Monthly",1,IF($D30="per KWH",$F$10,0))</f>
        <v>100</v>
      </c>
      <c r="AG30" s="400">
        <f t="shared" ref="AG30:AG36" si="33">AF30*AE30</f>
        <v>0</v>
      </c>
      <c r="AH30" s="128"/>
      <c r="AI30" s="401">
        <f t="shared" si="17"/>
        <v>0</v>
      </c>
      <c r="AJ30" s="402" t="str">
        <f t="shared" si="18"/>
        <v/>
      </c>
      <c r="AK30" s="403"/>
      <c r="AL30" s="414">
        <f>IFERROR(VLOOKUP($C30,'Proposed Rates'!$B:$J,AL$11,FALSE),0)</f>
        <v>0</v>
      </c>
      <c r="AM30" s="415">
        <f t="shared" ref="AM30:AM33" si="34">IF($D30="Monthly",1,IF($D30="per KWH",$F$10,0))</f>
        <v>100</v>
      </c>
      <c r="AN30" s="400">
        <f t="shared" ref="AN30:AN36" si="35">AM30*AL30</f>
        <v>0</v>
      </c>
      <c r="AO30" s="128"/>
      <c r="AP30" s="401">
        <f t="shared" si="21"/>
        <v>0</v>
      </c>
      <c r="AQ30" s="402" t="str">
        <f t="shared" si="22"/>
        <v/>
      </c>
    </row>
    <row r="31" spans="1:43" ht="12" customHeight="1">
      <c r="A31" s="52"/>
      <c r="B31" s="404" t="s">
        <v>236</v>
      </c>
      <c r="C31" s="395" t="str">
        <f t="shared" si="23"/>
        <v>Residential.DVA Disposition Rate Rider Group 1 - 2024</v>
      </c>
      <c r="D31" s="396" t="s">
        <v>308</v>
      </c>
      <c r="E31" s="320"/>
      <c r="F31" s="414">
        <f>IFERROR(VLOOKUP($C31,'Proposed Rates'!$B:$J,F$11,FALSE),0)</f>
        <v>0</v>
      </c>
      <c r="G31" s="415">
        <f t="shared" si="24"/>
        <v>100</v>
      </c>
      <c r="H31" s="416">
        <f t="shared" si="25"/>
        <v>0</v>
      </c>
      <c r="I31" s="52"/>
      <c r="J31" s="414">
        <f>IFERROR(VLOOKUP($C31,'Proposed Rates'!$B:$J,J$11,FALSE),0)</f>
        <v>0</v>
      </c>
      <c r="K31" s="415">
        <f t="shared" si="26"/>
        <v>100</v>
      </c>
      <c r="L31" s="400">
        <f t="shared" si="27"/>
        <v>0</v>
      </c>
      <c r="M31" s="128"/>
      <c r="N31" s="401">
        <f t="shared" si="5"/>
        <v>0</v>
      </c>
      <c r="O31" s="402" t="str">
        <f t="shared" si="6"/>
        <v/>
      </c>
      <c r="P31" s="52"/>
      <c r="Q31" s="414">
        <f>IFERROR(VLOOKUP($C31,'Proposed Rates'!$B:$J,Q$11,FALSE),0)</f>
        <v>0</v>
      </c>
      <c r="R31" s="415">
        <f t="shared" si="28"/>
        <v>100</v>
      </c>
      <c r="S31" s="400">
        <f t="shared" si="29"/>
        <v>0</v>
      </c>
      <c r="T31" s="128"/>
      <c r="U31" s="401">
        <f t="shared" si="9"/>
        <v>0</v>
      </c>
      <c r="V31" s="402" t="str">
        <f t="shared" si="10"/>
        <v/>
      </c>
      <c r="W31" s="52"/>
      <c r="X31" s="414">
        <f>IFERROR(VLOOKUP($C31,'Proposed Rates'!$B:$J,X$11,FALSE),0)</f>
        <v>0</v>
      </c>
      <c r="Y31" s="415">
        <f t="shared" si="30"/>
        <v>100</v>
      </c>
      <c r="Z31" s="400">
        <f t="shared" si="31"/>
        <v>0</v>
      </c>
      <c r="AA31" s="128"/>
      <c r="AB31" s="401">
        <f t="shared" si="13"/>
        <v>0</v>
      </c>
      <c r="AC31" s="402" t="str">
        <f t="shared" si="14"/>
        <v/>
      </c>
      <c r="AD31" s="52"/>
      <c r="AE31" s="414">
        <f>IFERROR(VLOOKUP($C31,'Proposed Rates'!$B:$J,AE$11,FALSE),0)</f>
        <v>0</v>
      </c>
      <c r="AF31" s="415">
        <f t="shared" si="32"/>
        <v>100</v>
      </c>
      <c r="AG31" s="400">
        <f t="shared" si="33"/>
        <v>0</v>
      </c>
      <c r="AH31" s="128"/>
      <c r="AI31" s="401">
        <f t="shared" si="17"/>
        <v>0</v>
      </c>
      <c r="AJ31" s="402" t="str">
        <f t="shared" si="18"/>
        <v/>
      </c>
      <c r="AK31" s="403"/>
      <c r="AL31" s="414">
        <f>IFERROR(VLOOKUP($C31,'Proposed Rates'!$B:$J,AL$11,FALSE),0)</f>
        <v>0</v>
      </c>
      <c r="AM31" s="415">
        <f t="shared" si="34"/>
        <v>100</v>
      </c>
      <c r="AN31" s="400">
        <f t="shared" si="35"/>
        <v>0</v>
      </c>
      <c r="AO31" s="128"/>
      <c r="AP31" s="401">
        <f t="shared" si="21"/>
        <v>0</v>
      </c>
      <c r="AQ31" s="402" t="str">
        <f t="shared" si="22"/>
        <v/>
      </c>
    </row>
    <row r="32" spans="1:43" ht="12" customHeight="1">
      <c r="A32" s="52"/>
      <c r="B32" s="404" t="s">
        <v>244</v>
      </c>
      <c r="C32" s="395" t="str">
        <f t="shared" si="23"/>
        <v>Residential.CBR Class B Rate Riders</v>
      </c>
      <c r="D32" s="396" t="s">
        <v>308</v>
      </c>
      <c r="E32" s="320"/>
      <c r="F32" s="414">
        <f>IFERROR(VLOOKUP($C32,'Proposed Rates'!$B:$J,F$11,FALSE),0)</f>
        <v>2.0000000000000001E-4</v>
      </c>
      <c r="G32" s="415">
        <f t="shared" si="24"/>
        <v>100</v>
      </c>
      <c r="H32" s="400">
        <f t="shared" si="25"/>
        <v>0.02</v>
      </c>
      <c r="I32" s="52"/>
      <c r="J32" s="414">
        <f>IFERROR(VLOOKUP($C32,'Proposed Rates'!$B:$J,J$11,FALSE),0)</f>
        <v>4.0000000000000002E-4</v>
      </c>
      <c r="K32" s="415">
        <f t="shared" si="26"/>
        <v>100</v>
      </c>
      <c r="L32" s="400">
        <f t="shared" si="27"/>
        <v>0.04</v>
      </c>
      <c r="M32" s="417"/>
      <c r="N32" s="401">
        <f t="shared" si="5"/>
        <v>0.02</v>
      </c>
      <c r="O32" s="402">
        <f t="shared" si="6"/>
        <v>1</v>
      </c>
      <c r="P32" s="52"/>
      <c r="Q32" s="414">
        <f>IFERROR(VLOOKUP($C32,'Proposed Rates'!$B:$J,Q$11,FALSE),0)</f>
        <v>0</v>
      </c>
      <c r="R32" s="415">
        <f t="shared" si="28"/>
        <v>100</v>
      </c>
      <c r="S32" s="400">
        <f t="shared" si="29"/>
        <v>0</v>
      </c>
      <c r="T32" s="417"/>
      <c r="U32" s="401">
        <f t="shared" si="9"/>
        <v>-0.04</v>
      </c>
      <c r="V32" s="402">
        <f t="shared" si="10"/>
        <v>-1</v>
      </c>
      <c r="W32" s="52"/>
      <c r="X32" s="414">
        <f>IFERROR(VLOOKUP($C32,'Proposed Rates'!$B:$J,X$11,FALSE),0)</f>
        <v>0</v>
      </c>
      <c r="Y32" s="415">
        <f t="shared" si="30"/>
        <v>100</v>
      </c>
      <c r="Z32" s="400">
        <f t="shared" si="31"/>
        <v>0</v>
      </c>
      <c r="AA32" s="417"/>
      <c r="AB32" s="401">
        <f t="shared" si="13"/>
        <v>0</v>
      </c>
      <c r="AC32" s="402" t="str">
        <f t="shared" si="14"/>
        <v/>
      </c>
      <c r="AD32" s="52"/>
      <c r="AE32" s="414">
        <f>IFERROR(VLOOKUP($C32,'Proposed Rates'!$B:$J,AE$11,FALSE),0)</f>
        <v>0</v>
      </c>
      <c r="AF32" s="415">
        <f t="shared" si="32"/>
        <v>100</v>
      </c>
      <c r="AG32" s="400">
        <f t="shared" si="33"/>
        <v>0</v>
      </c>
      <c r="AH32" s="417"/>
      <c r="AI32" s="401">
        <f t="shared" si="17"/>
        <v>0</v>
      </c>
      <c r="AJ32" s="402" t="str">
        <f t="shared" si="18"/>
        <v/>
      </c>
      <c r="AK32" s="403"/>
      <c r="AL32" s="414">
        <f>IFERROR(VLOOKUP($C32,'Proposed Rates'!$B:$J,AL$11,FALSE),0)</f>
        <v>0</v>
      </c>
      <c r="AM32" s="415">
        <f t="shared" si="34"/>
        <v>100</v>
      </c>
      <c r="AN32" s="400">
        <f t="shared" si="35"/>
        <v>0</v>
      </c>
      <c r="AO32" s="417"/>
      <c r="AP32" s="401">
        <f t="shared" si="21"/>
        <v>0</v>
      </c>
      <c r="AQ32" s="402" t="str">
        <f t="shared" si="22"/>
        <v/>
      </c>
    </row>
    <row r="33" spans="1:43" ht="12" customHeight="1">
      <c r="A33" s="52"/>
      <c r="B33" s="404" t="s">
        <v>311</v>
      </c>
      <c r="C33" s="395" t="str">
        <f t="shared" si="23"/>
        <v>Residential.GA Disposition Rate Rider-NonRPP</v>
      </c>
      <c r="D33" s="396" t="s">
        <v>308</v>
      </c>
      <c r="E33" s="320"/>
      <c r="F33" s="414">
        <f>IFERROR(VLOOKUP($C33,'Proposed Rates'!$B:$J,F$11,FALSE),0)</f>
        <v>0</v>
      </c>
      <c r="G33" s="415">
        <f t="shared" si="24"/>
        <v>100</v>
      </c>
      <c r="H33" s="400">
        <f t="shared" si="25"/>
        <v>0</v>
      </c>
      <c r="I33" s="52"/>
      <c r="J33" s="414">
        <f>IFERROR(VLOOKUP($C33,'Proposed Rates'!$B:$J,J$11,FALSE),0)</f>
        <v>0</v>
      </c>
      <c r="K33" s="415">
        <f t="shared" si="26"/>
        <v>100</v>
      </c>
      <c r="L33" s="400">
        <f t="shared" si="27"/>
        <v>0</v>
      </c>
      <c r="M33" s="417"/>
      <c r="N33" s="401">
        <f t="shared" si="5"/>
        <v>0</v>
      </c>
      <c r="O33" s="402" t="str">
        <f t="shared" si="6"/>
        <v/>
      </c>
      <c r="P33" s="52"/>
      <c r="Q33" s="414">
        <f>IFERROR(VLOOKUP($C33,'Proposed Rates'!$B:$J,Q$11,FALSE),0)</f>
        <v>0</v>
      </c>
      <c r="R33" s="415">
        <f t="shared" si="28"/>
        <v>100</v>
      </c>
      <c r="S33" s="400">
        <f t="shared" si="29"/>
        <v>0</v>
      </c>
      <c r="T33" s="417"/>
      <c r="U33" s="401">
        <f t="shared" si="9"/>
        <v>0</v>
      </c>
      <c r="V33" s="402" t="str">
        <f t="shared" si="10"/>
        <v/>
      </c>
      <c r="W33" s="52"/>
      <c r="X33" s="414">
        <f>IFERROR(VLOOKUP($C33,'Proposed Rates'!$B:$J,X$11,FALSE),0)</f>
        <v>0</v>
      </c>
      <c r="Y33" s="415">
        <f t="shared" si="30"/>
        <v>100</v>
      </c>
      <c r="Z33" s="400">
        <f t="shared" si="31"/>
        <v>0</v>
      </c>
      <c r="AA33" s="417"/>
      <c r="AB33" s="401">
        <f t="shared" si="13"/>
        <v>0</v>
      </c>
      <c r="AC33" s="402" t="str">
        <f t="shared" si="14"/>
        <v/>
      </c>
      <c r="AD33" s="52"/>
      <c r="AE33" s="414">
        <f>IFERROR(VLOOKUP($C33,'Proposed Rates'!$B:$J,AE$11,FALSE),0)</f>
        <v>0</v>
      </c>
      <c r="AF33" s="415">
        <f t="shared" si="32"/>
        <v>100</v>
      </c>
      <c r="AG33" s="400">
        <f t="shared" si="33"/>
        <v>0</v>
      </c>
      <c r="AH33" s="417"/>
      <c r="AI33" s="401">
        <f t="shared" si="17"/>
        <v>0</v>
      </c>
      <c r="AJ33" s="402" t="str">
        <f t="shared" si="18"/>
        <v/>
      </c>
      <c r="AK33" s="403"/>
      <c r="AL33" s="414">
        <f>IFERROR(VLOOKUP($C33,'Proposed Rates'!$B:$J,AL$11,FALSE),0)</f>
        <v>0</v>
      </c>
      <c r="AM33" s="415">
        <f t="shared" si="34"/>
        <v>100</v>
      </c>
      <c r="AN33" s="400">
        <f t="shared" si="35"/>
        <v>0</v>
      </c>
      <c r="AO33" s="417"/>
      <c r="AP33" s="401">
        <f t="shared" si="21"/>
        <v>0</v>
      </c>
      <c r="AQ33" s="402" t="str">
        <f t="shared" si="22"/>
        <v/>
      </c>
    </row>
    <row r="34" spans="1:43" ht="12" customHeight="1">
      <c r="A34" s="52"/>
      <c r="B34" s="320" t="s">
        <v>269</v>
      </c>
      <c r="C34" s="395" t="str">
        <f t="shared" si="23"/>
        <v>Residential.Low Voltage Service Charge</v>
      </c>
      <c r="D34" s="396" t="s">
        <v>308</v>
      </c>
      <c r="E34" s="320"/>
      <c r="F34" s="418">
        <f>IFERROR(VLOOKUP($C34,'Proposed Rates'!$B:$J,F$11,FALSE),0)</f>
        <v>5.0000000000000002E-5</v>
      </c>
      <c r="G34" s="419">
        <f>$F$10*(1+F$63)</f>
        <v>103.38000000000001</v>
      </c>
      <c r="H34" s="400">
        <f t="shared" si="25"/>
        <v>5.1690000000000009E-3</v>
      </c>
      <c r="I34" s="52"/>
      <c r="J34" s="418">
        <f>IFERROR(VLOOKUP($C34,'Proposed Rates'!$B:$J,J$11,FALSE),0)</f>
        <v>6.9999999999999994E-5</v>
      </c>
      <c r="K34" s="419">
        <f>$F$10*(1+J$63)</f>
        <v>103.32</v>
      </c>
      <c r="L34" s="400">
        <f t="shared" si="27"/>
        <v>7.2323999999999991E-3</v>
      </c>
      <c r="M34" s="128"/>
      <c r="N34" s="401">
        <f t="shared" si="5"/>
        <v>2.0633999999999982E-3</v>
      </c>
      <c r="O34" s="402">
        <f t="shared" si="6"/>
        <v>0.39918746372605879</v>
      </c>
      <c r="P34" s="52"/>
      <c r="Q34" s="418">
        <f>IFERROR(VLOOKUP($C34,'Proposed Rates'!$B:$J,Q$11,FALSE),0)</f>
        <v>6.9999999999999994E-5</v>
      </c>
      <c r="R34" s="419">
        <f>$F$10*(1+Q$63)</f>
        <v>103.32</v>
      </c>
      <c r="S34" s="400">
        <f t="shared" si="29"/>
        <v>7.2323999999999991E-3</v>
      </c>
      <c r="T34" s="128"/>
      <c r="U34" s="401">
        <f t="shared" si="9"/>
        <v>0</v>
      </c>
      <c r="V34" s="402">
        <f t="shared" si="10"/>
        <v>0</v>
      </c>
      <c r="W34" s="52"/>
      <c r="X34" s="418">
        <f>IFERROR(VLOOKUP($C34,'Proposed Rates'!$B:$J,X$11,FALSE),0)</f>
        <v>8.0000000000000007E-5</v>
      </c>
      <c r="Y34" s="419">
        <f>$F$10*(1+X$63)</f>
        <v>103.32</v>
      </c>
      <c r="Z34" s="400">
        <f t="shared" si="31"/>
        <v>8.2655999999999997E-3</v>
      </c>
      <c r="AA34" s="128"/>
      <c r="AB34" s="401">
        <f t="shared" si="13"/>
        <v>1.0332000000000006E-3</v>
      </c>
      <c r="AC34" s="402">
        <f t="shared" si="14"/>
        <v>0.14285714285714296</v>
      </c>
      <c r="AD34" s="52"/>
      <c r="AE34" s="418">
        <f>IFERROR(VLOOKUP($C34,'Proposed Rates'!$B:$J,AE$11,FALSE),0)</f>
        <v>8.0000000000000007E-5</v>
      </c>
      <c r="AF34" s="419">
        <f>$F$10*(1+AE$63)</f>
        <v>103.32</v>
      </c>
      <c r="AG34" s="400">
        <f t="shared" si="33"/>
        <v>8.2655999999999997E-3</v>
      </c>
      <c r="AH34" s="128"/>
      <c r="AI34" s="401">
        <f t="shared" si="17"/>
        <v>0</v>
      </c>
      <c r="AJ34" s="402">
        <f t="shared" si="18"/>
        <v>0</v>
      </c>
      <c r="AK34" s="403"/>
      <c r="AL34" s="418">
        <f>IFERROR(VLOOKUP($C34,'Proposed Rates'!$B:$J,AL$11,FALSE),0)</f>
        <v>8.0000000000000007E-5</v>
      </c>
      <c r="AM34" s="419">
        <f>$F$10*(1+AL$63)</f>
        <v>103.32</v>
      </c>
      <c r="AN34" s="400">
        <f t="shared" si="35"/>
        <v>8.2655999999999997E-3</v>
      </c>
      <c r="AO34" s="128"/>
      <c r="AP34" s="401">
        <f t="shared" si="21"/>
        <v>0</v>
      </c>
      <c r="AQ34" s="402">
        <f t="shared" si="22"/>
        <v>0</v>
      </c>
    </row>
    <row r="35" spans="1:43" ht="12" customHeight="1">
      <c r="A35" s="52"/>
      <c r="B35" s="320" t="s">
        <v>312</v>
      </c>
      <c r="C35" s="395" t="str">
        <f t="shared" si="23"/>
        <v>Residential.Line Losses on Cost of Power</v>
      </c>
      <c r="D35" s="396" t="s">
        <v>308</v>
      </c>
      <c r="E35" s="320"/>
      <c r="F35" s="420">
        <f>'Proposed Rates'!$K$249*F$44+'Proposed Rates'!$K$250*F$45+'Proposed Rates'!$K$251*F$46</f>
        <v>0.12752000000000002</v>
      </c>
      <c r="G35" s="421">
        <f>$F$10*(1+F$63)-$F$10</f>
        <v>3.3800000000000097</v>
      </c>
      <c r="H35" s="400">
        <f t="shared" si="25"/>
        <v>0.43101760000000133</v>
      </c>
      <c r="I35" s="52"/>
      <c r="J35" s="420">
        <f>'Proposed Rates'!$K$249*J$44+'Proposed Rates'!$K$250*J$45+'Proposed Rates'!$K$251*J$46</f>
        <v>0.12752000000000002</v>
      </c>
      <c r="K35" s="421">
        <f>$F$10*(1+J$63)-$F$10</f>
        <v>3.3199999999999932</v>
      </c>
      <c r="L35" s="400">
        <f t="shared" si="27"/>
        <v>0.4233663999999992</v>
      </c>
      <c r="M35" s="128"/>
      <c r="N35" s="401">
        <f t="shared" si="5"/>
        <v>-7.6512000000021341E-3</v>
      </c>
      <c r="O35" s="402">
        <f t="shared" si="6"/>
        <v>-1.7751479289945724E-2</v>
      </c>
      <c r="P35" s="52"/>
      <c r="Q35" s="420">
        <f>'Proposed Rates'!$K$249*Q$44+'Proposed Rates'!$K$250*Q$45+'Proposed Rates'!$K$251*Q$46</f>
        <v>0.12752000000000002</v>
      </c>
      <c r="R35" s="421">
        <f>$F$10*(1+Q$63)-$F$10</f>
        <v>3.3199999999999932</v>
      </c>
      <c r="S35" s="400">
        <f t="shared" si="29"/>
        <v>0.4233663999999992</v>
      </c>
      <c r="T35" s="128"/>
      <c r="U35" s="401">
        <f t="shared" si="9"/>
        <v>0</v>
      </c>
      <c r="V35" s="402">
        <f t="shared" si="10"/>
        <v>0</v>
      </c>
      <c r="W35" s="52"/>
      <c r="X35" s="420">
        <f>'Proposed Rates'!$K$249*X$44+'Proposed Rates'!$K$250*X$45+'Proposed Rates'!$K$251*X$46</f>
        <v>0.12752000000000002</v>
      </c>
      <c r="Y35" s="421">
        <f>$F$10*(1+X$63)-$F$10</f>
        <v>3.3199999999999932</v>
      </c>
      <c r="Z35" s="400">
        <f t="shared" si="31"/>
        <v>0.4233663999999992</v>
      </c>
      <c r="AA35" s="128"/>
      <c r="AB35" s="401">
        <f t="shared" si="13"/>
        <v>0</v>
      </c>
      <c r="AC35" s="402">
        <f t="shared" si="14"/>
        <v>0</v>
      </c>
      <c r="AD35" s="52"/>
      <c r="AE35" s="420">
        <f>'Proposed Rates'!$K$249*AE$44+'Proposed Rates'!$K$250*AE$45+'Proposed Rates'!$K$251*AE$46</f>
        <v>0.12752000000000002</v>
      </c>
      <c r="AF35" s="421">
        <f>$F$10*(1+AE$63)-$F$10</f>
        <v>3.3199999999999932</v>
      </c>
      <c r="AG35" s="400">
        <f t="shared" si="33"/>
        <v>0.4233663999999992</v>
      </c>
      <c r="AH35" s="128"/>
      <c r="AI35" s="401">
        <f t="shared" si="17"/>
        <v>0</v>
      </c>
      <c r="AJ35" s="402">
        <f t="shared" si="18"/>
        <v>0</v>
      </c>
      <c r="AK35" s="403"/>
      <c r="AL35" s="420">
        <f>'Proposed Rates'!$K$249*AL$44+'Proposed Rates'!$K$250*AL$45+'Proposed Rates'!$K$251*AL$46</f>
        <v>0.12752000000000002</v>
      </c>
      <c r="AM35" s="421">
        <f>$F$10*(1+AL$63)-$F$10</f>
        <v>3.3199999999999932</v>
      </c>
      <c r="AN35" s="400">
        <f t="shared" si="35"/>
        <v>0.4233663999999992</v>
      </c>
      <c r="AO35" s="128"/>
      <c r="AP35" s="401">
        <f t="shared" si="21"/>
        <v>0</v>
      </c>
      <c r="AQ35" s="402">
        <f t="shared" si="22"/>
        <v>0</v>
      </c>
    </row>
    <row r="36" spans="1:43" ht="12" customHeight="1">
      <c r="A36" s="52"/>
      <c r="B36" s="320" t="s">
        <v>271</v>
      </c>
      <c r="C36" s="395" t="str">
        <f t="shared" si="23"/>
        <v>Residential.Smart Meter Entity Charge</v>
      </c>
      <c r="D36" s="396" t="s">
        <v>306</v>
      </c>
      <c r="E36" s="320"/>
      <c r="F36" s="397">
        <f>IFERROR(VLOOKUP($C36,'Proposed Rates'!$B:$J,F$11,FALSE),0)</f>
        <v>0.42</v>
      </c>
      <c r="G36" s="415">
        <f>IF($D36="Monthly",1,IF($D36="per KWH",$F$10,0))</f>
        <v>1</v>
      </c>
      <c r="H36" s="400">
        <f t="shared" si="25"/>
        <v>0.42</v>
      </c>
      <c r="I36" s="52"/>
      <c r="J36" s="397">
        <f>IFERROR(VLOOKUP($C36,'Proposed Rates'!$B:$J,J$11,FALSE),0)</f>
        <v>0.42</v>
      </c>
      <c r="K36" s="415">
        <f>IF($D36="Monthly",1,IF($D36="per KWH",$F$10,0))</f>
        <v>1</v>
      </c>
      <c r="L36" s="400">
        <f t="shared" si="27"/>
        <v>0.42</v>
      </c>
      <c r="M36" s="128"/>
      <c r="N36" s="401">
        <f t="shared" si="5"/>
        <v>0</v>
      </c>
      <c r="O36" s="402">
        <f t="shared" si="6"/>
        <v>0</v>
      </c>
      <c r="P36" s="52"/>
      <c r="Q36" s="397">
        <f>IFERROR(VLOOKUP($C36,'Proposed Rates'!$B:$J,Q$11,FALSE),0)</f>
        <v>0.42</v>
      </c>
      <c r="R36" s="415">
        <f>IF($D36="Monthly",1,IF($D36="per KWH",$F$10,0))</f>
        <v>1</v>
      </c>
      <c r="S36" s="400">
        <f t="shared" si="29"/>
        <v>0.42</v>
      </c>
      <c r="T36" s="128"/>
      <c r="U36" s="401">
        <f t="shared" si="9"/>
        <v>0</v>
      </c>
      <c r="V36" s="402">
        <f t="shared" si="10"/>
        <v>0</v>
      </c>
      <c r="W36" s="52"/>
      <c r="X36" s="397">
        <f>IFERROR(VLOOKUP($C36,'Proposed Rates'!$B:$J,X$11,FALSE),0)</f>
        <v>0.43</v>
      </c>
      <c r="Y36" s="415">
        <f>IF($D36="Monthly",1,IF($D36="per KWH",$F$10,0))</f>
        <v>1</v>
      </c>
      <c r="Z36" s="400">
        <f t="shared" si="31"/>
        <v>0.43</v>
      </c>
      <c r="AA36" s="128"/>
      <c r="AB36" s="401">
        <f t="shared" si="13"/>
        <v>1.0000000000000009E-2</v>
      </c>
      <c r="AC36" s="402">
        <f t="shared" si="14"/>
        <v>2.3809523809523832E-2</v>
      </c>
      <c r="AD36" s="52"/>
      <c r="AE36" s="397">
        <f>IFERROR(VLOOKUP($C36,'Proposed Rates'!$B:$J,AE$11,FALSE),0)</f>
        <v>0.44</v>
      </c>
      <c r="AF36" s="415">
        <f>IF($D36="Monthly",1,IF($D36="per KWH",$F$10,0))</f>
        <v>1</v>
      </c>
      <c r="AG36" s="400">
        <f t="shared" si="33"/>
        <v>0.44</v>
      </c>
      <c r="AH36" s="128"/>
      <c r="AI36" s="401">
        <f t="shared" si="17"/>
        <v>1.0000000000000009E-2</v>
      </c>
      <c r="AJ36" s="402">
        <f t="shared" si="18"/>
        <v>2.3255813953488393E-2</v>
      </c>
      <c r="AK36" s="403"/>
      <c r="AL36" s="397">
        <f>IFERROR(VLOOKUP($C36,'Proposed Rates'!$B:$J,AL$11,FALSE),0)</f>
        <v>0.45</v>
      </c>
      <c r="AM36" s="415">
        <f>IF($D36="Monthly",1,IF($D36="per KWH",$F$10,0))</f>
        <v>1</v>
      </c>
      <c r="AN36" s="400">
        <f t="shared" si="35"/>
        <v>0.45</v>
      </c>
      <c r="AO36" s="128"/>
      <c r="AP36" s="401">
        <f t="shared" si="21"/>
        <v>1.0000000000000009E-2</v>
      </c>
      <c r="AQ36" s="402">
        <f t="shared" si="22"/>
        <v>2.2727272727272749E-2</v>
      </c>
    </row>
    <row r="37" spans="1:43" ht="12" customHeight="1">
      <c r="A37" s="52"/>
      <c r="B37" s="405" t="s">
        <v>313</v>
      </c>
      <c r="C37" s="422"/>
      <c r="D37" s="422"/>
      <c r="E37" s="422"/>
      <c r="F37" s="423"/>
      <c r="G37" s="424"/>
      <c r="H37" s="409">
        <f>SUM(H30:H36)+H29</f>
        <v>35.366186599999999</v>
      </c>
      <c r="I37" s="52"/>
      <c r="J37" s="423"/>
      <c r="K37" s="424"/>
      <c r="L37" s="409">
        <f>SUM(L30:L36)+L29</f>
        <v>41.320598799999999</v>
      </c>
      <c r="M37" s="425"/>
      <c r="N37" s="411">
        <f t="shared" si="5"/>
        <v>5.9544122000000002</v>
      </c>
      <c r="O37" s="412">
        <f t="shared" si="6"/>
        <v>0.16836455305022907</v>
      </c>
      <c r="P37" s="52"/>
      <c r="Q37" s="423"/>
      <c r="R37" s="424"/>
      <c r="S37" s="409">
        <f>SUM(S30:S36)+S29</f>
        <v>44.980598800000003</v>
      </c>
      <c r="T37" s="425"/>
      <c r="U37" s="411">
        <f t="shared" si="9"/>
        <v>3.6600000000000037</v>
      </c>
      <c r="V37" s="412">
        <f t="shared" si="10"/>
        <v>8.8575676691306893E-2</v>
      </c>
      <c r="W37" s="52"/>
      <c r="X37" s="423"/>
      <c r="Y37" s="424"/>
      <c r="Z37" s="409">
        <f>SUM(Z30:Z36)+Z29</f>
        <v>48.931632</v>
      </c>
      <c r="AA37" s="425"/>
      <c r="AB37" s="411">
        <f t="shared" si="13"/>
        <v>3.9510331999999977</v>
      </c>
      <c r="AC37" s="412">
        <f t="shared" si="14"/>
        <v>8.7838608320171971E-2</v>
      </c>
      <c r="AD37" s="52"/>
      <c r="AE37" s="423"/>
      <c r="AF37" s="424"/>
      <c r="AG37" s="409">
        <f>SUM(AG30:AG36)+AG29</f>
        <v>52.021631999999997</v>
      </c>
      <c r="AH37" s="425"/>
      <c r="AI37" s="411">
        <f t="shared" si="17"/>
        <v>3.0899999999999963</v>
      </c>
      <c r="AJ37" s="412">
        <f t="shared" si="18"/>
        <v>6.3149334565419685E-2</v>
      </c>
      <c r="AK37" s="413"/>
      <c r="AL37" s="423"/>
      <c r="AM37" s="424"/>
      <c r="AN37" s="409">
        <f>SUM(AN30:AN36)+AN29</f>
        <v>54.951631999999996</v>
      </c>
      <c r="AO37" s="425"/>
      <c r="AP37" s="411">
        <f t="shared" si="21"/>
        <v>2.9299999999999997</v>
      </c>
      <c r="AQ37" s="412">
        <f t="shared" si="22"/>
        <v>5.6322723593139098E-2</v>
      </c>
    </row>
    <row r="38" spans="1:43" ht="12" customHeight="1">
      <c r="A38" s="52"/>
      <c r="B38" s="128" t="s">
        <v>255</v>
      </c>
      <c r="C38" s="395" t="str">
        <f t="shared" ref="C38:C39" si="36">D$6&amp;"."&amp;B38</f>
        <v>Residential.RTSR - Network</v>
      </c>
      <c r="D38" s="426" t="s">
        <v>308</v>
      </c>
      <c r="E38" s="128"/>
      <c r="F38" s="414">
        <f>IFERROR(VLOOKUP($C38,'Proposed Rates'!$B:$J,F$11,FALSE),0)</f>
        <v>1.26E-2</v>
      </c>
      <c r="G38" s="419">
        <f t="shared" ref="G38:G39" si="37">$F$10*(1+F$63)</f>
        <v>103.38000000000001</v>
      </c>
      <c r="H38" s="400">
        <f t="shared" ref="H38:H39" si="38">G38*F38</f>
        <v>1.3025880000000001</v>
      </c>
      <c r="I38" s="52"/>
      <c r="J38" s="414">
        <f>IFERROR(VLOOKUP($C38,'Proposed Rates'!$B:$J,J$11,FALSE),0)</f>
        <v>1.38E-2</v>
      </c>
      <c r="K38" s="419">
        <f t="shared" ref="K38:K39" si="39">$F$10*(1+J$63)</f>
        <v>103.32</v>
      </c>
      <c r="L38" s="400">
        <f t="shared" ref="L38:L39" si="40">K38*J38</f>
        <v>1.425816</v>
      </c>
      <c r="M38" s="128"/>
      <c r="N38" s="401">
        <f t="shared" si="5"/>
        <v>0.12322799999999989</v>
      </c>
      <c r="O38" s="402">
        <f t="shared" si="6"/>
        <v>9.4602437608821741E-2</v>
      </c>
      <c r="P38" s="52"/>
      <c r="Q38" s="414">
        <f>IFERROR(VLOOKUP($C38,'Proposed Rates'!$B:$J,Q$11,FALSE),0)</f>
        <v>1.38E-2</v>
      </c>
      <c r="R38" s="419">
        <f t="shared" ref="R38:R39" si="41">$F$10*(1+Q$63)</f>
        <v>103.32</v>
      </c>
      <c r="S38" s="400">
        <f t="shared" ref="S38:S39" si="42">R38*Q38</f>
        <v>1.425816</v>
      </c>
      <c r="T38" s="128"/>
      <c r="U38" s="401">
        <f t="shared" si="9"/>
        <v>0</v>
      </c>
      <c r="V38" s="402">
        <f t="shared" si="10"/>
        <v>0</v>
      </c>
      <c r="W38" s="52"/>
      <c r="X38" s="414">
        <f>IFERROR(VLOOKUP($C38,'Proposed Rates'!$B:$J,X$11,FALSE),0)</f>
        <v>1.38E-2</v>
      </c>
      <c r="Y38" s="419">
        <f t="shared" ref="Y38:Y39" si="43">$F$10*(1+X$63)</f>
        <v>103.32</v>
      </c>
      <c r="Z38" s="400">
        <f t="shared" ref="Z38:Z39" si="44">Y38*X38</f>
        <v>1.425816</v>
      </c>
      <c r="AA38" s="128"/>
      <c r="AB38" s="401">
        <f t="shared" si="13"/>
        <v>0</v>
      </c>
      <c r="AC38" s="402">
        <f t="shared" si="14"/>
        <v>0</v>
      </c>
      <c r="AD38" s="52"/>
      <c r="AE38" s="414">
        <f>IFERROR(VLOOKUP($C38,'Proposed Rates'!$B:$J,AE$11,FALSE),0)</f>
        <v>1.38E-2</v>
      </c>
      <c r="AF38" s="419">
        <f t="shared" ref="AF38:AF39" si="45">$F$10*(1+AE$63)</f>
        <v>103.32</v>
      </c>
      <c r="AG38" s="400">
        <f t="shared" ref="AG38:AG39" si="46">AF38*AE38</f>
        <v>1.425816</v>
      </c>
      <c r="AH38" s="128"/>
      <c r="AI38" s="401">
        <f t="shared" si="17"/>
        <v>0</v>
      </c>
      <c r="AJ38" s="402">
        <f t="shared" si="18"/>
        <v>0</v>
      </c>
      <c r="AK38" s="403"/>
      <c r="AL38" s="414">
        <f>IFERROR(VLOOKUP($C38,'Proposed Rates'!$B:$J,AL$11,FALSE),0)</f>
        <v>1.38E-2</v>
      </c>
      <c r="AM38" s="419">
        <f t="shared" ref="AM38:AM39" si="47">$F$10*(1+AL$63)</f>
        <v>103.32</v>
      </c>
      <c r="AN38" s="400">
        <f t="shared" ref="AN38:AN39" si="48">AM38*AL38</f>
        <v>1.425816</v>
      </c>
      <c r="AO38" s="128"/>
      <c r="AP38" s="401">
        <f t="shared" si="21"/>
        <v>0</v>
      </c>
      <c r="AQ38" s="402">
        <f t="shared" si="22"/>
        <v>0</v>
      </c>
    </row>
    <row r="39" spans="1:43" ht="12" customHeight="1">
      <c r="A39" s="52"/>
      <c r="B39" s="128" t="s">
        <v>256</v>
      </c>
      <c r="C39" s="395" t="str">
        <f t="shared" si="36"/>
        <v>Residential.RTSR - Line and Transformation Connection</v>
      </c>
      <c r="D39" s="426" t="s">
        <v>308</v>
      </c>
      <c r="E39" s="128"/>
      <c r="F39" s="414">
        <f>IFERROR(VLOOKUP($C39,'Proposed Rates'!$B:$J,F$11,FALSE),0)</f>
        <v>7.1999999999999998E-3</v>
      </c>
      <c r="G39" s="419">
        <f t="shared" si="37"/>
        <v>103.38000000000001</v>
      </c>
      <c r="H39" s="400">
        <f t="shared" si="38"/>
        <v>0.744336</v>
      </c>
      <c r="I39" s="52"/>
      <c r="J39" s="414">
        <f>IFERROR(VLOOKUP($C39,'Proposed Rates'!$B:$J,J$11,FALSE),0)</f>
        <v>7.7999999999999996E-3</v>
      </c>
      <c r="K39" s="419">
        <f t="shared" si="39"/>
        <v>103.32</v>
      </c>
      <c r="L39" s="400">
        <f t="shared" si="40"/>
        <v>0.80589599999999995</v>
      </c>
      <c r="M39" s="128"/>
      <c r="N39" s="401">
        <f t="shared" si="5"/>
        <v>6.1559999999999948E-2</v>
      </c>
      <c r="O39" s="402">
        <f t="shared" si="6"/>
        <v>8.2704585026117161E-2</v>
      </c>
      <c r="P39" s="52"/>
      <c r="Q39" s="414">
        <f>IFERROR(VLOOKUP($C39,'Proposed Rates'!$B:$J,Q$11,FALSE),0)</f>
        <v>7.7999999999999996E-3</v>
      </c>
      <c r="R39" s="419">
        <f t="shared" si="41"/>
        <v>103.32</v>
      </c>
      <c r="S39" s="400">
        <f t="shared" si="42"/>
        <v>0.80589599999999995</v>
      </c>
      <c r="T39" s="128"/>
      <c r="U39" s="401">
        <f t="shared" si="9"/>
        <v>0</v>
      </c>
      <c r="V39" s="402">
        <f t="shared" si="10"/>
        <v>0</v>
      </c>
      <c r="W39" s="52"/>
      <c r="X39" s="414">
        <f>IFERROR(VLOOKUP($C39,'Proposed Rates'!$B:$J,X$11,FALSE),0)</f>
        <v>7.7999999999999996E-3</v>
      </c>
      <c r="Y39" s="419">
        <f t="shared" si="43"/>
        <v>103.32</v>
      </c>
      <c r="Z39" s="400">
        <f t="shared" si="44"/>
        <v>0.80589599999999995</v>
      </c>
      <c r="AA39" s="128"/>
      <c r="AB39" s="401">
        <f t="shared" si="13"/>
        <v>0</v>
      </c>
      <c r="AC39" s="402">
        <f t="shared" si="14"/>
        <v>0</v>
      </c>
      <c r="AD39" s="52"/>
      <c r="AE39" s="414">
        <f>IFERROR(VLOOKUP($C39,'Proposed Rates'!$B:$J,AE$11,FALSE),0)</f>
        <v>7.7999999999999996E-3</v>
      </c>
      <c r="AF39" s="419">
        <f t="shared" si="45"/>
        <v>103.32</v>
      </c>
      <c r="AG39" s="400">
        <f t="shared" si="46"/>
        <v>0.80589599999999995</v>
      </c>
      <c r="AH39" s="128"/>
      <c r="AI39" s="401">
        <f t="shared" si="17"/>
        <v>0</v>
      </c>
      <c r="AJ39" s="402">
        <f t="shared" si="18"/>
        <v>0</v>
      </c>
      <c r="AK39" s="403"/>
      <c r="AL39" s="414">
        <f>IFERROR(VLOOKUP($C39,'Proposed Rates'!$B:$J,AL$11,FALSE),0)</f>
        <v>7.7999999999999996E-3</v>
      </c>
      <c r="AM39" s="419">
        <f t="shared" si="47"/>
        <v>103.32</v>
      </c>
      <c r="AN39" s="400">
        <f t="shared" si="48"/>
        <v>0.80589599999999995</v>
      </c>
      <c r="AO39" s="128"/>
      <c r="AP39" s="401">
        <f t="shared" si="21"/>
        <v>0</v>
      </c>
      <c r="AQ39" s="402">
        <f t="shared" si="22"/>
        <v>0</v>
      </c>
    </row>
    <row r="40" spans="1:43" ht="12" customHeight="1">
      <c r="A40" s="52"/>
      <c r="B40" s="405" t="s">
        <v>314</v>
      </c>
      <c r="C40" s="427"/>
      <c r="D40" s="427"/>
      <c r="E40" s="427"/>
      <c r="F40" s="428"/>
      <c r="G40" s="429"/>
      <c r="H40" s="409">
        <f>SUM(H37:H39)</f>
        <v>37.413110599999996</v>
      </c>
      <c r="I40" s="52"/>
      <c r="J40" s="428"/>
      <c r="K40" s="429"/>
      <c r="L40" s="409">
        <f>SUM(L37:L39)</f>
        <v>43.552310799999994</v>
      </c>
      <c r="M40" s="410"/>
      <c r="N40" s="411">
        <f t="shared" si="5"/>
        <v>6.1392001999999977</v>
      </c>
      <c r="O40" s="412">
        <f t="shared" si="6"/>
        <v>0.16409221531021262</v>
      </c>
      <c r="P40" s="52"/>
      <c r="Q40" s="428"/>
      <c r="R40" s="429"/>
      <c r="S40" s="409">
        <f>SUM(S37:S39)</f>
        <v>47.212310799999997</v>
      </c>
      <c r="T40" s="410"/>
      <c r="U40" s="411">
        <f t="shared" si="9"/>
        <v>3.6600000000000037</v>
      </c>
      <c r="V40" s="412">
        <f t="shared" si="10"/>
        <v>8.4036872734661053E-2</v>
      </c>
      <c r="W40" s="52"/>
      <c r="X40" s="428"/>
      <c r="Y40" s="429"/>
      <c r="Z40" s="409">
        <f>SUM(Z37:Z39)</f>
        <v>51.163343999999995</v>
      </c>
      <c r="AA40" s="410"/>
      <c r="AB40" s="411">
        <f t="shared" si="13"/>
        <v>3.9510331999999977</v>
      </c>
      <c r="AC40" s="412">
        <f t="shared" si="14"/>
        <v>8.3686503224493683E-2</v>
      </c>
      <c r="AD40" s="52"/>
      <c r="AE40" s="428"/>
      <c r="AF40" s="429"/>
      <c r="AG40" s="409">
        <f>SUM(AG37:AG39)</f>
        <v>54.253343999999991</v>
      </c>
      <c r="AH40" s="410"/>
      <c r="AI40" s="411">
        <f t="shared" si="17"/>
        <v>3.0899999999999963</v>
      </c>
      <c r="AJ40" s="412">
        <f t="shared" si="18"/>
        <v>6.0394801403129486E-2</v>
      </c>
      <c r="AK40" s="413"/>
      <c r="AL40" s="428"/>
      <c r="AM40" s="429"/>
      <c r="AN40" s="409">
        <f>SUM(AN37:AN39)</f>
        <v>57.183343999999991</v>
      </c>
      <c r="AO40" s="410"/>
      <c r="AP40" s="411">
        <f t="shared" si="21"/>
        <v>2.9299999999999997</v>
      </c>
      <c r="AQ40" s="412">
        <f t="shared" si="22"/>
        <v>5.4005887637082799E-2</v>
      </c>
    </row>
    <row r="41" spans="1:43" ht="12" customHeight="1">
      <c r="A41" s="52"/>
      <c r="B41" s="320" t="s">
        <v>257</v>
      </c>
      <c r="C41" s="395" t="str">
        <f t="shared" ref="C41:C48" si="49">D$6&amp;"."&amp;B41</f>
        <v>Residential.Wholesale Market Service Charge (WMSC)</v>
      </c>
      <c r="D41" s="396" t="s">
        <v>308</v>
      </c>
      <c r="E41" s="320"/>
      <c r="F41" s="414">
        <f>IFERROR(VLOOKUP($C41,'Proposed Rates'!$B:$J,F$11,FALSE),0)</f>
        <v>4.4999999999999997E-3</v>
      </c>
      <c r="G41" s="419">
        <f t="shared" ref="G41:G42" si="50">$F$10*(1+F$63)</f>
        <v>103.38000000000001</v>
      </c>
      <c r="H41" s="400">
        <f t="shared" ref="H41:H48" si="51">G41*F41</f>
        <v>0.46521000000000001</v>
      </c>
      <c r="I41" s="52"/>
      <c r="J41" s="414">
        <f>IFERROR(VLOOKUP($C41,'Proposed Rates'!$B:$J,J$11,FALSE),0)</f>
        <v>4.4999999999999997E-3</v>
      </c>
      <c r="K41" s="419">
        <f t="shared" ref="K41:K42" si="52">$F$10*(1+J$63)</f>
        <v>103.32</v>
      </c>
      <c r="L41" s="400">
        <f t="shared" ref="L41:L48" si="53">K41*J41</f>
        <v>0.46493999999999991</v>
      </c>
      <c r="M41" s="128"/>
      <c r="N41" s="401">
        <f t="shared" si="5"/>
        <v>-2.7000000000010349E-4</v>
      </c>
      <c r="O41" s="402">
        <f t="shared" si="6"/>
        <v>-5.8038305281508029E-4</v>
      </c>
      <c r="P41" s="52"/>
      <c r="Q41" s="414">
        <f>IFERROR(VLOOKUP($C41,'Proposed Rates'!$B:$J,Q$11,FALSE),0)</f>
        <v>4.4999999999999997E-3</v>
      </c>
      <c r="R41" s="419">
        <f t="shared" ref="R41:R42" si="54">$F$10*(1+Q$63)</f>
        <v>103.32</v>
      </c>
      <c r="S41" s="400">
        <f t="shared" ref="S41:S48" si="55">R41*Q41</f>
        <v>0.46493999999999991</v>
      </c>
      <c r="T41" s="128"/>
      <c r="U41" s="401">
        <f t="shared" si="9"/>
        <v>0</v>
      </c>
      <c r="V41" s="402">
        <f t="shared" si="10"/>
        <v>0</v>
      </c>
      <c r="W41" s="52"/>
      <c r="X41" s="414">
        <f>IFERROR(VLOOKUP($C41,'Proposed Rates'!$B:$J,X$11,FALSE),0)</f>
        <v>4.4999999999999997E-3</v>
      </c>
      <c r="Y41" s="419">
        <f t="shared" ref="Y41:Y42" si="56">$F$10*(1+X$63)</f>
        <v>103.32</v>
      </c>
      <c r="Z41" s="400">
        <f t="shared" ref="Z41:Z48" si="57">Y41*X41</f>
        <v>0.46493999999999991</v>
      </c>
      <c r="AA41" s="128"/>
      <c r="AB41" s="401">
        <f t="shared" si="13"/>
        <v>0</v>
      </c>
      <c r="AC41" s="402">
        <f t="shared" si="14"/>
        <v>0</v>
      </c>
      <c r="AD41" s="52"/>
      <c r="AE41" s="414">
        <f>IFERROR(VLOOKUP($C41,'Proposed Rates'!$B:$J,AE$11,FALSE),0)</f>
        <v>4.4999999999999997E-3</v>
      </c>
      <c r="AF41" s="419">
        <f t="shared" ref="AF41:AF42" si="58">$F$10*(1+AE$63)</f>
        <v>103.32</v>
      </c>
      <c r="AG41" s="400">
        <f t="shared" ref="AG41:AG48" si="59">AF41*AE41</f>
        <v>0.46493999999999991</v>
      </c>
      <c r="AH41" s="128"/>
      <c r="AI41" s="401">
        <f t="shared" si="17"/>
        <v>0</v>
      </c>
      <c r="AJ41" s="402">
        <f t="shared" si="18"/>
        <v>0</v>
      </c>
      <c r="AK41" s="403"/>
      <c r="AL41" s="414">
        <f>IFERROR(VLOOKUP($C41,'Proposed Rates'!$B:$J,AL$11,FALSE),0)</f>
        <v>4.4999999999999997E-3</v>
      </c>
      <c r="AM41" s="419">
        <f t="shared" ref="AM41:AM42" si="60">$F$10*(1+AL$63)</f>
        <v>103.32</v>
      </c>
      <c r="AN41" s="400">
        <f t="shared" ref="AN41:AN48" si="61">AM41*AL41</f>
        <v>0.46493999999999991</v>
      </c>
      <c r="AO41" s="128"/>
      <c r="AP41" s="401">
        <f t="shared" si="21"/>
        <v>0</v>
      </c>
      <c r="AQ41" s="402">
        <f t="shared" si="22"/>
        <v>0</v>
      </c>
    </row>
    <row r="42" spans="1:43" ht="12" customHeight="1">
      <c r="A42" s="52"/>
      <c r="B42" s="320" t="s">
        <v>258</v>
      </c>
      <c r="C42" s="395" t="str">
        <f t="shared" si="49"/>
        <v>Residential.Rural and Remote Rate Protection (RRRP)</v>
      </c>
      <c r="D42" s="396" t="s">
        <v>308</v>
      </c>
      <c r="E42" s="320"/>
      <c r="F42" s="414">
        <f>IFERROR(VLOOKUP($C42,'Proposed Rates'!$B:$J,F$11,FALSE),0)</f>
        <v>1.5E-3</v>
      </c>
      <c r="G42" s="419">
        <f t="shared" si="50"/>
        <v>103.38000000000001</v>
      </c>
      <c r="H42" s="400">
        <f t="shared" si="51"/>
        <v>0.15507000000000001</v>
      </c>
      <c r="I42" s="52"/>
      <c r="J42" s="414">
        <f>IFERROR(VLOOKUP($C42,'Proposed Rates'!$B:$J,J$11,FALSE),0)</f>
        <v>1.5E-3</v>
      </c>
      <c r="K42" s="419">
        <f t="shared" si="52"/>
        <v>103.32</v>
      </c>
      <c r="L42" s="400">
        <f t="shared" si="53"/>
        <v>0.15498000000000001</v>
      </c>
      <c r="M42" s="128"/>
      <c r="N42" s="401">
        <f t="shared" si="5"/>
        <v>-9.0000000000006741E-5</v>
      </c>
      <c r="O42" s="402">
        <f t="shared" si="6"/>
        <v>-5.8038305281490118E-4</v>
      </c>
      <c r="P42" s="52"/>
      <c r="Q42" s="414">
        <f>IFERROR(VLOOKUP($C42,'Proposed Rates'!$B:$J,Q$11,FALSE),0)</f>
        <v>1.5E-3</v>
      </c>
      <c r="R42" s="419">
        <f t="shared" si="54"/>
        <v>103.32</v>
      </c>
      <c r="S42" s="400">
        <f t="shared" si="55"/>
        <v>0.15498000000000001</v>
      </c>
      <c r="T42" s="128"/>
      <c r="U42" s="401">
        <f t="shared" si="9"/>
        <v>0</v>
      </c>
      <c r="V42" s="402">
        <f t="shared" si="10"/>
        <v>0</v>
      </c>
      <c r="W42" s="52"/>
      <c r="X42" s="414">
        <f>IFERROR(VLOOKUP($C42,'Proposed Rates'!$B:$J,X$11,FALSE),0)</f>
        <v>1.5E-3</v>
      </c>
      <c r="Y42" s="419">
        <f t="shared" si="56"/>
        <v>103.32</v>
      </c>
      <c r="Z42" s="400">
        <f t="shared" si="57"/>
        <v>0.15498000000000001</v>
      </c>
      <c r="AA42" s="128"/>
      <c r="AB42" s="401">
        <f t="shared" si="13"/>
        <v>0</v>
      </c>
      <c r="AC42" s="402">
        <f t="shared" si="14"/>
        <v>0</v>
      </c>
      <c r="AD42" s="52"/>
      <c r="AE42" s="414">
        <f>IFERROR(VLOOKUP($C42,'Proposed Rates'!$B:$J,AE$11,FALSE),0)</f>
        <v>1.5E-3</v>
      </c>
      <c r="AF42" s="419">
        <f t="shared" si="58"/>
        <v>103.32</v>
      </c>
      <c r="AG42" s="400">
        <f t="shared" si="59"/>
        <v>0.15498000000000001</v>
      </c>
      <c r="AH42" s="128"/>
      <c r="AI42" s="401">
        <f t="shared" si="17"/>
        <v>0</v>
      </c>
      <c r="AJ42" s="402">
        <f t="shared" si="18"/>
        <v>0</v>
      </c>
      <c r="AK42" s="403"/>
      <c r="AL42" s="414">
        <f>IFERROR(VLOOKUP($C42,'Proposed Rates'!$B:$J,AL$11,FALSE),0)</f>
        <v>1.5E-3</v>
      </c>
      <c r="AM42" s="419">
        <f t="shared" si="60"/>
        <v>103.32</v>
      </c>
      <c r="AN42" s="400">
        <f t="shared" si="61"/>
        <v>0.15498000000000001</v>
      </c>
      <c r="AO42" s="128"/>
      <c r="AP42" s="401">
        <f t="shared" si="21"/>
        <v>0</v>
      </c>
      <c r="AQ42" s="402">
        <f t="shared" si="22"/>
        <v>0</v>
      </c>
    </row>
    <row r="43" spans="1:43" ht="12" customHeight="1">
      <c r="A43" s="52"/>
      <c r="B43" s="320" t="s">
        <v>260</v>
      </c>
      <c r="C43" s="395" t="str">
        <f t="shared" si="49"/>
        <v>Residential.Standard Supply Service Charge</v>
      </c>
      <c r="D43" s="396" t="s">
        <v>306</v>
      </c>
      <c r="E43" s="320"/>
      <c r="F43" s="414">
        <f>IFERROR(VLOOKUP($C43,'Proposed Rates'!$B:$J,F$11,FALSE),0)</f>
        <v>0.25</v>
      </c>
      <c r="G43" s="415">
        <f>IF($D43="Monthly",1,IF($D43="per KWH",$F$10,0))</f>
        <v>1</v>
      </c>
      <c r="H43" s="400">
        <f t="shared" si="51"/>
        <v>0.25</v>
      </c>
      <c r="I43" s="52"/>
      <c r="J43" s="414">
        <f>IFERROR(VLOOKUP($C43,'Proposed Rates'!$B:$J,J$11,FALSE),0)</f>
        <v>1.51</v>
      </c>
      <c r="K43" s="415">
        <f>IF($D43="Monthly",1,IF($D43="per KWH",$F$10,0))</f>
        <v>1</v>
      </c>
      <c r="L43" s="400">
        <f t="shared" si="53"/>
        <v>1.51</v>
      </c>
      <c r="M43" s="128"/>
      <c r="N43" s="401">
        <f t="shared" si="5"/>
        <v>1.26</v>
      </c>
      <c r="O43" s="402">
        <f t="shared" si="6"/>
        <v>5.04</v>
      </c>
      <c r="P43" s="52"/>
      <c r="Q43" s="414">
        <f>IFERROR(VLOOKUP($C43,'Proposed Rates'!$B:$J,Q$11,FALSE),0)</f>
        <v>1.54</v>
      </c>
      <c r="R43" s="415">
        <f>IF($D43="Monthly",1,IF($D43="per KWH",$F$10,0))</f>
        <v>1</v>
      </c>
      <c r="S43" s="400">
        <f t="shared" si="55"/>
        <v>1.54</v>
      </c>
      <c r="T43" s="128"/>
      <c r="U43" s="401">
        <f t="shared" si="9"/>
        <v>3.0000000000000027E-2</v>
      </c>
      <c r="V43" s="402">
        <f t="shared" si="10"/>
        <v>1.986754966887419E-2</v>
      </c>
      <c r="W43" s="52"/>
      <c r="X43" s="414">
        <f>IFERROR(VLOOKUP($C43,'Proposed Rates'!$B:$J,X$11,FALSE),0)</f>
        <v>1.57</v>
      </c>
      <c r="Y43" s="415">
        <f>IF($D43="Monthly",1,IF($D43="per KWH",$F$10,0))</f>
        <v>1</v>
      </c>
      <c r="Z43" s="400">
        <f t="shared" si="57"/>
        <v>1.57</v>
      </c>
      <c r="AA43" s="128"/>
      <c r="AB43" s="401">
        <f t="shared" si="13"/>
        <v>3.0000000000000027E-2</v>
      </c>
      <c r="AC43" s="402">
        <f t="shared" si="14"/>
        <v>1.9480519480519497E-2</v>
      </c>
      <c r="AD43" s="52"/>
      <c r="AE43" s="414">
        <f>IFERROR(VLOOKUP($C43,'Proposed Rates'!$B:$J,AE$11,FALSE),0)</f>
        <v>1.6</v>
      </c>
      <c r="AF43" s="415">
        <f>IF($D43="Monthly",1,IF($D43="per KWH",$F$10,0))</f>
        <v>1</v>
      </c>
      <c r="AG43" s="400">
        <f t="shared" si="59"/>
        <v>1.6</v>
      </c>
      <c r="AH43" s="128"/>
      <c r="AI43" s="401">
        <f t="shared" si="17"/>
        <v>3.0000000000000027E-2</v>
      </c>
      <c r="AJ43" s="402">
        <f t="shared" si="18"/>
        <v>1.9108280254777087E-2</v>
      </c>
      <c r="AK43" s="403"/>
      <c r="AL43" s="414">
        <f>IFERROR(VLOOKUP($C43,'Proposed Rates'!$B:$J,AL$11,FALSE),0)</f>
        <v>1.63</v>
      </c>
      <c r="AM43" s="415">
        <f>IF($D43="Monthly",1,IF($D43="per KWH",$F$10,0))</f>
        <v>1</v>
      </c>
      <c r="AN43" s="400">
        <f t="shared" si="61"/>
        <v>1.63</v>
      </c>
      <c r="AO43" s="128"/>
      <c r="AP43" s="401">
        <f t="shared" si="21"/>
        <v>2.9999999999999805E-2</v>
      </c>
      <c r="AQ43" s="402">
        <f t="shared" si="22"/>
        <v>1.8749999999999878E-2</v>
      </c>
    </row>
    <row r="44" spans="1:43" ht="12" customHeight="1">
      <c r="A44" s="52"/>
      <c r="B44" s="320" t="s">
        <v>262</v>
      </c>
      <c r="C44" s="395" t="str">
        <f t="shared" si="49"/>
        <v>Residential.TOU - Off Peak</v>
      </c>
      <c r="D44" s="396" t="s">
        <v>308</v>
      </c>
      <c r="E44" s="320"/>
      <c r="F44" s="430">
        <f>VLOOKUP($B44,'Proposed Rates'!$D$248:$J$254,+F$11-2,FALSE)</f>
        <v>9.8000000000000004E-2</v>
      </c>
      <c r="G44" s="421">
        <f>$F$10*'Proposed Rates'!$K$249</f>
        <v>64</v>
      </c>
      <c r="H44" s="400">
        <f t="shared" si="51"/>
        <v>6.2720000000000002</v>
      </c>
      <c r="I44" s="52"/>
      <c r="J44" s="430">
        <f>VLOOKUP($B44,'Proposed Rates'!$D$248:$J$254,+J$11-2,FALSE)</f>
        <v>9.8000000000000004E-2</v>
      </c>
      <c r="K44" s="421">
        <f>$F$10*'Proposed Rates'!$K$249</f>
        <v>64</v>
      </c>
      <c r="L44" s="400">
        <f t="shared" si="53"/>
        <v>6.2720000000000002</v>
      </c>
      <c r="M44" s="128"/>
      <c r="N44" s="401">
        <f t="shared" si="5"/>
        <v>0</v>
      </c>
      <c r="O44" s="402">
        <f t="shared" si="6"/>
        <v>0</v>
      </c>
      <c r="P44" s="52"/>
      <c r="Q44" s="430">
        <f>VLOOKUP($B44,'Proposed Rates'!$D$248:$J$254,+Q$11-2,FALSE)</f>
        <v>9.8000000000000004E-2</v>
      </c>
      <c r="R44" s="421">
        <f>$F$10*'Proposed Rates'!$K$249</f>
        <v>64</v>
      </c>
      <c r="S44" s="400">
        <f t="shared" si="55"/>
        <v>6.2720000000000002</v>
      </c>
      <c r="T44" s="128"/>
      <c r="U44" s="401">
        <f t="shared" si="9"/>
        <v>0</v>
      </c>
      <c r="V44" s="402">
        <f t="shared" si="10"/>
        <v>0</v>
      </c>
      <c r="W44" s="52"/>
      <c r="X44" s="430">
        <f>VLOOKUP($B44,'Proposed Rates'!$D$248:$J$254,+X$11-2,FALSE)</f>
        <v>9.8000000000000004E-2</v>
      </c>
      <c r="Y44" s="421">
        <f>$F$10*'Proposed Rates'!$K$249</f>
        <v>64</v>
      </c>
      <c r="Z44" s="400">
        <f t="shared" si="57"/>
        <v>6.2720000000000002</v>
      </c>
      <c r="AA44" s="128"/>
      <c r="AB44" s="401">
        <f t="shared" si="13"/>
        <v>0</v>
      </c>
      <c r="AC44" s="402">
        <f t="shared" si="14"/>
        <v>0</v>
      </c>
      <c r="AD44" s="52"/>
      <c r="AE44" s="430">
        <f>VLOOKUP($B44,'Proposed Rates'!$D$248:$J$254,+AE$11-2,FALSE)</f>
        <v>9.8000000000000004E-2</v>
      </c>
      <c r="AF44" s="421">
        <f>$F$10*'Proposed Rates'!$K$249</f>
        <v>64</v>
      </c>
      <c r="AG44" s="400">
        <f t="shared" si="59"/>
        <v>6.2720000000000002</v>
      </c>
      <c r="AH44" s="128"/>
      <c r="AI44" s="401">
        <f t="shared" si="17"/>
        <v>0</v>
      </c>
      <c r="AJ44" s="402">
        <f t="shared" si="18"/>
        <v>0</v>
      </c>
      <c r="AK44" s="403"/>
      <c r="AL44" s="430">
        <f>VLOOKUP($B44,'Proposed Rates'!$D$248:$J$254,+AL$11-2,FALSE)</f>
        <v>9.8000000000000004E-2</v>
      </c>
      <c r="AM44" s="421">
        <f>$F$10*'Proposed Rates'!$K$249</f>
        <v>64</v>
      </c>
      <c r="AN44" s="400">
        <f t="shared" si="61"/>
        <v>6.2720000000000002</v>
      </c>
      <c r="AO44" s="128"/>
      <c r="AP44" s="401">
        <f t="shared" si="21"/>
        <v>0</v>
      </c>
      <c r="AQ44" s="402">
        <f t="shared" si="22"/>
        <v>0</v>
      </c>
    </row>
    <row r="45" spans="1:43" ht="12" customHeight="1">
      <c r="A45" s="52"/>
      <c r="B45" s="320" t="s">
        <v>263</v>
      </c>
      <c r="C45" s="395" t="str">
        <f t="shared" si="49"/>
        <v>Residential.TOU - Mid Peak</v>
      </c>
      <c r="D45" s="396" t="s">
        <v>308</v>
      </c>
      <c r="E45" s="320"/>
      <c r="F45" s="430">
        <f>VLOOKUP($B45,'Proposed Rates'!$D$248:$J$254,+F$11-2,FALSE)</f>
        <v>0.157</v>
      </c>
      <c r="G45" s="421">
        <f>$F$10*'Proposed Rates'!$K$250</f>
        <v>18</v>
      </c>
      <c r="H45" s="400">
        <f t="shared" si="51"/>
        <v>2.8260000000000001</v>
      </c>
      <c r="I45" s="52"/>
      <c r="J45" s="430">
        <f>VLOOKUP($B45,'Proposed Rates'!$D$248:$J$254,+J$11-2,FALSE)</f>
        <v>0.157</v>
      </c>
      <c r="K45" s="421">
        <f>$F$10*'Proposed Rates'!$K$250</f>
        <v>18</v>
      </c>
      <c r="L45" s="400">
        <f t="shared" si="53"/>
        <v>2.8260000000000001</v>
      </c>
      <c r="M45" s="128"/>
      <c r="N45" s="401">
        <f t="shared" si="5"/>
        <v>0</v>
      </c>
      <c r="O45" s="402">
        <f t="shared" si="6"/>
        <v>0</v>
      </c>
      <c r="P45" s="52"/>
      <c r="Q45" s="430">
        <f>VLOOKUP($B45,'Proposed Rates'!$D$248:$J$254,+Q$11-2,FALSE)</f>
        <v>0.157</v>
      </c>
      <c r="R45" s="421">
        <f>$F$10*'Proposed Rates'!$K$250</f>
        <v>18</v>
      </c>
      <c r="S45" s="400">
        <f t="shared" si="55"/>
        <v>2.8260000000000001</v>
      </c>
      <c r="T45" s="128"/>
      <c r="U45" s="401">
        <f t="shared" si="9"/>
        <v>0</v>
      </c>
      <c r="V45" s="402">
        <f t="shared" si="10"/>
        <v>0</v>
      </c>
      <c r="W45" s="52"/>
      <c r="X45" s="430">
        <f>VLOOKUP($B45,'Proposed Rates'!$D$248:$J$254,+X$11-2,FALSE)</f>
        <v>0.157</v>
      </c>
      <c r="Y45" s="421">
        <f>$F$10*'Proposed Rates'!$K$250</f>
        <v>18</v>
      </c>
      <c r="Z45" s="400">
        <f t="shared" si="57"/>
        <v>2.8260000000000001</v>
      </c>
      <c r="AA45" s="128"/>
      <c r="AB45" s="401">
        <f t="shared" si="13"/>
        <v>0</v>
      </c>
      <c r="AC45" s="402">
        <f t="shared" si="14"/>
        <v>0</v>
      </c>
      <c r="AD45" s="52"/>
      <c r="AE45" s="430">
        <f>VLOOKUP($B45,'Proposed Rates'!$D$248:$J$254,+AE$11-2,FALSE)</f>
        <v>0.157</v>
      </c>
      <c r="AF45" s="421">
        <f>$F$10*'Proposed Rates'!$K$250</f>
        <v>18</v>
      </c>
      <c r="AG45" s="400">
        <f t="shared" si="59"/>
        <v>2.8260000000000001</v>
      </c>
      <c r="AH45" s="128"/>
      <c r="AI45" s="401">
        <f t="shared" si="17"/>
        <v>0</v>
      </c>
      <c r="AJ45" s="402">
        <f t="shared" si="18"/>
        <v>0</v>
      </c>
      <c r="AK45" s="403"/>
      <c r="AL45" s="430">
        <f>VLOOKUP($B45,'Proposed Rates'!$D$248:$J$254,+AL$11-2,FALSE)</f>
        <v>0.157</v>
      </c>
      <c r="AM45" s="421">
        <f>$F$10*'Proposed Rates'!$K$250</f>
        <v>18</v>
      </c>
      <c r="AN45" s="400">
        <f t="shared" si="61"/>
        <v>2.8260000000000001</v>
      </c>
      <c r="AO45" s="128"/>
      <c r="AP45" s="401">
        <f t="shared" si="21"/>
        <v>0</v>
      </c>
      <c r="AQ45" s="402">
        <f t="shared" si="22"/>
        <v>0</v>
      </c>
    </row>
    <row r="46" spans="1:43" ht="12" customHeight="1">
      <c r="A46" s="52"/>
      <c r="B46" s="52" t="s">
        <v>264</v>
      </c>
      <c r="C46" s="395" t="str">
        <f t="shared" si="49"/>
        <v>Residential.TOU - On Peak</v>
      </c>
      <c r="D46" s="396" t="s">
        <v>308</v>
      </c>
      <c r="E46" s="320"/>
      <c r="F46" s="430">
        <f>VLOOKUP($B46,'Proposed Rates'!$D$248:$J$254,+F$11-2,FALSE)</f>
        <v>0.20300000000000001</v>
      </c>
      <c r="G46" s="421">
        <f>$F$10*'Proposed Rates'!$K$251</f>
        <v>18</v>
      </c>
      <c r="H46" s="400">
        <f t="shared" si="51"/>
        <v>3.6540000000000004</v>
      </c>
      <c r="I46" s="52"/>
      <c r="J46" s="430">
        <f>VLOOKUP($B46,'Proposed Rates'!$D$248:$J$254,+J$11-2,FALSE)</f>
        <v>0.20300000000000001</v>
      </c>
      <c r="K46" s="421">
        <f>$F$10*'Proposed Rates'!$K$251</f>
        <v>18</v>
      </c>
      <c r="L46" s="400">
        <f t="shared" si="53"/>
        <v>3.6540000000000004</v>
      </c>
      <c r="M46" s="128"/>
      <c r="N46" s="401">
        <f t="shared" si="5"/>
        <v>0</v>
      </c>
      <c r="O46" s="402">
        <f t="shared" si="6"/>
        <v>0</v>
      </c>
      <c r="P46" s="52"/>
      <c r="Q46" s="430">
        <f>VLOOKUP($B46,'Proposed Rates'!$D$248:$J$254,+Q$11-2,FALSE)</f>
        <v>0.20300000000000001</v>
      </c>
      <c r="R46" s="421">
        <f>$F$10*'Proposed Rates'!$K$251</f>
        <v>18</v>
      </c>
      <c r="S46" s="400">
        <f t="shared" si="55"/>
        <v>3.6540000000000004</v>
      </c>
      <c r="T46" s="128"/>
      <c r="U46" s="401">
        <f t="shared" si="9"/>
        <v>0</v>
      </c>
      <c r="V46" s="402">
        <f t="shared" si="10"/>
        <v>0</v>
      </c>
      <c r="W46" s="52"/>
      <c r="X46" s="430">
        <f>VLOOKUP($B46,'Proposed Rates'!$D$248:$J$254,+X$11-2,FALSE)</f>
        <v>0.20300000000000001</v>
      </c>
      <c r="Y46" s="421">
        <f>$F$10*'Proposed Rates'!$K$251</f>
        <v>18</v>
      </c>
      <c r="Z46" s="400">
        <f t="shared" si="57"/>
        <v>3.6540000000000004</v>
      </c>
      <c r="AA46" s="128"/>
      <c r="AB46" s="401">
        <f t="shared" si="13"/>
        <v>0</v>
      </c>
      <c r="AC46" s="402">
        <f t="shared" si="14"/>
        <v>0</v>
      </c>
      <c r="AD46" s="52"/>
      <c r="AE46" s="430">
        <f>VLOOKUP($B46,'Proposed Rates'!$D$248:$J$254,+AE$11-2,FALSE)</f>
        <v>0.20300000000000001</v>
      </c>
      <c r="AF46" s="421">
        <f>$F$10*'Proposed Rates'!$K$251</f>
        <v>18</v>
      </c>
      <c r="AG46" s="400">
        <f t="shared" si="59"/>
        <v>3.6540000000000004</v>
      </c>
      <c r="AH46" s="128"/>
      <c r="AI46" s="401">
        <f t="shared" si="17"/>
        <v>0</v>
      </c>
      <c r="AJ46" s="402">
        <f t="shared" si="18"/>
        <v>0</v>
      </c>
      <c r="AK46" s="403"/>
      <c r="AL46" s="430">
        <f>VLOOKUP($B46,'Proposed Rates'!$D$248:$J$254,+AL$11-2,FALSE)</f>
        <v>0.20300000000000001</v>
      </c>
      <c r="AM46" s="421">
        <f>$F$10*'Proposed Rates'!$K$251</f>
        <v>18</v>
      </c>
      <c r="AN46" s="400">
        <f t="shared" si="61"/>
        <v>3.6540000000000004</v>
      </c>
      <c r="AO46" s="128"/>
      <c r="AP46" s="401">
        <f t="shared" si="21"/>
        <v>0</v>
      </c>
      <c r="AQ46" s="402">
        <f t="shared" si="22"/>
        <v>0</v>
      </c>
    </row>
    <row r="47" spans="1:43" ht="12" customHeight="1">
      <c r="A47" s="52"/>
      <c r="B47" s="320" t="s">
        <v>265</v>
      </c>
      <c r="C47" s="395" t="str">
        <f t="shared" si="49"/>
        <v>Residential.Energy - RPP - Tier 1</v>
      </c>
      <c r="D47" s="396" t="s">
        <v>308</v>
      </c>
      <c r="E47" s="320"/>
      <c r="F47" s="430">
        <f>VLOOKUP($B47,'Proposed Rates'!$D$248:$J$254,+F$11-2,FALSE)</f>
        <v>0.12</v>
      </c>
      <c r="G47" s="431">
        <f>IF(AND($S$2=1, $F$10&gt;=600), 600, IF(AND($S$2=1, AND($F$10&lt;600, $F$10&gt;=0)), $F$10, IF(AND($S$2=2, $F$10&gt;=1000), 1000, IF(AND($S$2=2, AND($F$10&lt;1000, $F$10&gt;=0)), $F$10))))</f>
        <v>100</v>
      </c>
      <c r="H47" s="400">
        <f t="shared" si="51"/>
        <v>12</v>
      </c>
      <c r="I47" s="52"/>
      <c r="J47" s="432">
        <f>VLOOKUP($B47,'Proposed Rates'!$D$248:$J$254,+J$11-2,FALSE)</f>
        <v>0.12</v>
      </c>
      <c r="K47" s="431">
        <f>IF(AND($S$2=1, $F$10&gt;=600), 600, IF(AND($S$2=1, AND($F$10&lt;600, $F$10&gt;=0)), $F$10, IF(AND($S$2=2, $F$10&gt;=1000), 1000, IF(AND($S$2=2, AND($F$10&lt;1000, $F$10&gt;=0)), $F$10))))</f>
        <v>100</v>
      </c>
      <c r="L47" s="400">
        <f t="shared" si="53"/>
        <v>12</v>
      </c>
      <c r="M47" s="128"/>
      <c r="N47" s="401">
        <f t="shared" si="5"/>
        <v>0</v>
      </c>
      <c r="O47" s="402">
        <f t="shared" si="6"/>
        <v>0</v>
      </c>
      <c r="P47" s="52"/>
      <c r="Q47" s="430">
        <f>VLOOKUP($B47,'Proposed Rates'!$D$248:$J$254,+Q$11-2,FALSE)</f>
        <v>0.12</v>
      </c>
      <c r="R47" s="431">
        <f>IF(AND($S$2=1, $F$10&gt;=600), 600, IF(AND($S$2=1, AND($F$10&lt;600, $F$10&gt;=0)), $F$10, IF(AND($S$2=2, $F$10&gt;=1000), 1000, IF(AND($S$2=2, AND($F$10&lt;1000, $F$10&gt;=0)), $F$10))))</f>
        <v>100</v>
      </c>
      <c r="S47" s="400">
        <f t="shared" si="55"/>
        <v>12</v>
      </c>
      <c r="T47" s="128"/>
      <c r="U47" s="401">
        <f t="shared" si="9"/>
        <v>0</v>
      </c>
      <c r="V47" s="402">
        <f t="shared" si="10"/>
        <v>0</v>
      </c>
      <c r="W47" s="52"/>
      <c r="X47" s="430">
        <f>VLOOKUP($B47,'Proposed Rates'!$D$248:$J$254,+X$11-2,FALSE)</f>
        <v>0.12</v>
      </c>
      <c r="Y47" s="431">
        <f>IF(AND($S$2=1, $F$10&gt;=600), 600, IF(AND($S$2=1, AND($F$10&lt;600, $F$10&gt;=0)), $F$10, IF(AND($S$2=2, $F$10&gt;=1000), 1000, IF(AND($S$2=2, AND($F$10&lt;1000, $F$10&gt;=0)), $F$10))))</f>
        <v>100</v>
      </c>
      <c r="Z47" s="400">
        <f t="shared" si="57"/>
        <v>12</v>
      </c>
      <c r="AA47" s="128"/>
      <c r="AB47" s="401">
        <f t="shared" si="13"/>
        <v>0</v>
      </c>
      <c r="AC47" s="402">
        <f t="shared" si="14"/>
        <v>0</v>
      </c>
      <c r="AD47" s="52"/>
      <c r="AE47" s="430">
        <f>VLOOKUP($B47,'Proposed Rates'!$D$248:$J$254,+AE$11-2,FALSE)</f>
        <v>0.12</v>
      </c>
      <c r="AF47" s="431">
        <f>IF(AND($S$2=1, $F$10&gt;=600), 600, IF(AND($S$2=1, AND($F$10&lt;600, $F$10&gt;=0)), $F$10, IF(AND($S$2=2, $F$10&gt;=1000), 1000, IF(AND($S$2=2, AND($F$10&lt;1000, $F$10&gt;=0)), $F$10))))</f>
        <v>100</v>
      </c>
      <c r="AG47" s="400">
        <f t="shared" si="59"/>
        <v>12</v>
      </c>
      <c r="AH47" s="128"/>
      <c r="AI47" s="401">
        <f t="shared" si="17"/>
        <v>0</v>
      </c>
      <c r="AJ47" s="402">
        <f t="shared" si="18"/>
        <v>0</v>
      </c>
      <c r="AK47" s="403"/>
      <c r="AL47" s="430">
        <f>VLOOKUP($B47,'Proposed Rates'!$D$248:$J$254,+AL$11-2,FALSE)</f>
        <v>0.12</v>
      </c>
      <c r="AM47" s="431">
        <f>IF(AND($S$2=1, $F$10&gt;=600), 600, IF(AND($S$2=1, AND($F$10&lt;600, $F$10&gt;=0)), $F$10, IF(AND($S$2=2, $F$10&gt;=1000), 1000, IF(AND($S$2=2, AND($F$10&lt;1000, $F$10&gt;=0)), $F$10))))</f>
        <v>100</v>
      </c>
      <c r="AN47" s="400">
        <f t="shared" si="61"/>
        <v>12</v>
      </c>
      <c r="AO47" s="128"/>
      <c r="AP47" s="401">
        <f t="shared" si="21"/>
        <v>0</v>
      </c>
      <c r="AQ47" s="402">
        <f t="shared" si="22"/>
        <v>0</v>
      </c>
    </row>
    <row r="48" spans="1:43" ht="12" customHeight="1">
      <c r="A48" s="52"/>
      <c r="B48" s="320" t="s">
        <v>266</v>
      </c>
      <c r="C48" s="395" t="str">
        <f t="shared" si="49"/>
        <v>Residential.Energy - RPP - Tier 2</v>
      </c>
      <c r="D48" s="396" t="s">
        <v>308</v>
      </c>
      <c r="E48" s="320"/>
      <c r="F48" s="430">
        <f>VLOOKUP($B48,'Proposed Rates'!$D$248:$J$254,+F$11-2,FALSE)</f>
        <v>0.14199999999999999</v>
      </c>
      <c r="G48" s="433">
        <f>IF(AND($S$2=1, $F$10&gt;=600), $F$10-600, IF(AND($S$2=1, AND($F$10&lt;600, $F$10&gt;=0)), 0, IF(AND($S$2=2, $F$10&gt;=1000), $F$10-1000, IF(AND($S$2=2, AND($F$10&lt;1000, $F$10&gt;=0)), 0))))</f>
        <v>0</v>
      </c>
      <c r="H48" s="400">
        <f t="shared" si="51"/>
        <v>0</v>
      </c>
      <c r="I48" s="52"/>
      <c r="J48" s="432">
        <f>VLOOKUP($B48,'Proposed Rates'!$D$248:$J$254,+J$11-2,FALSE)</f>
        <v>0.14199999999999999</v>
      </c>
      <c r="K48" s="433">
        <f>IF(AND($S$2=1, $F$10&gt;=600), $F$10-600, IF(AND($S$2=1, AND($F$10&lt;600, $F$10&gt;=0)), 0, IF(AND($S$2=2, $F$10&gt;=1000), $F$10-1000, IF(AND($S$2=2, AND($F$10&lt;1000, $F$10&gt;=0)), 0))))</f>
        <v>0</v>
      </c>
      <c r="L48" s="400">
        <f t="shared" si="53"/>
        <v>0</v>
      </c>
      <c r="M48" s="128"/>
      <c r="N48" s="401">
        <f t="shared" si="5"/>
        <v>0</v>
      </c>
      <c r="O48" s="402" t="str">
        <f t="shared" si="6"/>
        <v/>
      </c>
      <c r="P48" s="52"/>
      <c r="Q48" s="430">
        <f>VLOOKUP($B48,'Proposed Rates'!$D$248:$J$254,+Q$11-2,FALSE)</f>
        <v>0.14199999999999999</v>
      </c>
      <c r="R48" s="433">
        <f>IF(AND($S$2=1, $F$10&gt;=600), $F$10-600, IF(AND($S$2=1, AND($F$10&lt;600, $F$10&gt;=0)), 0, IF(AND($S$2=2, $F$10&gt;=1000), $F$10-1000, IF(AND($S$2=2, AND($F$10&lt;1000, $F$10&gt;=0)), 0))))</f>
        <v>0</v>
      </c>
      <c r="S48" s="400">
        <f t="shared" si="55"/>
        <v>0</v>
      </c>
      <c r="T48" s="128"/>
      <c r="U48" s="401">
        <f t="shared" si="9"/>
        <v>0</v>
      </c>
      <c r="V48" s="402" t="str">
        <f t="shared" si="10"/>
        <v/>
      </c>
      <c r="W48" s="52"/>
      <c r="X48" s="430">
        <f>VLOOKUP($B48,'Proposed Rates'!$D$248:$J$254,+X$11-2,FALSE)</f>
        <v>0.14199999999999999</v>
      </c>
      <c r="Y48" s="433">
        <f>IF(AND($S$2=1, $F$10&gt;=600), $F$10-600, IF(AND($S$2=1, AND($F$10&lt;600, $F$10&gt;=0)), 0, IF(AND($S$2=2, $F$10&gt;=1000), $F$10-1000, IF(AND($S$2=2, AND($F$10&lt;1000, $F$10&gt;=0)), 0))))</f>
        <v>0</v>
      </c>
      <c r="Z48" s="400">
        <f t="shared" si="57"/>
        <v>0</v>
      </c>
      <c r="AA48" s="128"/>
      <c r="AB48" s="401">
        <f t="shared" si="13"/>
        <v>0</v>
      </c>
      <c r="AC48" s="402" t="str">
        <f t="shared" si="14"/>
        <v/>
      </c>
      <c r="AD48" s="52"/>
      <c r="AE48" s="430">
        <f>VLOOKUP($B48,'Proposed Rates'!$D$248:$J$254,+AE$11-2,FALSE)</f>
        <v>0.14199999999999999</v>
      </c>
      <c r="AF48" s="433">
        <f>IF(AND($S$2=1, $F$10&gt;=600), $F$10-600, IF(AND($S$2=1, AND($F$10&lt;600, $F$10&gt;=0)), 0, IF(AND($S$2=2, $F$10&gt;=1000), $F$10-1000, IF(AND($S$2=2, AND($F$10&lt;1000, $F$10&gt;=0)), 0))))</f>
        <v>0</v>
      </c>
      <c r="AG48" s="400">
        <f t="shared" si="59"/>
        <v>0</v>
      </c>
      <c r="AH48" s="128"/>
      <c r="AI48" s="401">
        <f t="shared" si="17"/>
        <v>0</v>
      </c>
      <c r="AJ48" s="402" t="str">
        <f t="shared" si="18"/>
        <v/>
      </c>
      <c r="AK48" s="403"/>
      <c r="AL48" s="430">
        <f>VLOOKUP($B48,'Proposed Rates'!$D$248:$J$254,+AL$11-2,FALSE)</f>
        <v>0.14199999999999999</v>
      </c>
      <c r="AM48" s="433">
        <f>IF(AND($S$2=1, $F$10&gt;=600), $F$10-600, IF(AND($S$2=1, AND($F$10&lt;600, $F$10&gt;=0)), 0, IF(AND($S$2=2, $F$10&gt;=1000), $F$10-1000, IF(AND($S$2=2, AND($F$10&lt;1000, $F$10&gt;=0)), 0))))</f>
        <v>0</v>
      </c>
      <c r="AN48" s="400">
        <f t="shared" si="61"/>
        <v>0</v>
      </c>
      <c r="AO48" s="128"/>
      <c r="AP48" s="401">
        <f t="shared" si="21"/>
        <v>0</v>
      </c>
      <c r="AQ48" s="402" t="str">
        <f t="shared" si="22"/>
        <v/>
      </c>
    </row>
    <row r="49" spans="1:43" ht="12" customHeight="1">
      <c r="A49" s="52"/>
      <c r="B49" s="434"/>
      <c r="C49" s="435"/>
      <c r="D49" s="435"/>
      <c r="E49" s="435"/>
      <c r="F49" s="436"/>
      <c r="G49" s="437"/>
      <c r="H49" s="438"/>
      <c r="I49" s="52"/>
      <c r="J49" s="436"/>
      <c r="K49" s="439"/>
      <c r="L49" s="438"/>
      <c r="M49" s="440"/>
      <c r="N49" s="441"/>
      <c r="O49" s="442"/>
      <c r="P49" s="52"/>
      <c r="Q49" s="436"/>
      <c r="R49" s="437"/>
      <c r="S49" s="438"/>
      <c r="T49" s="440"/>
      <c r="U49" s="441"/>
      <c r="V49" s="442"/>
      <c r="W49" s="52"/>
      <c r="X49" s="436"/>
      <c r="Y49" s="437"/>
      <c r="Z49" s="438"/>
      <c r="AA49" s="440"/>
      <c r="AB49" s="441"/>
      <c r="AC49" s="442"/>
      <c r="AD49" s="52"/>
      <c r="AE49" s="436"/>
      <c r="AF49" s="437"/>
      <c r="AG49" s="438"/>
      <c r="AH49" s="440"/>
      <c r="AI49" s="441"/>
      <c r="AJ49" s="442"/>
      <c r="AK49" s="443"/>
      <c r="AL49" s="436"/>
      <c r="AM49" s="437"/>
      <c r="AN49" s="438"/>
      <c r="AO49" s="440"/>
      <c r="AP49" s="441"/>
      <c r="AQ49" s="442"/>
    </row>
    <row r="50" spans="1:43" ht="12" customHeight="1">
      <c r="A50" s="52"/>
      <c r="B50" s="444" t="s">
        <v>315</v>
      </c>
      <c r="C50" s="320"/>
      <c r="D50" s="320"/>
      <c r="E50" s="320"/>
      <c r="F50" s="445"/>
      <c r="G50" s="446"/>
      <c r="H50" s="447">
        <f>SUM(H41:H46,H40)</f>
        <v>51.035390599999999</v>
      </c>
      <c r="I50" s="52"/>
      <c r="J50" s="446"/>
      <c r="K50" s="446"/>
      <c r="L50" s="448">
        <f>SUM(L41:L46,L40)</f>
        <v>58.434230799999995</v>
      </c>
      <c r="M50" s="449"/>
      <c r="N50" s="448">
        <f t="shared" ref="N50:N54" si="62">L50-H50</f>
        <v>7.3988401999999951</v>
      </c>
      <c r="O50" s="450">
        <f t="shared" ref="O50:O54" si="63">IF((H50)=0,"",(N50/H50))</f>
        <v>0.14497469526568088</v>
      </c>
      <c r="P50" s="52"/>
      <c r="Q50" s="446"/>
      <c r="R50" s="446"/>
      <c r="S50" s="448">
        <f>SUM(S41:S46,S40)</f>
        <v>62.124230799999999</v>
      </c>
      <c r="T50" s="449"/>
      <c r="U50" s="448">
        <f t="shared" ref="U50:U54" si="64">S50-L50</f>
        <v>3.6900000000000048</v>
      </c>
      <c r="V50" s="450">
        <f t="shared" ref="V50:V54" si="65">IF((L50)=0,"",(U50/L50))</f>
        <v>6.3147917744131671E-2</v>
      </c>
      <c r="W50" s="52"/>
      <c r="X50" s="446"/>
      <c r="Y50" s="446"/>
      <c r="Z50" s="448">
        <f>SUM(Z41:Z46,Z40)</f>
        <v>66.105263999999991</v>
      </c>
      <c r="AA50" s="449"/>
      <c r="AB50" s="448">
        <f t="shared" ref="AB50:AB54" si="66">Z50-S50</f>
        <v>3.9810331999999917</v>
      </c>
      <c r="AC50" s="450">
        <f t="shared" ref="AC50:AC54" si="67">IF((S50)=0,"",(AB50/S50))</f>
        <v>6.4081810732053227E-2</v>
      </c>
      <c r="AD50" s="52"/>
      <c r="AE50" s="446"/>
      <c r="AF50" s="446"/>
      <c r="AG50" s="448">
        <f>SUM(AG41:AG46,AG40)</f>
        <v>69.225263999999996</v>
      </c>
      <c r="AH50" s="449"/>
      <c r="AI50" s="448">
        <f t="shared" ref="AI50:AI54" si="68">AG50-Z50</f>
        <v>3.1200000000000045</v>
      </c>
      <c r="AJ50" s="450">
        <f t="shared" ref="AJ50:AJ54" si="69">IF((Z50)=0,"",(AI50/Z50))</f>
        <v>4.7197451628058017E-2</v>
      </c>
      <c r="AK50" s="451"/>
      <c r="AL50" s="446"/>
      <c r="AM50" s="446"/>
      <c r="AN50" s="448">
        <f>SUM(AN41:AN46,AN40)</f>
        <v>72.185263999999989</v>
      </c>
      <c r="AO50" s="449"/>
      <c r="AP50" s="448">
        <f t="shared" ref="AP50:AP54" si="70">AN50-AG50</f>
        <v>2.9599999999999937</v>
      </c>
      <c r="AQ50" s="450">
        <f t="shared" ref="AQ50:AQ54" si="71">IF((AG50)=0,"",(AP50/AG50))</f>
        <v>4.2758955747716529E-2</v>
      </c>
    </row>
    <row r="51" spans="1:43" ht="12" customHeight="1">
      <c r="A51" s="52"/>
      <c r="B51" s="452" t="s">
        <v>316</v>
      </c>
      <c r="C51" s="320"/>
      <c r="D51" s="320"/>
      <c r="E51" s="320"/>
      <c r="F51" s="445">
        <v>0.13</v>
      </c>
      <c r="G51" s="417"/>
      <c r="H51" s="400">
        <f>H50*F51</f>
        <v>6.6346007780000003</v>
      </c>
      <c r="I51" s="52"/>
      <c r="J51" s="453">
        <v>0.13</v>
      </c>
      <c r="K51" s="417"/>
      <c r="L51" s="400">
        <f>L50*J51</f>
        <v>7.5964500039999994</v>
      </c>
      <c r="M51" s="128"/>
      <c r="N51" s="401">
        <f t="shared" si="62"/>
        <v>0.96184922599999911</v>
      </c>
      <c r="O51" s="402">
        <f t="shared" si="63"/>
        <v>0.14497469526568085</v>
      </c>
      <c r="P51" s="52"/>
      <c r="Q51" s="453">
        <v>0.13</v>
      </c>
      <c r="R51" s="417"/>
      <c r="S51" s="400">
        <f>S50*Q51</f>
        <v>8.0761500040000005</v>
      </c>
      <c r="T51" s="128"/>
      <c r="U51" s="401">
        <f t="shared" si="64"/>
        <v>0.47970000000000113</v>
      </c>
      <c r="V51" s="402">
        <f t="shared" si="65"/>
        <v>6.3147917744131726E-2</v>
      </c>
      <c r="W51" s="52"/>
      <c r="X51" s="453">
        <v>0.13</v>
      </c>
      <c r="Y51" s="417"/>
      <c r="Z51" s="400">
        <f>Z50*X51</f>
        <v>8.5936843199999995</v>
      </c>
      <c r="AA51" s="128"/>
      <c r="AB51" s="401">
        <f t="shared" si="66"/>
        <v>0.517534315999999</v>
      </c>
      <c r="AC51" s="402">
        <f t="shared" si="67"/>
        <v>6.4081810732053227E-2</v>
      </c>
      <c r="AD51" s="52"/>
      <c r="AE51" s="453">
        <v>0.13</v>
      </c>
      <c r="AF51" s="417"/>
      <c r="AG51" s="400">
        <f>AG50*AE51</f>
        <v>8.9992843199999992</v>
      </c>
      <c r="AH51" s="128"/>
      <c r="AI51" s="401">
        <f t="shared" si="68"/>
        <v>0.40559999999999974</v>
      </c>
      <c r="AJ51" s="402">
        <f t="shared" si="69"/>
        <v>4.7197451628057913E-2</v>
      </c>
      <c r="AK51" s="403"/>
      <c r="AL51" s="453">
        <v>0.13</v>
      </c>
      <c r="AM51" s="417"/>
      <c r="AN51" s="400">
        <f>AN50*AL51</f>
        <v>9.3840843199999995</v>
      </c>
      <c r="AO51" s="128"/>
      <c r="AP51" s="401">
        <f t="shared" si="70"/>
        <v>0.38480000000000025</v>
      </c>
      <c r="AQ51" s="402">
        <f t="shared" si="71"/>
        <v>4.2758955747716647E-2</v>
      </c>
    </row>
    <row r="52" spans="1:43" ht="12" customHeight="1">
      <c r="A52" s="52"/>
      <c r="B52" s="454" t="s">
        <v>317</v>
      </c>
      <c r="C52" s="320"/>
      <c r="D52" s="320"/>
      <c r="E52" s="320"/>
      <c r="F52" s="455"/>
      <c r="G52" s="417"/>
      <c r="H52" s="400">
        <f>H50+H51</f>
        <v>57.669991377999999</v>
      </c>
      <c r="I52" s="52"/>
      <c r="J52" s="417"/>
      <c r="K52" s="417"/>
      <c r="L52" s="400">
        <f>L50+L51</f>
        <v>66.030680803999999</v>
      </c>
      <c r="M52" s="128"/>
      <c r="N52" s="401">
        <f t="shared" si="62"/>
        <v>8.3606894260000004</v>
      </c>
      <c r="O52" s="402">
        <f t="shared" si="63"/>
        <v>0.14497469526568099</v>
      </c>
      <c r="P52" s="52"/>
      <c r="Q52" s="417"/>
      <c r="R52" s="417"/>
      <c r="S52" s="400">
        <f>S50+S51</f>
        <v>70.200380804000005</v>
      </c>
      <c r="T52" s="128"/>
      <c r="U52" s="401">
        <f t="shared" si="64"/>
        <v>4.169700000000006</v>
      </c>
      <c r="V52" s="402">
        <f t="shared" si="65"/>
        <v>6.3147917744131671E-2</v>
      </c>
      <c r="W52" s="52"/>
      <c r="X52" s="417"/>
      <c r="Y52" s="417"/>
      <c r="Z52" s="400">
        <f>Z50+Z51</f>
        <v>74.698948319999985</v>
      </c>
      <c r="AA52" s="128"/>
      <c r="AB52" s="401">
        <f t="shared" si="66"/>
        <v>4.4985675159999801</v>
      </c>
      <c r="AC52" s="402">
        <f t="shared" si="67"/>
        <v>6.4081810732053074E-2</v>
      </c>
      <c r="AD52" s="52"/>
      <c r="AE52" s="417"/>
      <c r="AF52" s="417"/>
      <c r="AG52" s="400">
        <f>AG50+AG51</f>
        <v>78.224548319999997</v>
      </c>
      <c r="AH52" s="128"/>
      <c r="AI52" s="401">
        <f t="shared" si="68"/>
        <v>3.5256000000000114</v>
      </c>
      <c r="AJ52" s="402">
        <f t="shared" si="69"/>
        <v>4.71974516280581E-2</v>
      </c>
      <c r="AK52" s="403"/>
      <c r="AL52" s="417"/>
      <c r="AM52" s="417"/>
      <c r="AN52" s="400">
        <f>AN50+AN51</f>
        <v>81.569348319999989</v>
      </c>
      <c r="AO52" s="128"/>
      <c r="AP52" s="401">
        <f t="shared" si="70"/>
        <v>3.3447999999999922</v>
      </c>
      <c r="AQ52" s="402">
        <f t="shared" si="71"/>
        <v>4.2758955747716515E-2</v>
      </c>
    </row>
    <row r="53" spans="1:43" ht="12" customHeight="1">
      <c r="A53" s="52"/>
      <c r="B53" s="628" t="s">
        <v>273</v>
      </c>
      <c r="C53" s="615"/>
      <c r="D53" s="615"/>
      <c r="E53" s="320"/>
      <c r="F53" s="456">
        <f>'Proposed Rates'!E286</f>
        <v>0.23499999999999999</v>
      </c>
      <c r="G53" s="417"/>
      <c r="H53" s="457">
        <f>F53*H50</f>
        <v>11.993316791</v>
      </c>
      <c r="I53" s="52"/>
      <c r="J53" s="458">
        <f>'Proposed Rates'!F286</f>
        <v>0.23499999999999999</v>
      </c>
      <c r="K53" s="417"/>
      <c r="L53" s="457">
        <f>J53*L50</f>
        <v>13.732044237999999</v>
      </c>
      <c r="M53" s="128"/>
      <c r="N53" s="457">
        <f t="shared" si="62"/>
        <v>1.7387274469999987</v>
      </c>
      <c r="O53" s="459">
        <f t="shared" si="63"/>
        <v>0.14497469526568088</v>
      </c>
      <c r="P53" s="52"/>
      <c r="Q53" s="458">
        <f>'Proposed Rates'!G286</f>
        <v>0.23499999999999999</v>
      </c>
      <c r="R53" s="417"/>
      <c r="S53" s="457">
        <f>Q53*S50</f>
        <v>14.599194237999999</v>
      </c>
      <c r="T53" s="128"/>
      <c r="U53" s="457">
        <f t="shared" si="64"/>
        <v>0.86715000000000053</v>
      </c>
      <c r="V53" s="459">
        <f t="shared" si="65"/>
        <v>6.3147917744131629E-2</v>
      </c>
      <c r="W53" s="52"/>
      <c r="X53" s="458">
        <f>'Proposed Rates'!H286</f>
        <v>0.23499999999999999</v>
      </c>
      <c r="Y53" s="417"/>
      <c r="Z53" s="457">
        <f>X53*Z50</f>
        <v>15.534737039999998</v>
      </c>
      <c r="AA53" s="128"/>
      <c r="AB53" s="457">
        <f t="shared" si="66"/>
        <v>0.93554280199999873</v>
      </c>
      <c r="AC53" s="459">
        <f t="shared" si="67"/>
        <v>6.4081810732053282E-2</v>
      </c>
      <c r="AD53" s="52"/>
      <c r="AE53" s="458">
        <f>'Proposed Rates'!I286</f>
        <v>0.23499999999999999</v>
      </c>
      <c r="AF53" s="417"/>
      <c r="AG53" s="457">
        <f>AE53*AG50</f>
        <v>16.26793704</v>
      </c>
      <c r="AH53" s="128"/>
      <c r="AI53" s="457">
        <f t="shared" si="68"/>
        <v>0.73320000000000185</v>
      </c>
      <c r="AJ53" s="459">
        <f t="shared" si="69"/>
        <v>4.7197451628058065E-2</v>
      </c>
      <c r="AK53" s="460"/>
      <c r="AL53" s="458">
        <f>'Proposed Rates'!J286</f>
        <v>0.23499999999999999</v>
      </c>
      <c r="AM53" s="417"/>
      <c r="AN53" s="457">
        <f>AL53*AN50</f>
        <v>16.963537039999995</v>
      </c>
      <c r="AO53" s="128"/>
      <c r="AP53" s="457">
        <f t="shared" si="70"/>
        <v>0.69559999999999533</v>
      </c>
      <c r="AQ53" s="459">
        <f t="shared" si="71"/>
        <v>4.2758955747716328E-2</v>
      </c>
    </row>
    <row r="54" spans="1:43" ht="12" customHeight="1">
      <c r="A54" s="52"/>
      <c r="B54" s="627" t="s">
        <v>318</v>
      </c>
      <c r="C54" s="613"/>
      <c r="D54" s="613"/>
      <c r="E54" s="461"/>
      <c r="F54" s="462"/>
      <c r="G54" s="463"/>
      <c r="H54" s="464">
        <f>H52-H53</f>
        <v>45.676674587000001</v>
      </c>
      <c r="I54" s="52"/>
      <c r="J54" s="463"/>
      <c r="K54" s="463"/>
      <c r="L54" s="464">
        <f>L52-L53</f>
        <v>52.298636565999999</v>
      </c>
      <c r="M54" s="465"/>
      <c r="N54" s="466">
        <f t="shared" si="62"/>
        <v>6.6219619789999982</v>
      </c>
      <c r="O54" s="467">
        <f t="shared" si="63"/>
        <v>0.14497469526568094</v>
      </c>
      <c r="P54" s="52"/>
      <c r="Q54" s="463"/>
      <c r="R54" s="463"/>
      <c r="S54" s="464">
        <f>S52-S53</f>
        <v>55.60118656600001</v>
      </c>
      <c r="T54" s="465"/>
      <c r="U54" s="466">
        <f t="shared" si="64"/>
        <v>3.3025500000000108</v>
      </c>
      <c r="V54" s="467">
        <f t="shared" si="65"/>
        <v>6.3147917744131782E-2</v>
      </c>
      <c r="W54" s="52"/>
      <c r="X54" s="463"/>
      <c r="Y54" s="463"/>
      <c r="Z54" s="464">
        <f>Z52-Z53</f>
        <v>59.164211279999989</v>
      </c>
      <c r="AA54" s="465"/>
      <c r="AB54" s="466">
        <f t="shared" si="66"/>
        <v>3.5630247139999796</v>
      </c>
      <c r="AC54" s="467">
        <f t="shared" si="67"/>
        <v>6.4081810732052977E-2</v>
      </c>
      <c r="AD54" s="52"/>
      <c r="AE54" s="463"/>
      <c r="AF54" s="463"/>
      <c r="AG54" s="464">
        <f>AG52-AG53</f>
        <v>61.956611279999997</v>
      </c>
      <c r="AH54" s="465"/>
      <c r="AI54" s="466">
        <f t="shared" si="68"/>
        <v>2.7924000000000078</v>
      </c>
      <c r="AJ54" s="467">
        <f t="shared" si="69"/>
        <v>4.7197451628058079E-2</v>
      </c>
      <c r="AK54" s="468"/>
      <c r="AL54" s="463"/>
      <c r="AM54" s="463"/>
      <c r="AN54" s="464">
        <f>AN52-AN53</f>
        <v>64.605811279999998</v>
      </c>
      <c r="AO54" s="465"/>
      <c r="AP54" s="466">
        <f t="shared" si="70"/>
        <v>2.6492000000000004</v>
      </c>
      <c r="AQ54" s="467">
        <f t="shared" si="71"/>
        <v>4.2758955747716626E-2</v>
      </c>
    </row>
    <row r="55" spans="1:43" ht="12" customHeight="1">
      <c r="A55" s="52"/>
      <c r="B55" s="434"/>
      <c r="C55" s="435"/>
      <c r="D55" s="435"/>
      <c r="E55" s="435"/>
      <c r="F55" s="436"/>
      <c r="G55" s="437"/>
      <c r="H55" s="438"/>
      <c r="I55" s="52"/>
      <c r="J55" s="436"/>
      <c r="K55" s="437"/>
      <c r="L55" s="438"/>
      <c r="M55" s="440"/>
      <c r="N55" s="441"/>
      <c r="O55" s="442"/>
      <c r="P55" s="52"/>
      <c r="Q55" s="436"/>
      <c r="R55" s="437"/>
      <c r="S55" s="438"/>
      <c r="T55" s="440"/>
      <c r="U55" s="441"/>
      <c r="V55" s="442"/>
      <c r="W55" s="52"/>
      <c r="X55" s="436"/>
      <c r="Y55" s="437"/>
      <c r="Z55" s="438"/>
      <c r="AA55" s="440"/>
      <c r="AB55" s="441"/>
      <c r="AC55" s="442"/>
      <c r="AD55" s="52"/>
      <c r="AE55" s="436"/>
      <c r="AF55" s="437"/>
      <c r="AG55" s="438"/>
      <c r="AH55" s="440"/>
      <c r="AI55" s="441"/>
      <c r="AJ55" s="442"/>
      <c r="AK55" s="443"/>
      <c r="AL55" s="436"/>
      <c r="AM55" s="437"/>
      <c r="AN55" s="438"/>
      <c r="AO55" s="440"/>
      <c r="AP55" s="441"/>
      <c r="AQ55" s="442"/>
    </row>
    <row r="56" spans="1:43" ht="12" customHeight="1">
      <c r="A56" s="52"/>
      <c r="B56" s="444" t="s">
        <v>319</v>
      </c>
      <c r="C56" s="320"/>
      <c r="D56" s="320"/>
      <c r="E56" s="320"/>
      <c r="F56" s="445"/>
      <c r="G56" s="446"/>
      <c r="H56" s="447">
        <f>SUM(H47:H48,H40,H41:H43)</f>
        <v>50.283390599999997</v>
      </c>
      <c r="I56" s="52"/>
      <c r="J56" s="446"/>
      <c r="K56" s="446"/>
      <c r="L56" s="448">
        <f>SUM(L47:L48,L40,L41:L43)</f>
        <v>57.682230799999992</v>
      </c>
      <c r="M56" s="449"/>
      <c r="N56" s="448">
        <f t="shared" ref="N56:N60" si="72">L56-H56</f>
        <v>7.3988401999999951</v>
      </c>
      <c r="O56" s="450">
        <f t="shared" ref="O56:O60" si="73">IF((H56)=0,"",(N56/H56))</f>
        <v>0.14714282612437823</v>
      </c>
      <c r="P56" s="52"/>
      <c r="Q56" s="446"/>
      <c r="R56" s="446"/>
      <c r="S56" s="448">
        <f>SUM(S47:S48,S40,S41:S43)</f>
        <v>61.372230799999997</v>
      </c>
      <c r="T56" s="449"/>
      <c r="U56" s="448">
        <f t="shared" ref="U56:U60" si="74">S56-L56</f>
        <v>3.6900000000000048</v>
      </c>
      <c r="V56" s="450">
        <f t="shared" ref="V56:V60" si="75">IF((L56)=0,"",(U56/L56))</f>
        <v>6.3971173597537165E-2</v>
      </c>
      <c r="W56" s="52"/>
      <c r="X56" s="446"/>
      <c r="Y56" s="446"/>
      <c r="Z56" s="448">
        <f>SUM(Z47:Z48,Z40,Z41:Z43)</f>
        <v>65.353263999999996</v>
      </c>
      <c r="AA56" s="449"/>
      <c r="AB56" s="448">
        <f t="shared" ref="AB56:AB60" si="76">Z56-S56</f>
        <v>3.9810331999999988</v>
      </c>
      <c r="AC56" s="450">
        <f t="shared" ref="AC56:AC60" si="77">IF((S56)=0,"",(AB56/S56))</f>
        <v>6.4867011482333134E-2</v>
      </c>
      <c r="AD56" s="52"/>
      <c r="AE56" s="446"/>
      <c r="AF56" s="446"/>
      <c r="AG56" s="448">
        <f>SUM(AG47:AG48,AG40,AG41:AG43)</f>
        <v>68.473263999999986</v>
      </c>
      <c r="AH56" s="449"/>
      <c r="AI56" s="448">
        <f t="shared" ref="AI56:AI60" si="78">AG56-Z56</f>
        <v>3.1199999999999903</v>
      </c>
      <c r="AJ56" s="450">
        <f t="shared" ref="AJ56:AJ60" si="79">IF((Z56)=0,"",(AI56/Z56))</f>
        <v>4.7740538253758687E-2</v>
      </c>
      <c r="AK56" s="451"/>
      <c r="AL56" s="446"/>
      <c r="AM56" s="446"/>
      <c r="AN56" s="448">
        <f>SUM(AN47:AN48,AN40,AN41:AN43)</f>
        <v>71.43326399999998</v>
      </c>
      <c r="AO56" s="449"/>
      <c r="AP56" s="448">
        <f t="shared" ref="AP56:AP60" si="80">AN56-AG56</f>
        <v>2.9599999999999937</v>
      </c>
      <c r="AQ56" s="450">
        <f t="shared" ref="AQ56:AQ60" si="81">IF((AG56)=0,"",(AP56/AG56))</f>
        <v>4.3228551219640914E-2</v>
      </c>
    </row>
    <row r="57" spans="1:43" ht="12" customHeight="1">
      <c r="A57" s="52"/>
      <c r="B57" s="452" t="s">
        <v>316</v>
      </c>
      <c r="C57" s="320"/>
      <c r="D57" s="320"/>
      <c r="E57" s="320"/>
      <c r="F57" s="445">
        <v>0.13</v>
      </c>
      <c r="G57" s="453"/>
      <c r="H57" s="400">
        <f>H56*F57</f>
        <v>6.5368407780000002</v>
      </c>
      <c r="I57" s="52"/>
      <c r="J57" s="445">
        <v>0.13</v>
      </c>
      <c r="K57" s="453"/>
      <c r="L57" s="400">
        <f>L56*J57</f>
        <v>7.4986900039999993</v>
      </c>
      <c r="M57" s="128"/>
      <c r="N57" s="401">
        <f t="shared" si="72"/>
        <v>0.96184922599999911</v>
      </c>
      <c r="O57" s="402">
        <f t="shared" si="73"/>
        <v>0.14714282612437821</v>
      </c>
      <c r="P57" s="52"/>
      <c r="Q57" s="445">
        <v>0.13</v>
      </c>
      <c r="R57" s="453"/>
      <c r="S57" s="400">
        <f>S56*Q57</f>
        <v>7.9783900039999995</v>
      </c>
      <c r="T57" s="128"/>
      <c r="U57" s="401">
        <f t="shared" si="74"/>
        <v>0.47970000000000024</v>
      </c>
      <c r="V57" s="402">
        <f t="shared" si="75"/>
        <v>6.3971173597537109E-2</v>
      </c>
      <c r="W57" s="52"/>
      <c r="X57" s="445">
        <v>0.13</v>
      </c>
      <c r="Y57" s="453"/>
      <c r="Z57" s="400">
        <f>Z56*X57</f>
        <v>8.4959243200000003</v>
      </c>
      <c r="AA57" s="128"/>
      <c r="AB57" s="401">
        <f t="shared" si="76"/>
        <v>0.51753431600000077</v>
      </c>
      <c r="AC57" s="402">
        <f t="shared" si="77"/>
        <v>6.4867011482333245E-2</v>
      </c>
      <c r="AD57" s="52"/>
      <c r="AE57" s="445">
        <v>0.13</v>
      </c>
      <c r="AF57" s="453"/>
      <c r="AG57" s="400">
        <f>AG56*AE57</f>
        <v>8.9015243199999983</v>
      </c>
      <c r="AH57" s="128"/>
      <c r="AI57" s="401">
        <f t="shared" si="78"/>
        <v>0.40559999999999796</v>
      </c>
      <c r="AJ57" s="402">
        <f t="shared" si="79"/>
        <v>4.774053825375859E-2</v>
      </c>
      <c r="AK57" s="403"/>
      <c r="AL57" s="445">
        <v>0.13</v>
      </c>
      <c r="AM57" s="453"/>
      <c r="AN57" s="400">
        <f>AN56*AL57</f>
        <v>9.2863243199999985</v>
      </c>
      <c r="AO57" s="128"/>
      <c r="AP57" s="401">
        <f t="shared" si="80"/>
        <v>0.38480000000000025</v>
      </c>
      <c r="AQ57" s="402">
        <f t="shared" si="81"/>
        <v>4.3228551219641032E-2</v>
      </c>
    </row>
    <row r="58" spans="1:43" ht="12" customHeight="1">
      <c r="A58" s="52"/>
      <c r="B58" s="454" t="s">
        <v>320</v>
      </c>
      <c r="C58" s="320"/>
      <c r="D58" s="320"/>
      <c r="E58" s="320"/>
      <c r="F58" s="455"/>
      <c r="G58" s="417"/>
      <c r="H58" s="400">
        <f>H56+H57</f>
        <v>56.820231377999995</v>
      </c>
      <c r="I58" s="52"/>
      <c r="J58" s="417"/>
      <c r="K58" s="417"/>
      <c r="L58" s="400">
        <f>L56+L57</f>
        <v>65.180920803999996</v>
      </c>
      <c r="M58" s="128"/>
      <c r="N58" s="401">
        <f t="shared" si="72"/>
        <v>8.3606894260000004</v>
      </c>
      <c r="O58" s="402">
        <f t="shared" si="73"/>
        <v>0.14714282612437835</v>
      </c>
      <c r="P58" s="52"/>
      <c r="Q58" s="417"/>
      <c r="R58" s="417"/>
      <c r="S58" s="400">
        <f>S56+S57</f>
        <v>69.350620804000002</v>
      </c>
      <c r="T58" s="128"/>
      <c r="U58" s="401">
        <f t="shared" si="74"/>
        <v>4.169700000000006</v>
      </c>
      <c r="V58" s="402">
        <f t="shared" si="75"/>
        <v>6.3971173597537179E-2</v>
      </c>
      <c r="W58" s="52"/>
      <c r="X58" s="417"/>
      <c r="Y58" s="417"/>
      <c r="Z58" s="400">
        <f>Z56+Z57</f>
        <v>73.849188319999996</v>
      </c>
      <c r="AA58" s="128"/>
      <c r="AB58" s="401">
        <f t="shared" si="76"/>
        <v>4.4985675159999943</v>
      </c>
      <c r="AC58" s="402">
        <f t="shared" si="77"/>
        <v>6.4867011482333065E-2</v>
      </c>
      <c r="AD58" s="52"/>
      <c r="AE58" s="417"/>
      <c r="AF58" s="417"/>
      <c r="AG58" s="400">
        <f>AG56+AG57</f>
        <v>77.374788319999979</v>
      </c>
      <c r="AH58" s="128"/>
      <c r="AI58" s="401">
        <f t="shared" si="78"/>
        <v>3.525599999999983</v>
      </c>
      <c r="AJ58" s="402">
        <f t="shared" si="79"/>
        <v>4.7740538253758603E-2</v>
      </c>
      <c r="AK58" s="403"/>
      <c r="AL58" s="417"/>
      <c r="AM58" s="417"/>
      <c r="AN58" s="400">
        <f>AN56+AN57</f>
        <v>80.719588319999986</v>
      </c>
      <c r="AO58" s="128"/>
      <c r="AP58" s="401">
        <f t="shared" si="80"/>
        <v>3.3448000000000064</v>
      </c>
      <c r="AQ58" s="402">
        <f t="shared" si="81"/>
        <v>4.3228551219641094E-2</v>
      </c>
    </row>
    <row r="59" spans="1:43" ht="12" customHeight="1">
      <c r="A59" s="52"/>
      <c r="B59" s="628" t="s">
        <v>273</v>
      </c>
      <c r="C59" s="615"/>
      <c r="D59" s="615"/>
      <c r="E59" s="320"/>
      <c r="F59" s="456">
        <f>F53</f>
        <v>0.23499999999999999</v>
      </c>
      <c r="G59" s="417"/>
      <c r="H59" s="457">
        <f>F59*H56</f>
        <v>11.816596790999998</v>
      </c>
      <c r="I59" s="52"/>
      <c r="J59" s="458">
        <f>J53</f>
        <v>0.23499999999999999</v>
      </c>
      <c r="K59" s="417"/>
      <c r="L59" s="457">
        <f>J59*L56</f>
        <v>13.555324237999997</v>
      </c>
      <c r="M59" s="128"/>
      <c r="N59" s="457">
        <f t="shared" si="72"/>
        <v>1.7387274469999987</v>
      </c>
      <c r="O59" s="459">
        <f t="shared" si="73"/>
        <v>0.14714282612437823</v>
      </c>
      <c r="P59" s="52"/>
      <c r="Q59" s="458">
        <f>Q53</f>
        <v>0.23499999999999999</v>
      </c>
      <c r="R59" s="417"/>
      <c r="S59" s="457">
        <f>Q59*S56</f>
        <v>14.422474237999998</v>
      </c>
      <c r="T59" s="128"/>
      <c r="U59" s="457">
        <f t="shared" si="74"/>
        <v>0.86715000000000053</v>
      </c>
      <c r="V59" s="459">
        <f t="shared" si="75"/>
        <v>6.3971173597537123E-2</v>
      </c>
      <c r="W59" s="52"/>
      <c r="X59" s="458">
        <f>X53</f>
        <v>0.23499999999999999</v>
      </c>
      <c r="Y59" s="417"/>
      <c r="Z59" s="457">
        <f>X59*Z56</f>
        <v>15.358017039999998</v>
      </c>
      <c r="AA59" s="128"/>
      <c r="AB59" s="457">
        <f t="shared" si="76"/>
        <v>0.93554280200000051</v>
      </c>
      <c r="AC59" s="459">
        <f t="shared" si="77"/>
        <v>6.4867011482333189E-2</v>
      </c>
      <c r="AD59" s="52"/>
      <c r="AE59" s="458">
        <f>AE53</f>
        <v>0.23499999999999999</v>
      </c>
      <c r="AF59" s="417"/>
      <c r="AG59" s="457">
        <f>AE59*AG56</f>
        <v>16.091217039999997</v>
      </c>
      <c r="AH59" s="128"/>
      <c r="AI59" s="457">
        <f t="shared" si="78"/>
        <v>0.7331999999999983</v>
      </c>
      <c r="AJ59" s="459">
        <f t="shared" si="79"/>
        <v>4.7740538253758728E-2</v>
      </c>
      <c r="AK59" s="460"/>
      <c r="AL59" s="458">
        <f>AL53</f>
        <v>0.23499999999999999</v>
      </c>
      <c r="AM59" s="417"/>
      <c r="AN59" s="457">
        <f>AL59*AN56</f>
        <v>16.786817039999995</v>
      </c>
      <c r="AO59" s="128"/>
      <c r="AP59" s="457">
        <f t="shared" si="80"/>
        <v>0.69559999999999889</v>
      </c>
      <c r="AQ59" s="459">
        <f t="shared" si="81"/>
        <v>4.3228551219640934E-2</v>
      </c>
    </row>
    <row r="60" spans="1:43" ht="12" customHeight="1">
      <c r="A60" s="52"/>
      <c r="B60" s="627" t="s">
        <v>321</v>
      </c>
      <c r="C60" s="613"/>
      <c r="D60" s="613"/>
      <c r="E60" s="461"/>
      <c r="F60" s="469"/>
      <c r="G60" s="470"/>
      <c r="H60" s="471">
        <f>H58-H59</f>
        <v>45.003634586999993</v>
      </c>
      <c r="I60" s="52"/>
      <c r="J60" s="470"/>
      <c r="K60" s="470"/>
      <c r="L60" s="471">
        <f>L58-L59</f>
        <v>51.625596565999999</v>
      </c>
      <c r="M60" s="472"/>
      <c r="N60" s="473">
        <f t="shared" si="72"/>
        <v>6.6219619790000053</v>
      </c>
      <c r="O60" s="474">
        <f t="shared" si="73"/>
        <v>0.14714282612437848</v>
      </c>
      <c r="P60" s="52"/>
      <c r="Q60" s="470"/>
      <c r="R60" s="470"/>
      <c r="S60" s="471">
        <f>S58-S59</f>
        <v>54.928146566000002</v>
      </c>
      <c r="T60" s="472"/>
      <c r="U60" s="473">
        <f t="shared" si="74"/>
        <v>3.3025500000000036</v>
      </c>
      <c r="V60" s="474">
        <f t="shared" si="75"/>
        <v>6.3971173597537151E-2</v>
      </c>
      <c r="W60" s="52"/>
      <c r="X60" s="470"/>
      <c r="Y60" s="470"/>
      <c r="Z60" s="471">
        <f>Z58-Z59</f>
        <v>58.491171279999996</v>
      </c>
      <c r="AA60" s="472"/>
      <c r="AB60" s="473">
        <f t="shared" si="76"/>
        <v>3.5630247139999938</v>
      </c>
      <c r="AC60" s="474">
        <f t="shared" si="77"/>
        <v>6.4867011482333037E-2</v>
      </c>
      <c r="AD60" s="52"/>
      <c r="AE60" s="470"/>
      <c r="AF60" s="470"/>
      <c r="AG60" s="471">
        <f>AG58-AG59</f>
        <v>61.283571279999983</v>
      </c>
      <c r="AH60" s="472"/>
      <c r="AI60" s="473">
        <f t="shared" si="78"/>
        <v>2.7923999999999864</v>
      </c>
      <c r="AJ60" s="474">
        <f t="shared" si="79"/>
        <v>4.7740538253758603E-2</v>
      </c>
      <c r="AK60" s="468"/>
      <c r="AL60" s="470"/>
      <c r="AM60" s="470"/>
      <c r="AN60" s="471">
        <f>AN58-AN59</f>
        <v>63.93277127999999</v>
      </c>
      <c r="AO60" s="472"/>
      <c r="AP60" s="473">
        <f t="shared" si="80"/>
        <v>2.6492000000000075</v>
      </c>
      <c r="AQ60" s="474">
        <f t="shared" si="81"/>
        <v>4.3228551219641136E-2</v>
      </c>
    </row>
    <row r="61" spans="1:43" ht="12" customHeight="1">
      <c r="A61" s="52"/>
      <c r="B61" s="434"/>
      <c r="C61" s="435"/>
      <c r="D61" s="435"/>
      <c r="E61" s="435"/>
      <c r="F61" s="475"/>
      <c r="G61" s="476"/>
      <c r="H61" s="441"/>
      <c r="I61" s="52"/>
      <c r="J61" s="475"/>
      <c r="K61" s="476"/>
      <c r="L61" s="441"/>
      <c r="M61" s="440"/>
      <c r="N61" s="477"/>
      <c r="O61" s="442"/>
      <c r="P61" s="52"/>
      <c r="Q61" s="475"/>
      <c r="R61" s="476"/>
      <c r="S61" s="441"/>
      <c r="T61" s="440"/>
      <c r="U61" s="477"/>
      <c r="V61" s="442"/>
      <c r="W61" s="52"/>
      <c r="X61" s="475"/>
      <c r="Y61" s="476"/>
      <c r="Z61" s="441"/>
      <c r="AA61" s="440"/>
      <c r="AB61" s="477"/>
      <c r="AC61" s="442"/>
      <c r="AD61" s="52"/>
      <c r="AE61" s="475"/>
      <c r="AF61" s="476"/>
      <c r="AG61" s="441"/>
      <c r="AH61" s="440"/>
      <c r="AI61" s="477"/>
      <c r="AJ61" s="442"/>
      <c r="AK61" s="443"/>
      <c r="AL61" s="475"/>
      <c r="AM61" s="476"/>
      <c r="AN61" s="441"/>
      <c r="AO61" s="440"/>
      <c r="AP61" s="477"/>
      <c r="AQ61" s="442"/>
    </row>
    <row r="62" spans="1:43" ht="12" customHeight="1">
      <c r="A62" s="52"/>
      <c r="B62" s="52"/>
      <c r="C62" s="52"/>
      <c r="D62" s="52"/>
      <c r="E62" s="52"/>
      <c r="F62" s="52"/>
      <c r="G62" s="52"/>
      <c r="H62" s="186"/>
      <c r="I62" s="52"/>
      <c r="J62" s="52"/>
      <c r="K62" s="52"/>
      <c r="L62" s="186"/>
      <c r="M62" s="52"/>
      <c r="N62" s="52"/>
      <c r="O62" s="52"/>
      <c r="P62" s="52"/>
      <c r="Q62" s="52"/>
      <c r="R62" s="52"/>
      <c r="S62" s="186"/>
      <c r="T62" s="52"/>
      <c r="U62" s="52"/>
      <c r="V62" s="52"/>
      <c r="W62" s="52"/>
      <c r="X62" s="52"/>
      <c r="Y62" s="52"/>
      <c r="Z62" s="186"/>
      <c r="AA62" s="52"/>
      <c r="AB62" s="52"/>
      <c r="AC62" s="52"/>
      <c r="AD62" s="52"/>
      <c r="AE62" s="52"/>
      <c r="AF62" s="52"/>
      <c r="AG62" s="186"/>
      <c r="AH62" s="52"/>
      <c r="AI62" s="52"/>
      <c r="AJ62" s="52"/>
      <c r="AK62" s="52"/>
      <c r="AL62" s="52"/>
      <c r="AM62" s="52"/>
      <c r="AN62" s="186"/>
      <c r="AO62" s="52"/>
      <c r="AP62" s="52"/>
      <c r="AQ62" s="52"/>
    </row>
    <row r="63" spans="1:43" ht="12" customHeight="1">
      <c r="A63" s="52"/>
      <c r="B63" s="306" t="s">
        <v>322</v>
      </c>
      <c r="C63" s="52"/>
      <c r="D63" s="52"/>
      <c r="E63" s="52"/>
      <c r="F63" s="478">
        <f>'Proposed Rates'!$E$299</f>
        <v>3.3799999999999997E-2</v>
      </c>
      <c r="G63" s="52"/>
      <c r="H63" s="52"/>
      <c r="I63" s="52"/>
      <c r="J63" s="478">
        <f>'Proposed Rates'!$F$299</f>
        <v>3.32E-2</v>
      </c>
      <c r="K63" s="52"/>
      <c r="L63" s="52"/>
      <c r="M63" s="52"/>
      <c r="N63" s="52"/>
      <c r="O63" s="52"/>
      <c r="P63" s="52"/>
      <c r="Q63" s="478">
        <f>'Proposed Rates'!$G$299</f>
        <v>3.32E-2</v>
      </c>
      <c r="R63" s="52"/>
      <c r="S63" s="52"/>
      <c r="T63" s="52"/>
      <c r="U63" s="52"/>
      <c r="V63" s="52"/>
      <c r="W63" s="52"/>
      <c r="X63" s="478">
        <f>'Proposed Rates'!$H$299</f>
        <v>3.32E-2</v>
      </c>
      <c r="Y63" s="52"/>
      <c r="Z63" s="52"/>
      <c r="AA63" s="52"/>
      <c r="AB63" s="52"/>
      <c r="AC63" s="52"/>
      <c r="AD63" s="52"/>
      <c r="AE63" s="478">
        <f>'Proposed Rates'!$I$299</f>
        <v>3.32E-2</v>
      </c>
      <c r="AF63" s="52"/>
      <c r="AG63" s="52"/>
      <c r="AH63" s="52"/>
      <c r="AI63" s="52"/>
      <c r="AJ63" s="52"/>
      <c r="AK63" s="52"/>
      <c r="AL63" s="478">
        <f>'Proposed Rates'!$J$299</f>
        <v>3.32E-2</v>
      </c>
      <c r="AM63" s="52"/>
      <c r="AN63" s="52"/>
      <c r="AO63" s="52"/>
      <c r="AP63" s="52"/>
      <c r="AQ63" s="52"/>
    </row>
    <row r="64" spans="1:43" ht="12"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row>
    <row r="65" spans="1:43" ht="12" customHeight="1">
      <c r="A65" s="479" t="s">
        <v>323</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row>
    <row r="66" spans="1:43" ht="12"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row>
    <row r="67" spans="1:43" ht="12" customHeight="1">
      <c r="A67" s="52" t="s">
        <v>324</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row>
    <row r="68" spans="1:43" ht="12" customHeight="1">
      <c r="A68" s="52" t="s">
        <v>325</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row>
    <row r="69" spans="1:43" ht="12"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row>
    <row r="70" spans="1:43" ht="12" customHeight="1">
      <c r="A70" s="52" t="s">
        <v>326</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row>
    <row r="71" spans="1:43" ht="12" customHeight="1">
      <c r="A71" s="52" t="s">
        <v>327</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row>
    <row r="72" spans="1:43"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row>
    <row r="73" spans="1:43" ht="12" customHeight="1">
      <c r="A73" s="52" t="s">
        <v>328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row>
    <row r="74" spans="1:43" ht="12" customHeight="1">
      <c r="A74" s="52" t="s">
        <v>329</v>
      </c>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row>
    <row r="75" spans="1:43" ht="12" customHeight="1">
      <c r="A75" s="52" t="s">
        <v>330</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row>
    <row r="76" spans="1:43" ht="12" customHeight="1">
      <c r="A76" s="52" t="s">
        <v>331</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row>
    <row r="77" spans="1:43" ht="12" customHeight="1">
      <c r="A77" s="52" t="s">
        <v>332</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row>
    <row r="78" spans="1:43" ht="12"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row>
    <row r="79" spans="1:43" ht="12" customHeight="1">
      <c r="A79" s="480"/>
      <c r="B79" s="52" t="s">
        <v>333</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row>
    <row r="80" spans="1:43"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row>
    <row r="81" spans="1:43" ht="12" customHeight="1">
      <c r="A81" s="52"/>
      <c r="B81" s="52" t="s">
        <v>334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row>
    <row r="82" spans="1:43" ht="12"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row>
    <row r="83" spans="1:43" ht="12"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row>
    <row r="84" spans="1:43" ht="12"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row>
    <row r="85" spans="1:43" ht="12"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row>
    <row r="86" spans="1:43" ht="12"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row>
    <row r="87" spans="1:43"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row>
    <row r="88" spans="1:43" ht="12"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row>
    <row r="89" spans="1:43" ht="12"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row>
    <row r="90" spans="1:43" ht="12"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row>
    <row r="91" spans="1:43" ht="12"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row>
    <row r="92" spans="1:43" ht="12"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row>
    <row r="93" spans="1:43" ht="12"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row>
    <row r="94" spans="1:43" ht="12"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row>
    <row r="95" spans="1:43" ht="12"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row>
    <row r="96" spans="1:43" ht="12"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row>
    <row r="97" spans="1:43" ht="12"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row>
    <row r="98" spans="1:43" ht="12"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row>
    <row r="99" spans="1:43" ht="12"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row>
    <row r="100" spans="1:43" ht="12"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row>
    <row r="101" spans="1:43" ht="12"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row>
    <row r="102" spans="1:43" ht="12"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row>
    <row r="103" spans="1:43" ht="12"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row>
    <row r="104" spans="1:43" ht="12"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row>
    <row r="105" spans="1:43" ht="12"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row>
    <row r="106" spans="1:43" ht="12"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row>
    <row r="107" spans="1:43" ht="12"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row>
    <row r="108" spans="1:43" ht="12"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row>
    <row r="109" spans="1:43" ht="12"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row>
    <row r="110" spans="1:43" ht="12"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row>
    <row r="111" spans="1:43" ht="12"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row>
    <row r="112" spans="1:43" ht="12"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row>
    <row r="113" spans="1:43" ht="12"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row>
    <row r="114" spans="1:43" ht="12"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row>
    <row r="115" spans="1:43" ht="12"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row>
    <row r="116" spans="1:43" ht="12"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row>
    <row r="117" spans="1:43" ht="12"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row>
    <row r="118" spans="1:43" ht="12"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row>
    <row r="119" spans="1:43" ht="12"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row>
    <row r="120" spans="1:43" ht="12"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row>
    <row r="121" spans="1:43" ht="12"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row>
    <row r="122" spans="1:43" ht="12"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row>
    <row r="123" spans="1:43" ht="12"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row>
    <row r="124" spans="1:43" ht="12"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row>
    <row r="125" spans="1:43" ht="12"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row>
    <row r="126" spans="1:43" ht="12"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row>
    <row r="127" spans="1:43" ht="12"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row>
    <row r="128" spans="1:43" ht="12"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row>
    <row r="129" spans="1:43" ht="12"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row>
    <row r="130" spans="1:43" ht="12"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row>
    <row r="131" spans="1:43" ht="12"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row>
    <row r="132" spans="1:43" ht="12"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row>
    <row r="133" spans="1:43" ht="12"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row>
    <row r="134" spans="1:43" ht="12"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row>
    <row r="135" spans="1:43" ht="12"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row>
    <row r="136" spans="1:43" ht="12"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row>
    <row r="137" spans="1:43" ht="12"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row>
    <row r="138" spans="1:43" ht="12"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row>
    <row r="139" spans="1:43" ht="12"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row>
    <row r="140" spans="1:43" ht="12"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row>
    <row r="141" spans="1:43" ht="12"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row>
    <row r="142" spans="1:43" ht="12"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row>
    <row r="143" spans="1:43" ht="12"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row>
    <row r="144" spans="1:43" ht="12"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row>
    <row r="145" spans="1:43" ht="12"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row>
    <row r="146" spans="1:43" ht="12"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row>
    <row r="147" spans="1:43" ht="12"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row>
    <row r="148" spans="1:43" ht="12"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row>
    <row r="149" spans="1:43" ht="12"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row>
    <row r="150" spans="1:43" ht="12"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row>
    <row r="151" spans="1:43" ht="12"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row>
    <row r="152" spans="1:43" ht="12"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row>
    <row r="153" spans="1:43" ht="12"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row>
    <row r="154" spans="1:43" ht="12"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row>
    <row r="155" spans="1:43" ht="12"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row>
    <row r="156" spans="1:43" ht="12"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row>
    <row r="157" spans="1:43" ht="12"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row>
    <row r="158" spans="1:43" ht="12"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row>
    <row r="159" spans="1:43" ht="12"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row>
    <row r="160" spans="1:43" ht="12"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row>
    <row r="161" spans="1:43" ht="12"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row>
    <row r="162" spans="1:43" ht="12"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row>
    <row r="163" spans="1:43" ht="12"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row>
    <row r="164" spans="1:43" ht="12"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row>
    <row r="165" spans="1:43" ht="12"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row>
    <row r="166" spans="1:43" ht="12"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row>
    <row r="167" spans="1:43" ht="12"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row>
    <row r="168" spans="1:43" ht="12"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row>
    <row r="169" spans="1:43" ht="12"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row>
    <row r="170" spans="1:43" ht="12"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row>
    <row r="171" spans="1:43" ht="12"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row>
    <row r="172" spans="1:43" ht="12"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row>
    <row r="173" spans="1:43" ht="12"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row>
    <row r="174" spans="1:43" ht="12"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row>
    <row r="175" spans="1:43" ht="12"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row>
    <row r="176" spans="1:43" ht="12"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row>
    <row r="177" spans="1:43" ht="12"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row>
    <row r="178" spans="1:43" ht="12"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row>
    <row r="179" spans="1:43" ht="12"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row>
    <row r="180" spans="1:43" ht="12"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row>
    <row r="181" spans="1:43" ht="12"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row>
    <row r="182" spans="1:43" ht="12"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row>
    <row r="183" spans="1:43" ht="12"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row>
    <row r="184" spans="1:43" ht="12"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row>
    <row r="185" spans="1:43" ht="12"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row>
    <row r="186" spans="1:43" ht="12"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row>
    <row r="187" spans="1:43" ht="12"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row>
    <row r="188" spans="1:43" ht="12"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row>
    <row r="189" spans="1:43" ht="12"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row>
    <row r="190" spans="1:43" ht="12"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row>
    <row r="191" spans="1:43" ht="12"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3" ht="12"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2"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2"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2"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2"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2"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2"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2"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2"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2"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2"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2"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2"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2"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2"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2"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2"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2"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2"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2"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2"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2"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2"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2"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2"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2"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2"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2"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2"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2"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row>
    <row r="222" spans="1:43" ht="12"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row>
    <row r="223" spans="1:43" ht="12"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row>
    <row r="224" spans="1:43" ht="12"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row>
    <row r="225" spans="1:43" ht="12"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row>
    <row r="226" spans="1:43" ht="12"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row>
    <row r="227" spans="1:43" ht="12"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row>
    <row r="228" spans="1:43" ht="12"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2"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2"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row>
    <row r="231" spans="1:43" ht="12"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row>
    <row r="232" spans="1:43" ht="12"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row>
    <row r="233" spans="1:43" ht="12"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row>
    <row r="234" spans="1:43" ht="12"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row>
    <row r="235" spans="1:43" ht="12"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row>
    <row r="236" spans="1:43" ht="12"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row>
    <row r="237" spans="1:43" ht="12"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row>
    <row r="238" spans="1:43" ht="12"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row>
    <row r="239" spans="1:43" ht="12"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row>
    <row r="240" spans="1:43" ht="12"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row>
    <row r="241" spans="1:43" ht="12"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row>
    <row r="242" spans="1:43" ht="12"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row>
    <row r="243" spans="1:43" ht="12"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row>
    <row r="244" spans="1:43" ht="12"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row>
    <row r="245" spans="1:43" ht="12"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row>
    <row r="246" spans="1:43" ht="12"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row>
    <row r="247" spans="1:43" ht="12"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row>
    <row r="248" spans="1:43" ht="12"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row>
    <row r="249" spans="1:43" ht="12"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row>
    <row r="250" spans="1:43" ht="12"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row>
    <row r="251" spans="1:43" ht="12"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row>
    <row r="252" spans="1:43" ht="12"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row>
    <row r="253" spans="1:43" ht="12"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row>
    <row r="254" spans="1:43" ht="12"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row>
    <row r="255" spans="1:43" ht="12"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row>
    <row r="256" spans="1:43" ht="12"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row>
    <row r="257" spans="1:43" ht="12"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row>
    <row r="258" spans="1:43" ht="12"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row>
    <row r="259" spans="1:43" ht="12"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row>
    <row r="260" spans="1:43" ht="12"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row>
    <row r="261" spans="1:43" ht="12"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row>
    <row r="262" spans="1:43" ht="12"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row>
    <row r="263" spans="1:43" ht="12"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row>
    <row r="264" spans="1:43" ht="12"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row>
    <row r="265" spans="1:43" ht="12"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row>
    <row r="266" spans="1:43" ht="12"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row>
    <row r="267" spans="1:43" ht="12"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row>
    <row r="268" spans="1:43" ht="12"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row>
    <row r="269" spans="1:43" ht="12"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row>
    <row r="270" spans="1:43" ht="12"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row>
    <row r="271" spans="1:43" ht="12"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row>
    <row r="272" spans="1:43" ht="12"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row>
    <row r="273" spans="1:43" ht="12"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row>
    <row r="274" spans="1:43" ht="12"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row>
    <row r="275" spans="1:43" ht="12"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row>
    <row r="276" spans="1:43" ht="12"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row>
    <row r="277" spans="1:43" ht="12"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row>
    <row r="278" spans="1:43" ht="12"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row>
    <row r="279" spans="1:43" ht="12"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row>
    <row r="280" spans="1:43" ht="12"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row>
    <row r="281" spans="1:43" ht="12"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row>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800-000000000000}">
      <formula1>"TOU,non-TOU"</formula1>
    </dataValidation>
    <dataValidation type="list" allowBlank="1" showErrorMessage="1" sqref="E15:E28 E30:E36 E38:E39 E41:E49 E55 E61" xr:uid="{00000000-0002-0000-0800-000001000000}">
      <formula1>#REF!</formula1>
    </dataValidation>
    <dataValidation type="list" allowBlank="1" showInputMessage="1" showErrorMessage="1" prompt="Select Charge Unit - monthly, per kWh, per kW" sqref="D15:D28 D30:D36 D38:D39 D41:D49 D55 D61" xr:uid="{00000000-0002-0000-0800-000002000000}">
      <formula1>"Monthly,per kWh,per kW"</formula1>
    </dataValidation>
  </dataValidations>
  <pageMargins left="0.74803149606299213" right="0.74803149606299213" top="0.98425196850393704" bottom="0.98425196850393704"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Summary</vt:lpstr>
      <vt:lpstr>2026</vt:lpstr>
      <vt:lpstr>Summary for future Impacts</vt:lpstr>
      <vt:lpstr>2027</vt:lpstr>
      <vt:lpstr>2028</vt:lpstr>
      <vt:lpstr>2029</vt:lpstr>
      <vt:lpstr>2030</vt:lpstr>
      <vt:lpstr>Proposed Rates</vt:lpstr>
      <vt:lpstr>Res (100)</vt:lpstr>
      <vt:lpstr>Res (232)</vt:lpstr>
      <vt:lpstr>Res (250)</vt:lpstr>
      <vt:lpstr>Res (500)</vt:lpstr>
      <vt:lpstr>Res (620)</vt:lpstr>
      <vt:lpstr>Res (640)</vt:lpstr>
      <vt:lpstr>Res (750)</vt:lpstr>
      <vt:lpstr>Res (1000)</vt:lpstr>
      <vt:lpstr>Res (1500)</vt:lpstr>
      <vt:lpstr>Res (2000)</vt:lpstr>
      <vt:lpstr>SC (1000)</vt:lpstr>
      <vt:lpstr>SC (2000)</vt:lpstr>
      <vt:lpstr>SC (2400)</vt:lpstr>
      <vt:lpstr>SC (5000)</vt:lpstr>
      <vt:lpstr>SC (10000)</vt:lpstr>
      <vt:lpstr>SC (15000)</vt:lpstr>
      <vt:lpstr>&gt;50 (100)</vt:lpstr>
      <vt:lpstr>&gt;50 (185)</vt:lpstr>
      <vt:lpstr>&gt;50 (250)</vt:lpstr>
      <vt:lpstr>&gt;50 (250) 51,000</vt:lpstr>
      <vt:lpstr>&gt;50 (500)</vt:lpstr>
      <vt:lpstr>&gt;50 (1000)</vt:lpstr>
      <vt:lpstr>&gt;1500(1925)</vt:lpstr>
      <vt:lpstr>&gt;1500(2500)</vt:lpstr>
      <vt:lpstr>&gt;1500(4000)</vt:lpstr>
      <vt:lpstr>LU(7500)</vt:lpstr>
      <vt:lpstr>LU(7900)</vt:lpstr>
      <vt:lpstr>LU(10000)</vt:lpstr>
      <vt:lpstr>SN (.4)</vt:lpstr>
      <vt:lpstr>StLght(1)</vt:lpstr>
      <vt:lpstr>StLght(50)</vt:lpstr>
      <vt:lpstr>StLght (4910)</vt:lpstr>
      <vt:lpstr>USL (470)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Ladouceur, Melissa</dc:creator>
  <cp:lastModifiedBy>Thompson, Shayne</cp:lastModifiedBy>
  <dcterms:created xsi:type="dcterms:W3CDTF">2025-01-31T14:02:41Z</dcterms:created>
  <dcterms:modified xsi:type="dcterms:W3CDTF">2025-11-18T17:58:32Z</dcterms:modified>
</cp:coreProperties>
</file>