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G:\Regulatory\2026 Cost of Service EB-2025-0044\10 Interrogatory Responses\Attachments\1-SEC-2\"/>
    </mc:Choice>
  </mc:AlternateContent>
  <xr:revisionPtr revIDLastSave="0" documentId="13_ncr:1_{29F7558D-3259-453D-9354-7B31C32F9CC8}" xr6:coauthVersionLast="47" xr6:coauthVersionMax="47" xr10:uidLastSave="{00000000-0000-0000-0000-000000000000}"/>
  <bookViews>
    <workbookView xWindow="-120" yWindow="-120" windowWidth="29040" windowHeight="15720" activeTab="2" xr2:uid="{934488DD-10D2-421B-BD35-06EDBBD6B16A}"/>
  </bookViews>
  <sheets>
    <sheet name="App.2-BA" sheetId="2" r:id="rId1"/>
    <sheet name="App.2-K" sheetId="3" r:id="rId2"/>
    <sheet name="App.2-AA" sheetId="4" r:id="rId3"/>
    <sheet name="App.2-AB" sheetId="5" r:id="rId4"/>
    <sheet name="App.2-JA" sheetId="6" r:id="rId5"/>
    <sheet name="App.2-JB" sheetId="7" r:id="rId6"/>
    <sheet name="App.2-JC" sheetId="8" r:id="rId7"/>
  </sheets>
  <definedNames>
    <definedName name="_Parse_Out" hidden="1">#REF!</definedName>
    <definedName name="ApprovedYr">#REF!</definedName>
    <definedName name="AS2DocOpenMode" hidden="1">"AS2DocumentEdit"</definedName>
    <definedName name="BI_LDCLIST">#REF!</definedName>
    <definedName name="Bridge_Year">#REF!</definedName>
    <definedName name="BridgeYear">#REF!</definedName>
    <definedName name="Cash">#REF!</definedName>
    <definedName name="contactf">#REF!</definedName>
    <definedName name="CRLF">#REF!</definedName>
    <definedName name="CustomerAdministration">#REF!</definedName>
    <definedName name="EBNUMBER">#REF!</definedName>
    <definedName name="Fixed_Charges">#REF!</definedName>
    <definedName name="histdate">#REF!</definedName>
    <definedName name="Incr2000">#REF!</definedName>
    <definedName name="Last_Rebasing_Year">#REF!</definedName>
    <definedName name="LDC_LIST">#REF!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4">'App.2-JA'!$B$1:$P$30</definedName>
    <definedName name="_xlnm.Print_Area" localSheetId="5">'App.2-JB'!$B$1:$M$47</definedName>
    <definedName name="_xlnm.Print_Area" localSheetId="6">'App.2-JC'!$A$1:$S$58</definedName>
    <definedName name="print_end">#REF!</definedName>
    <definedName name="_xlnm.Print_Titles" localSheetId="5">'App.2-JB'!$10:$15</definedName>
    <definedName name="Rate_Class">#REF!</definedName>
    <definedName name="RATE_CLASSES">#REF!</definedName>
    <definedName name="ratedescription">#REF!</definedName>
    <definedName name="RebaseYear">#REF!</definedName>
    <definedName name="RebaseYear_1">#REF!</definedName>
    <definedName name="RenameBridge">#REF!</definedName>
    <definedName name="RenameRebase">#REF!</definedName>
    <definedName name="RenameTest">#REF!</definedName>
    <definedName name="RMpilsVer">#REF!</definedName>
    <definedName name="RMversion">#REF!</definedName>
    <definedName name="SALBENF">#REF!</definedName>
    <definedName name="salreg">#REF!</definedName>
    <definedName name="SALREGF">#REF!</definedName>
    <definedName name="TableName">"Dummy"</definedName>
    <definedName name="TEMPA">#REF!</definedName>
    <definedName name="Test_Year">#REF!</definedName>
    <definedName name="TestYear">#REF!</definedName>
    <definedName name="TestYr">#REF!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#REF!</definedName>
    <definedName name="utitliy1">#REF!</definedName>
    <definedName name="valuevx">42.314159</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3" l="1"/>
  <c r="AO10" i="5" l="1"/>
  <c r="O5" i="6" l="1"/>
  <c r="O22" i="6" s="1"/>
  <c r="M7" i="6"/>
  <c r="M5" i="6"/>
  <c r="M22" i="6" s="1"/>
  <c r="K5" i="6"/>
  <c r="K22" i="6" s="1"/>
  <c r="O55" i="8"/>
  <c r="O7" i="6" s="1"/>
  <c r="O44" i="8"/>
  <c r="O8" i="6" s="1"/>
  <c r="O24" i="6" s="1"/>
  <c r="O33" i="8"/>
  <c r="O12" i="6" s="1"/>
  <c r="O27" i="8"/>
  <c r="O13" i="6" s="1"/>
  <c r="O26" i="6" s="1"/>
  <c r="O23" i="8"/>
  <c r="M47" i="8"/>
  <c r="M55" i="8" s="1"/>
  <c r="M44" i="8"/>
  <c r="M8" i="6" s="1"/>
  <c r="M24" i="6" s="1"/>
  <c r="M33" i="8"/>
  <c r="M12" i="6" s="1"/>
  <c r="M25" i="6" s="1"/>
  <c r="M27" i="8"/>
  <c r="M13" i="6" s="1"/>
  <c r="M26" i="6" s="1"/>
  <c r="K55" i="8"/>
  <c r="K7" i="6" s="1"/>
  <c r="K44" i="8"/>
  <c r="K33" i="8"/>
  <c r="K12" i="6" s="1"/>
  <c r="K25" i="6" s="1"/>
  <c r="K27" i="8"/>
  <c r="K13" i="6" s="1"/>
  <c r="K26" i="6" s="1"/>
  <c r="S56" i="8"/>
  <c r="R56" i="8"/>
  <c r="S46" i="8"/>
  <c r="R46" i="8"/>
  <c r="S45" i="8"/>
  <c r="R45" i="8"/>
  <c r="N44" i="8"/>
  <c r="N8" i="6" s="1"/>
  <c r="N24" i="6" s="1"/>
  <c r="L44" i="8"/>
  <c r="L8" i="6" s="1"/>
  <c r="L24" i="6" s="1"/>
  <c r="S34" i="8"/>
  <c r="R34" i="8"/>
  <c r="S30" i="8"/>
  <c r="R30" i="8"/>
  <c r="N27" i="8"/>
  <c r="N13" i="6" s="1"/>
  <c r="N26" i="6" s="1"/>
  <c r="L27" i="8"/>
  <c r="L13" i="6" s="1"/>
  <c r="L26" i="6" s="1"/>
  <c r="J27" i="8"/>
  <c r="J13" i="6" s="1"/>
  <c r="I27" i="8"/>
  <c r="I13" i="6" s="1"/>
  <c r="S20" i="8"/>
  <c r="R20" i="8"/>
  <c r="S17" i="8"/>
  <c r="R17" i="8"/>
  <c r="S13" i="8"/>
  <c r="R13" i="8"/>
  <c r="H55" i="8"/>
  <c r="H7" i="6" s="1"/>
  <c r="G55" i="8"/>
  <c r="G7" i="6" s="1"/>
  <c r="F55" i="8"/>
  <c r="F7" i="6" s="1"/>
  <c r="E55" i="8"/>
  <c r="E7" i="6" s="1"/>
  <c r="D55" i="8"/>
  <c r="D7" i="6" s="1"/>
  <c r="C55" i="8"/>
  <c r="C7" i="6" s="1"/>
  <c r="C23" i="6" s="1"/>
  <c r="H44" i="8"/>
  <c r="H8" i="6" s="1"/>
  <c r="H24" i="6" s="1"/>
  <c r="F44" i="8"/>
  <c r="F8" i="6" s="1"/>
  <c r="F24" i="6" s="1"/>
  <c r="E44" i="8"/>
  <c r="E8" i="6" s="1"/>
  <c r="E24" i="6" s="1"/>
  <c r="D44" i="8"/>
  <c r="D8" i="6" s="1"/>
  <c r="D24" i="6" s="1"/>
  <c r="C44" i="8"/>
  <c r="C8" i="6" s="1"/>
  <c r="C24" i="6" s="1"/>
  <c r="G33" i="8"/>
  <c r="G12" i="6" s="1"/>
  <c r="G25" i="6" s="1"/>
  <c r="S32" i="8"/>
  <c r="C33" i="8"/>
  <c r="C12" i="6" s="1"/>
  <c r="F33" i="8"/>
  <c r="F12" i="6" s="1"/>
  <c r="E33" i="8"/>
  <c r="E12" i="6" s="1"/>
  <c r="D33" i="8"/>
  <c r="D12" i="6" s="1"/>
  <c r="H27" i="8"/>
  <c r="H13" i="6" s="1"/>
  <c r="H26" i="6" s="1"/>
  <c r="G27" i="8"/>
  <c r="G13" i="6" s="1"/>
  <c r="G26" i="6" s="1"/>
  <c r="C27" i="8"/>
  <c r="C13" i="6" s="1"/>
  <c r="C26" i="6" s="1"/>
  <c r="F27" i="8"/>
  <c r="F13" i="6" s="1"/>
  <c r="F26" i="6" s="1"/>
  <c r="E27" i="8"/>
  <c r="E13" i="6" s="1"/>
  <c r="E26" i="6" s="1"/>
  <c r="D27" i="8"/>
  <c r="D13" i="6" s="1"/>
  <c r="G23" i="8"/>
  <c r="G14" i="6" s="1"/>
  <c r="G27" i="6" s="1"/>
  <c r="S22" i="8"/>
  <c r="S19" i="8"/>
  <c r="H23" i="8"/>
  <c r="H14" i="6" s="1"/>
  <c r="H27" i="6" s="1"/>
  <c r="F23" i="8"/>
  <c r="F14" i="6" s="1"/>
  <c r="F27" i="6" s="1"/>
  <c r="E23" i="8"/>
  <c r="E14" i="6" s="1"/>
  <c r="E27" i="6" s="1"/>
  <c r="D23" i="8"/>
  <c r="D14" i="6" s="1"/>
  <c r="D27" i="6" s="1"/>
  <c r="C23" i="8"/>
  <c r="C14" i="6" s="1"/>
  <c r="Q22" i="6"/>
  <c r="P22" i="6"/>
  <c r="N22" i="6"/>
  <c r="L22" i="6"/>
  <c r="J22" i="6"/>
  <c r="I22" i="6"/>
  <c r="H22" i="6"/>
  <c r="G22" i="6"/>
  <c r="F22" i="6"/>
  <c r="E22" i="6"/>
  <c r="D22" i="6"/>
  <c r="C22" i="6"/>
  <c r="O57" i="8" l="1"/>
  <c r="O9" i="6"/>
  <c r="O23" i="6"/>
  <c r="M9" i="6"/>
  <c r="M23" i="6"/>
  <c r="O14" i="6"/>
  <c r="O27" i="6" s="1"/>
  <c r="K8" i="6"/>
  <c r="K24" i="6" s="1"/>
  <c r="O25" i="6"/>
  <c r="K23" i="6"/>
  <c r="M23" i="8"/>
  <c r="M14" i="6" s="1"/>
  <c r="M27" i="6" s="1"/>
  <c r="M28" i="6" s="1"/>
  <c r="K23" i="8"/>
  <c r="K14" i="6" s="1"/>
  <c r="K27" i="6" s="1"/>
  <c r="H9" i="6"/>
  <c r="C27" i="6"/>
  <c r="G15" i="6"/>
  <c r="I26" i="6"/>
  <c r="J26" i="6"/>
  <c r="C25" i="6"/>
  <c r="C15" i="6"/>
  <c r="C9" i="6"/>
  <c r="D9" i="6"/>
  <c r="D23" i="6"/>
  <c r="S50" i="8"/>
  <c r="R50" i="8"/>
  <c r="H23" i="6"/>
  <c r="F57" i="8"/>
  <c r="E9" i="6"/>
  <c r="E23" i="6"/>
  <c r="I55" i="8"/>
  <c r="I7" i="6" s="1"/>
  <c r="G23" i="6"/>
  <c r="F9" i="6"/>
  <c r="F23" i="6"/>
  <c r="J55" i="8"/>
  <c r="J7" i="6" s="1"/>
  <c r="G44" i="8"/>
  <c r="G8" i="6" s="1"/>
  <c r="G24" i="6" s="1"/>
  <c r="S38" i="8"/>
  <c r="R38" i="8"/>
  <c r="D25" i="6"/>
  <c r="D15" i="6"/>
  <c r="F25" i="6"/>
  <c r="F15" i="6"/>
  <c r="R22" i="8"/>
  <c r="S41" i="8"/>
  <c r="R41" i="8"/>
  <c r="Q55" i="8"/>
  <c r="Q7" i="6" s="1"/>
  <c r="S47" i="8"/>
  <c r="R47" i="8"/>
  <c r="S53" i="8"/>
  <c r="R53" i="8"/>
  <c r="P55" i="8"/>
  <c r="D26" i="6"/>
  <c r="I44" i="8"/>
  <c r="I8" i="6" s="1"/>
  <c r="I24" i="6" s="1"/>
  <c r="P44" i="8"/>
  <c r="E25" i="6"/>
  <c r="E15" i="6"/>
  <c r="J44" i="8"/>
  <c r="J8" i="6" s="1"/>
  <c r="J24" i="6" s="1"/>
  <c r="Q44" i="8"/>
  <c r="Q8" i="6" s="1"/>
  <c r="Q24" i="6" s="1"/>
  <c r="R32" i="8"/>
  <c r="H33" i="8"/>
  <c r="H12" i="6" s="1"/>
  <c r="R19" i="8"/>
  <c r="C57" i="8"/>
  <c r="P27" i="8"/>
  <c r="P13" i="6" s="1"/>
  <c r="P26" i="6" s="1"/>
  <c r="L55" i="8"/>
  <c r="L7" i="6" s="1"/>
  <c r="D57" i="8"/>
  <c r="Q27" i="8"/>
  <c r="Q13" i="6" s="1"/>
  <c r="Q26" i="6" s="1"/>
  <c r="N55" i="8"/>
  <c r="E57" i="8"/>
  <c r="I23" i="8"/>
  <c r="I14" i="6" s="1"/>
  <c r="I33" i="8"/>
  <c r="I12" i="6" s="1"/>
  <c r="R37" i="8"/>
  <c r="R40" i="8"/>
  <c r="R43" i="8"/>
  <c r="R49" i="8"/>
  <c r="R52" i="8"/>
  <c r="J23" i="8"/>
  <c r="J14" i="6" s="1"/>
  <c r="J33" i="8"/>
  <c r="J12" i="6" s="1"/>
  <c r="S37" i="8"/>
  <c r="S40" i="8"/>
  <c r="S43" i="8"/>
  <c r="S49" i="8"/>
  <c r="S52" i="8"/>
  <c r="R18" i="8"/>
  <c r="R21" i="8"/>
  <c r="L23" i="8"/>
  <c r="L14" i="6" s="1"/>
  <c r="L27" i="6" s="1"/>
  <c r="R26" i="8"/>
  <c r="R27" i="8" s="1"/>
  <c r="R31" i="8"/>
  <c r="L33" i="8"/>
  <c r="S18" i="8"/>
  <c r="S21" i="8"/>
  <c r="N23" i="8"/>
  <c r="N14" i="6" s="1"/>
  <c r="N27" i="6" s="1"/>
  <c r="S26" i="8"/>
  <c r="S27" i="8" s="1"/>
  <c r="S31" i="8"/>
  <c r="S33" i="8" s="1"/>
  <c r="N33" i="8"/>
  <c r="N12" i="6" s="1"/>
  <c r="P23" i="8"/>
  <c r="P33" i="8"/>
  <c r="P12" i="6" s="1"/>
  <c r="R36" i="8"/>
  <c r="R39" i="8"/>
  <c r="R42" i="8"/>
  <c r="R48" i="8"/>
  <c r="R51" i="8"/>
  <c r="R54" i="8"/>
  <c r="Q23" i="8"/>
  <c r="Q14" i="6" s="1"/>
  <c r="Q27" i="6" s="1"/>
  <c r="Q33" i="8"/>
  <c r="Q12" i="6" s="1"/>
  <c r="S36" i="8"/>
  <c r="S39" i="8"/>
  <c r="S42" i="8"/>
  <c r="S48" i="8"/>
  <c r="S51" i="8"/>
  <c r="S54" i="8"/>
  <c r="M15" i="6" l="1"/>
  <c r="M18" i="6" s="1"/>
  <c r="O28" i="6"/>
  <c r="O15" i="6"/>
  <c r="O18" i="6" s="1"/>
  <c r="K15" i="6"/>
  <c r="K9" i="6"/>
  <c r="K18" i="6" s="1"/>
  <c r="K28" i="6"/>
  <c r="K57" i="8"/>
  <c r="L12" i="6"/>
  <c r="L25" i="6" s="1"/>
  <c r="N7" i="6"/>
  <c r="N9" i="6" s="1"/>
  <c r="P7" i="6"/>
  <c r="P23" i="6" s="1"/>
  <c r="M57" i="8"/>
  <c r="P8" i="6"/>
  <c r="P24" i="6" s="1"/>
  <c r="P14" i="6"/>
  <c r="P27" i="6" s="1"/>
  <c r="S23" i="8"/>
  <c r="R33" i="8"/>
  <c r="H57" i="8"/>
  <c r="R44" i="8"/>
  <c r="R23" i="8"/>
  <c r="C18" i="6"/>
  <c r="C16" i="7" s="1"/>
  <c r="C58" i="8" s="1"/>
  <c r="C28" i="6"/>
  <c r="F10" i="6"/>
  <c r="J27" i="6"/>
  <c r="L57" i="8"/>
  <c r="I27" i="6"/>
  <c r="N15" i="6"/>
  <c r="N25" i="6"/>
  <c r="J9" i="6"/>
  <c r="J23" i="6"/>
  <c r="H15" i="6"/>
  <c r="H25" i="6"/>
  <c r="H28" i="6" s="1"/>
  <c r="G57" i="8"/>
  <c r="I57" i="8"/>
  <c r="D28" i="6"/>
  <c r="N57" i="8"/>
  <c r="E16" i="6"/>
  <c r="E18" i="6"/>
  <c r="G28" i="6"/>
  <c r="D10" i="6"/>
  <c r="S55" i="8"/>
  <c r="J15" i="6"/>
  <c r="J25" i="6"/>
  <c r="D18" i="6"/>
  <c r="D16" i="6"/>
  <c r="J57" i="8"/>
  <c r="P25" i="6"/>
  <c r="Q9" i="6"/>
  <c r="Q23" i="6"/>
  <c r="S44" i="8"/>
  <c r="Q15" i="6"/>
  <c r="Q25" i="6"/>
  <c r="P57" i="8"/>
  <c r="E28" i="6"/>
  <c r="L23" i="6"/>
  <c r="L9" i="6"/>
  <c r="E10" i="6"/>
  <c r="G9" i="6"/>
  <c r="F28" i="6"/>
  <c r="I9" i="6"/>
  <c r="I10" i="6" s="1"/>
  <c r="I23" i="6"/>
  <c r="F16" i="6"/>
  <c r="F18" i="6"/>
  <c r="I15" i="6"/>
  <c r="I25" i="6"/>
  <c r="Q57" i="8"/>
  <c r="R55" i="8"/>
  <c r="G16" i="6"/>
  <c r="N23" i="6" l="1"/>
  <c r="N28" i="6" s="1"/>
  <c r="L15" i="6"/>
  <c r="L18" i="6" s="1"/>
  <c r="P15" i="6"/>
  <c r="P16" i="6" s="1"/>
  <c r="P9" i="6"/>
  <c r="Q10" i="6" s="1"/>
  <c r="S57" i="8"/>
  <c r="S58" i="8" s="1"/>
  <c r="R57" i="8"/>
  <c r="R58" i="8" s="1"/>
  <c r="H29" i="6"/>
  <c r="D29" i="6"/>
  <c r="E29" i="6"/>
  <c r="J10" i="6"/>
  <c r="F29" i="6"/>
  <c r="F19" i="6"/>
  <c r="D19" i="6"/>
  <c r="N18" i="6"/>
  <c r="J28" i="6"/>
  <c r="P28" i="6"/>
  <c r="E19" i="6"/>
  <c r="I16" i="6"/>
  <c r="I18" i="6"/>
  <c r="Q17" i="6"/>
  <c r="Q18" i="6"/>
  <c r="J18" i="6"/>
  <c r="J16" i="6"/>
  <c r="G10" i="6"/>
  <c r="G18" i="6"/>
  <c r="H10" i="6"/>
  <c r="I28" i="6"/>
  <c r="I29" i="6" s="1"/>
  <c r="H16" i="6"/>
  <c r="H18" i="6"/>
  <c r="L10" i="6"/>
  <c r="Q28" i="6"/>
  <c r="G29" i="6"/>
  <c r="L28" i="6"/>
  <c r="Q11" i="6"/>
  <c r="N10" i="6"/>
  <c r="Q16" i="6" l="1"/>
  <c r="L16" i="6"/>
  <c r="N16" i="6"/>
  <c r="P10" i="6"/>
  <c r="P18" i="6"/>
  <c r="Q19" i="6" s="1"/>
  <c r="L29" i="6"/>
  <c r="N29" i="6"/>
  <c r="Q29" i="6"/>
  <c r="C47" i="7"/>
  <c r="P29" i="6"/>
  <c r="G19" i="6"/>
  <c r="N19" i="6"/>
  <c r="J19" i="6"/>
  <c r="H19" i="6"/>
  <c r="J29" i="6"/>
  <c r="I19" i="6"/>
  <c r="L19" i="6"/>
  <c r="P19" i="6" l="1"/>
  <c r="D16" i="7"/>
  <c r="D58" i="8" l="1"/>
  <c r="D47" i="7" l="1"/>
  <c r="E16" i="7" l="1"/>
  <c r="E58" i="8" l="1"/>
  <c r="E47" i="7" l="1"/>
  <c r="F16" i="7" l="1"/>
  <c r="F58" i="8" l="1"/>
  <c r="F47" i="7"/>
  <c r="G16" i="7" l="1"/>
  <c r="G58" i="8" l="1"/>
  <c r="G47" i="7" l="1"/>
  <c r="H16" i="7" l="1"/>
  <c r="H58" i="8" l="1"/>
  <c r="H47" i="7" l="1"/>
  <c r="I16" i="7" l="1"/>
  <c r="I47" i="7" l="1"/>
  <c r="J16" i="7" l="1"/>
  <c r="J47" i="7" l="1"/>
  <c r="K16" i="7" l="1"/>
  <c r="K47" i="7" l="1"/>
  <c r="L16" i="7" l="1"/>
  <c r="L47" i="7" l="1"/>
  <c r="M16" i="7" s="1"/>
  <c r="M47" i="7" l="1"/>
  <c r="R46" i="4" l="1"/>
  <c r="Q46" i="4"/>
  <c r="D46" i="4"/>
  <c r="C46" i="4"/>
  <c r="U44" i="4"/>
  <c r="U46" i="4" s="1"/>
  <c r="T44" i="4"/>
  <c r="T46" i="4" s="1"/>
  <c r="S44" i="4"/>
  <c r="S46" i="4" s="1"/>
  <c r="R44" i="4"/>
  <c r="Q44" i="4"/>
  <c r="P44" i="4"/>
  <c r="P46" i="4" s="1"/>
  <c r="O44" i="4"/>
  <c r="O46" i="4" s="1"/>
  <c r="N44" i="4"/>
  <c r="N46" i="4" s="1"/>
  <c r="M44" i="4"/>
  <c r="M46" i="4" s="1"/>
  <c r="L44" i="4"/>
  <c r="L46" i="4" s="1"/>
  <c r="K44" i="4"/>
  <c r="K46" i="4" s="1"/>
  <c r="J44" i="4"/>
  <c r="J46" i="4" s="1"/>
  <c r="I44" i="4"/>
  <c r="I46" i="4" s="1"/>
  <c r="H44" i="4"/>
  <c r="H46" i="4" s="1"/>
  <c r="G44" i="4"/>
  <c r="G46" i="4" s="1"/>
  <c r="F44" i="4"/>
  <c r="F46" i="4" s="1"/>
  <c r="E44" i="4"/>
  <c r="E46" i="4" s="1"/>
  <c r="D44" i="4"/>
  <c r="C44" i="4"/>
  <c r="B44" i="4"/>
  <c r="B46" i="4" s="1"/>
  <c r="T36" i="4"/>
  <c r="S36" i="4"/>
  <c r="R36" i="4"/>
  <c r="Q36" i="4"/>
  <c r="O36" i="4"/>
  <c r="F36" i="4"/>
  <c r="E36" i="4"/>
  <c r="D36" i="4"/>
  <c r="C36" i="4"/>
  <c r="B36" i="4"/>
  <c r="U34" i="4"/>
  <c r="U36" i="4" s="1"/>
  <c r="T34" i="4"/>
  <c r="S34" i="4"/>
  <c r="R34" i="4"/>
  <c r="Q34" i="4"/>
  <c r="P34" i="4"/>
  <c r="P36" i="4" s="1"/>
  <c r="O34" i="4"/>
  <c r="N34" i="4"/>
  <c r="N36" i="4" s="1"/>
  <c r="M34" i="4"/>
  <c r="M36" i="4" s="1"/>
  <c r="L34" i="4"/>
  <c r="L36" i="4" s="1"/>
  <c r="K34" i="4"/>
  <c r="K36" i="4" s="1"/>
  <c r="J34" i="4"/>
  <c r="J36" i="4" s="1"/>
  <c r="I34" i="4"/>
  <c r="I36" i="4" s="1"/>
  <c r="H34" i="4"/>
  <c r="H36" i="4" s="1"/>
  <c r="G34" i="4"/>
  <c r="G36" i="4" s="1"/>
  <c r="F34" i="4"/>
  <c r="E34" i="4"/>
  <c r="D34" i="4"/>
  <c r="C34" i="4"/>
  <c r="B34" i="4"/>
  <c r="R27" i="4"/>
  <c r="Q27" i="4"/>
  <c r="O27" i="4"/>
  <c r="O48" i="4" s="1"/>
  <c r="O50" i="4" s="1"/>
  <c r="N27" i="4"/>
  <c r="M27" i="4"/>
  <c r="D27" i="4"/>
  <c r="C27" i="4"/>
  <c r="U25" i="4"/>
  <c r="U27" i="4" s="1"/>
  <c r="T25" i="4"/>
  <c r="T27" i="4" s="1"/>
  <c r="S25" i="4"/>
  <c r="S27" i="4" s="1"/>
  <c r="R25" i="4"/>
  <c r="Q25" i="4"/>
  <c r="P25" i="4"/>
  <c r="P27" i="4" s="1"/>
  <c r="O25" i="4"/>
  <c r="N25" i="4"/>
  <c r="M25" i="4"/>
  <c r="L25" i="4"/>
  <c r="L27" i="4" s="1"/>
  <c r="K25" i="4"/>
  <c r="K27" i="4" s="1"/>
  <c r="J25" i="4"/>
  <c r="J27" i="4" s="1"/>
  <c r="I25" i="4"/>
  <c r="I27" i="4" s="1"/>
  <c r="H25" i="4"/>
  <c r="H27" i="4" s="1"/>
  <c r="G25" i="4"/>
  <c r="G27" i="4" s="1"/>
  <c r="F25" i="4"/>
  <c r="F27" i="4" s="1"/>
  <c r="E25" i="4"/>
  <c r="E27" i="4" s="1"/>
  <c r="D25" i="4"/>
  <c r="C25" i="4"/>
  <c r="B25" i="4"/>
  <c r="B27" i="4" s="1"/>
  <c r="O15" i="4"/>
  <c r="N15" i="4"/>
  <c r="M15" i="4"/>
  <c r="L15" i="4"/>
  <c r="K15" i="4"/>
  <c r="B15" i="4"/>
  <c r="U13" i="4"/>
  <c r="T13" i="4"/>
  <c r="S13" i="4"/>
  <c r="S15" i="4" s="1"/>
  <c r="R13" i="4"/>
  <c r="R15" i="4" s="1"/>
  <c r="Q13" i="4"/>
  <c r="Q15" i="4" s="1"/>
  <c r="P13" i="4"/>
  <c r="P15" i="4" s="1"/>
  <c r="O13" i="4"/>
  <c r="N13" i="4"/>
  <c r="M13" i="4"/>
  <c r="L13" i="4"/>
  <c r="K13" i="4"/>
  <c r="J13" i="4"/>
  <c r="I13" i="4"/>
  <c r="H13" i="4"/>
  <c r="H15" i="4" s="1"/>
  <c r="G13" i="4"/>
  <c r="F13" i="4"/>
  <c r="E13" i="4"/>
  <c r="E15" i="4" s="1"/>
  <c r="D13" i="4"/>
  <c r="D15" i="4" s="1"/>
  <c r="C13" i="4"/>
  <c r="C15" i="4" s="1"/>
  <c r="B13" i="4"/>
  <c r="U5" i="4"/>
  <c r="T5" i="4"/>
  <c r="S5" i="4"/>
  <c r="R5" i="4"/>
  <c r="Q5" i="4"/>
  <c r="M5" i="4"/>
  <c r="L5" i="4" s="1"/>
  <c r="K5" i="4" s="1"/>
  <c r="J5" i="4" s="1"/>
  <c r="I5" i="4" s="1"/>
  <c r="H5" i="4" s="1"/>
  <c r="G5" i="4" s="1"/>
  <c r="F5" i="4" s="1"/>
  <c r="E5" i="4" s="1"/>
  <c r="D5" i="4" s="1"/>
  <c r="C5" i="4" s="1"/>
  <c r="B5" i="4" s="1"/>
  <c r="AR17" i="5"/>
  <c r="AT17" i="5" s="1"/>
  <c r="AO17" i="5"/>
  <c r="AQ17" i="5" s="1"/>
  <c r="AL17" i="5"/>
  <c r="AN17" i="5" s="1"/>
  <c r="AK17" i="5"/>
  <c r="AH17" i="5"/>
  <c r="AE17" i="5"/>
  <c r="AB17" i="5"/>
  <c r="Y17" i="5"/>
  <c r="V17" i="5"/>
  <c r="S17" i="5"/>
  <c r="AT14" i="5"/>
  <c r="AR14" i="5"/>
  <c r="AO14" i="5"/>
  <c r="AL14" i="5"/>
  <c r="AK14" i="5"/>
  <c r="AH14" i="5"/>
  <c r="AE14" i="5"/>
  <c r="AB14" i="5"/>
  <c r="Y14" i="5"/>
  <c r="V14" i="5"/>
  <c r="S14" i="5"/>
  <c r="P14" i="5"/>
  <c r="M14" i="5"/>
  <c r="J14" i="5"/>
  <c r="G14" i="5"/>
  <c r="D14" i="5"/>
  <c r="AI13" i="5"/>
  <c r="AI15" i="5" s="1"/>
  <c r="AF13" i="5"/>
  <c r="AF15" i="5" s="1"/>
  <c r="AC13" i="5"/>
  <c r="AC15" i="5" s="1"/>
  <c r="Z13" i="5"/>
  <c r="Z15" i="5" s="1"/>
  <c r="W13" i="5"/>
  <c r="W15" i="5" s="1"/>
  <c r="T13" i="5"/>
  <c r="T15" i="5" s="1"/>
  <c r="Q13" i="5"/>
  <c r="Q15" i="5" s="1"/>
  <c r="N13" i="5"/>
  <c r="N15" i="5" s="1"/>
  <c r="K13" i="5"/>
  <c r="K15" i="5" s="1"/>
  <c r="H13" i="5"/>
  <c r="H15" i="5" s="1"/>
  <c r="E13" i="5"/>
  <c r="E15" i="5" s="1"/>
  <c r="B13" i="5"/>
  <c r="B15" i="5" s="1"/>
  <c r="AR12" i="5"/>
  <c r="AO12" i="5"/>
  <c r="AL12" i="5"/>
  <c r="AK12" i="5"/>
  <c r="AH12" i="5"/>
  <c r="AE12" i="5"/>
  <c r="AB12" i="5"/>
  <c r="Y12" i="5"/>
  <c r="V12" i="5"/>
  <c r="S12" i="5"/>
  <c r="P12" i="5"/>
  <c r="M12" i="5"/>
  <c r="J12" i="5"/>
  <c r="G12" i="5"/>
  <c r="D12" i="5"/>
  <c r="AT11" i="5"/>
  <c r="AR11" i="5"/>
  <c r="AO11" i="5"/>
  <c r="AL11" i="5"/>
  <c r="AK11" i="5"/>
  <c r="AG13" i="5"/>
  <c r="AD13" i="5"/>
  <c r="AB11" i="5"/>
  <c r="Y11" i="5"/>
  <c r="V11" i="5"/>
  <c r="S11" i="5"/>
  <c r="P11" i="5"/>
  <c r="M11" i="5"/>
  <c r="J11" i="5"/>
  <c r="G11" i="5"/>
  <c r="D11" i="5"/>
  <c r="AW13" i="5"/>
  <c r="AW15" i="5" s="1"/>
  <c r="AV13" i="5"/>
  <c r="AV15" i="5" s="1"/>
  <c r="AR10" i="5"/>
  <c r="AL10" i="5"/>
  <c r="AH10" i="5"/>
  <c r="AE10" i="5"/>
  <c r="AB10" i="5"/>
  <c r="Y10" i="5"/>
  <c r="V10" i="5"/>
  <c r="S10" i="5"/>
  <c r="P10" i="5"/>
  <c r="M10" i="5"/>
  <c r="J10" i="5"/>
  <c r="G10" i="5"/>
  <c r="AR9" i="5"/>
  <c r="AO9" i="5"/>
  <c r="AL9" i="5"/>
  <c r="AK9" i="5"/>
  <c r="AH9" i="5"/>
  <c r="AE9" i="5"/>
  <c r="P9" i="5"/>
  <c r="M9" i="5"/>
  <c r="G9" i="5"/>
  <c r="D9" i="5"/>
  <c r="A4" i="5"/>
  <c r="AU6" i="5" s="1"/>
  <c r="R20" i="3"/>
  <c r="Q20" i="3"/>
  <c r="O20" i="3"/>
  <c r="M20" i="3"/>
  <c r="K20" i="3"/>
  <c r="J20" i="3"/>
  <c r="I20" i="3"/>
  <c r="H20" i="3"/>
  <c r="G20" i="3"/>
  <c r="F20" i="3"/>
  <c r="E20" i="3"/>
  <c r="D20" i="3"/>
  <c r="R17" i="3"/>
  <c r="Q17" i="3"/>
  <c r="P17" i="3"/>
  <c r="O17" i="3"/>
  <c r="N17" i="3"/>
  <c r="M17" i="3"/>
  <c r="L17" i="3"/>
  <c r="K17" i="3"/>
  <c r="J17" i="3"/>
  <c r="I17" i="3"/>
  <c r="H17" i="3"/>
  <c r="G17" i="3"/>
  <c r="F17" i="3"/>
  <c r="E17" i="3"/>
  <c r="D17" i="3"/>
  <c r="R13" i="3"/>
  <c r="Q13" i="3"/>
  <c r="P13" i="3"/>
  <c r="O13" i="3"/>
  <c r="N13" i="3"/>
  <c r="M13" i="3"/>
  <c r="L13" i="3"/>
  <c r="K13" i="3"/>
  <c r="J13" i="3"/>
  <c r="I13" i="3"/>
  <c r="H13" i="3"/>
  <c r="G13" i="3"/>
  <c r="F13" i="3"/>
  <c r="E13" i="3"/>
  <c r="D13" i="3"/>
  <c r="R9" i="3"/>
  <c r="Q9" i="3"/>
  <c r="P9" i="3"/>
  <c r="O9" i="3"/>
  <c r="N9" i="3"/>
  <c r="M9" i="3"/>
  <c r="L9" i="3"/>
  <c r="K9" i="3"/>
  <c r="J9" i="3"/>
  <c r="I9" i="3"/>
  <c r="H9" i="3"/>
  <c r="G9" i="3"/>
  <c r="F9" i="3"/>
  <c r="E9" i="3"/>
  <c r="D9" i="3"/>
  <c r="R5" i="3"/>
  <c r="Q5" i="3"/>
  <c r="P5" i="3"/>
  <c r="O5" i="3"/>
  <c r="N5" i="3"/>
  <c r="M5" i="3"/>
  <c r="L5" i="3"/>
  <c r="K5" i="3"/>
  <c r="J5" i="3"/>
  <c r="I5" i="3"/>
  <c r="H5" i="3"/>
  <c r="G5" i="3"/>
  <c r="F5" i="3"/>
  <c r="E5" i="3"/>
  <c r="D5" i="3"/>
  <c r="AA13" i="5" l="1"/>
  <c r="AQ9" i="5"/>
  <c r="R13" i="5"/>
  <c r="R15" i="5" s="1"/>
  <c r="S15" i="5" s="1"/>
  <c r="AQ14" i="5"/>
  <c r="L48" i="4"/>
  <c r="L50" i="4" s="1"/>
  <c r="P48" i="4"/>
  <c r="P50" i="4" s="1"/>
  <c r="D48" i="4"/>
  <c r="D50" i="4" s="1"/>
  <c r="B48" i="4"/>
  <c r="B50" i="4" s="1"/>
  <c r="K48" i="4"/>
  <c r="K50" i="4" s="1"/>
  <c r="M48" i="4"/>
  <c r="M50" i="4" s="1"/>
  <c r="N48" i="4"/>
  <c r="N50" i="4" s="1"/>
  <c r="E48" i="4"/>
  <c r="E50" i="4" s="1"/>
  <c r="AT9" i="5"/>
  <c r="AX13" i="5"/>
  <c r="AX15" i="5" s="1"/>
  <c r="AY13" i="5"/>
  <c r="AY15" i="5" s="1"/>
  <c r="AN12" i="5"/>
  <c r="U13" i="5"/>
  <c r="X13" i="5"/>
  <c r="AN11" i="5"/>
  <c r="AQ12" i="5"/>
  <c r="AQ11" i="5"/>
  <c r="AT12" i="5"/>
  <c r="C13" i="5"/>
  <c r="D13" i="5" s="1"/>
  <c r="AR13" i="5"/>
  <c r="AR15" i="5" s="1"/>
  <c r="AJ13" i="5"/>
  <c r="AJ15" i="5" s="1"/>
  <c r="AK15" i="5" s="1"/>
  <c r="AN10" i="5"/>
  <c r="AQ10" i="5"/>
  <c r="AL13" i="5"/>
  <c r="AL15" i="5" s="1"/>
  <c r="AM13" i="5"/>
  <c r="AT10" i="5"/>
  <c r="AN14" i="5"/>
  <c r="I13" i="5"/>
  <c r="AO13" i="5"/>
  <c r="AO15" i="5" s="1"/>
  <c r="AU13" i="5"/>
  <c r="AU15" i="5" s="1"/>
  <c r="C48" i="4"/>
  <c r="C50" i="4" s="1"/>
  <c r="Q48" i="4"/>
  <c r="Q50" i="4" s="1"/>
  <c r="R48" i="4"/>
  <c r="R50" i="4" s="1"/>
  <c r="S48" i="4"/>
  <c r="S50" i="4" s="1"/>
  <c r="F15" i="4"/>
  <c r="F48" i="4" s="1"/>
  <c r="F50" i="4" s="1"/>
  <c r="T15" i="4"/>
  <c r="T48" i="4" s="1"/>
  <c r="T50" i="4" s="1"/>
  <c r="G15" i="4"/>
  <c r="G48" i="4" s="1"/>
  <c r="G50" i="4" s="1"/>
  <c r="U15" i="4"/>
  <c r="U48" i="4" s="1"/>
  <c r="U50" i="4" s="1"/>
  <c r="H48" i="4"/>
  <c r="H50" i="4" s="1"/>
  <c r="I15" i="4"/>
  <c r="I48" i="4" s="1"/>
  <c r="I50" i="4" s="1"/>
  <c r="J15" i="4"/>
  <c r="J48" i="4" s="1"/>
  <c r="J50" i="4" s="1"/>
  <c r="U15" i="5"/>
  <c r="V15" i="5" s="1"/>
  <c r="V13" i="5"/>
  <c r="Y13" i="5"/>
  <c r="X15" i="5"/>
  <c r="Y15" i="5" s="1"/>
  <c r="AD15" i="5"/>
  <c r="AE15" i="5" s="1"/>
  <c r="AE13" i="5"/>
  <c r="AA15" i="5"/>
  <c r="AB15" i="5" s="1"/>
  <c r="AB13" i="5"/>
  <c r="C15" i="5"/>
  <c r="D15" i="5" s="1"/>
  <c r="AG15" i="5"/>
  <c r="AH15" i="5" s="1"/>
  <c r="AH13" i="5"/>
  <c r="AU20" i="5"/>
  <c r="AV20" i="5" s="1"/>
  <c r="AW20" i="5" s="1"/>
  <c r="AX20" i="5" s="1"/>
  <c r="AY20" i="5" s="1"/>
  <c r="AV6" i="5"/>
  <c r="AW6" i="5" s="1"/>
  <c r="AX6" i="5" s="1"/>
  <c r="AY6" i="5" s="1"/>
  <c r="AM15" i="5"/>
  <c r="I15" i="5"/>
  <c r="J15" i="5" s="1"/>
  <c r="J13" i="5"/>
  <c r="D10" i="5"/>
  <c r="AH11" i="5"/>
  <c r="AS13" i="5"/>
  <c r="Y9" i="5"/>
  <c r="AP13" i="5"/>
  <c r="O13" i="5"/>
  <c r="V9" i="5"/>
  <c r="S9" i="5"/>
  <c r="AN9" i="5"/>
  <c r="AB9" i="5"/>
  <c r="AK10" i="5"/>
  <c r="AE11" i="5"/>
  <c r="J9" i="5"/>
  <c r="L13" i="5"/>
  <c r="F13" i="5"/>
  <c r="I245" i="2"/>
  <c r="M244" i="2"/>
  <c r="H245" i="2"/>
  <c r="M242" i="2"/>
  <c r="G242" i="2"/>
  <c r="M241" i="2"/>
  <c r="G241" i="2"/>
  <c r="L240" i="2"/>
  <c r="L243" i="2" s="1"/>
  <c r="L245" i="2" s="1"/>
  <c r="F240" i="2"/>
  <c r="F243" i="2" s="1"/>
  <c r="F245" i="2" s="1"/>
  <c r="M239" i="2"/>
  <c r="G239" i="2"/>
  <c r="M238" i="2"/>
  <c r="L253" i="2"/>
  <c r="G238" i="2"/>
  <c r="M237" i="2"/>
  <c r="G237" i="2"/>
  <c r="M236" i="2"/>
  <c r="G236" i="2"/>
  <c r="M235" i="2"/>
  <c r="G235" i="2"/>
  <c r="M234" i="2"/>
  <c r="G234" i="2"/>
  <c r="M233" i="2"/>
  <c r="G233" i="2"/>
  <c r="M232" i="2"/>
  <c r="G232" i="2"/>
  <c r="M231" i="2"/>
  <c r="G231" i="2"/>
  <c r="M230" i="2"/>
  <c r="G230" i="2"/>
  <c r="M229" i="2"/>
  <c r="G229" i="2"/>
  <c r="M228" i="2"/>
  <c r="G228" i="2"/>
  <c r="M227" i="2"/>
  <c r="G227" i="2"/>
  <c r="M226" i="2"/>
  <c r="G226" i="2"/>
  <c r="M225" i="2"/>
  <c r="G225" i="2"/>
  <c r="M224" i="2"/>
  <c r="G224" i="2"/>
  <c r="M223" i="2"/>
  <c r="G223" i="2"/>
  <c r="M222" i="2"/>
  <c r="G222" i="2"/>
  <c r="M221" i="2"/>
  <c r="G221" i="2"/>
  <c r="M220" i="2"/>
  <c r="G220" i="2"/>
  <c r="M219" i="2"/>
  <c r="G219" i="2"/>
  <c r="M218" i="2"/>
  <c r="G218" i="2"/>
  <c r="M217" i="2"/>
  <c r="G217" i="2"/>
  <c r="M216" i="2"/>
  <c r="G216" i="2"/>
  <c r="M215" i="2"/>
  <c r="G215" i="2"/>
  <c r="M214" i="2"/>
  <c r="G214" i="2"/>
  <c r="M213" i="2"/>
  <c r="G213" i="2"/>
  <c r="M212" i="2"/>
  <c r="G212" i="2"/>
  <c r="M211" i="2"/>
  <c r="G211" i="2"/>
  <c r="M210" i="2"/>
  <c r="G210" i="2"/>
  <c r="M209" i="2"/>
  <c r="G209" i="2"/>
  <c r="M208" i="2"/>
  <c r="G208" i="2"/>
  <c r="M207" i="2"/>
  <c r="G207" i="2"/>
  <c r="M206" i="2"/>
  <c r="G206" i="2"/>
  <c r="M205" i="2"/>
  <c r="G205" i="2"/>
  <c r="M204" i="2"/>
  <c r="G204" i="2"/>
  <c r="M203" i="2"/>
  <c r="G203" i="2"/>
  <c r="M202" i="2"/>
  <c r="G202" i="2"/>
  <c r="M201" i="2"/>
  <c r="G201" i="2"/>
  <c r="K240" i="2"/>
  <c r="K243" i="2" s="1"/>
  <c r="K245" i="2" s="1"/>
  <c r="K247" i="2" s="1"/>
  <c r="M200" i="2"/>
  <c r="E240" i="2"/>
  <c r="E243" i="2" s="1"/>
  <c r="E245" i="2" s="1"/>
  <c r="G200" i="2"/>
  <c r="H195" i="2"/>
  <c r="E44" i="2"/>
  <c r="AN15" i="5" l="1"/>
  <c r="AN13" i="5"/>
  <c r="S13" i="5"/>
  <c r="AK13" i="5"/>
  <c r="AP15" i="5"/>
  <c r="AQ15" i="5" s="1"/>
  <c r="AQ13" i="5"/>
  <c r="AS15" i="5"/>
  <c r="AT15" i="5" s="1"/>
  <c r="AT13" i="5"/>
  <c r="F15" i="5"/>
  <c r="G15" i="5" s="1"/>
  <c r="G13" i="5"/>
  <c r="M13" i="5"/>
  <c r="L15" i="5"/>
  <c r="M15" i="5" s="1"/>
  <c r="AM19" i="5"/>
  <c r="AI6" i="5"/>
  <c r="O15" i="5"/>
  <c r="P15" i="5" s="1"/>
  <c r="P13" i="5"/>
  <c r="N242" i="2"/>
  <c r="N202" i="2"/>
  <c r="N206" i="2"/>
  <c r="N210" i="2"/>
  <c r="N214" i="2"/>
  <c r="N218" i="2"/>
  <c r="N222" i="2"/>
  <c r="N226" i="2"/>
  <c r="N230" i="2"/>
  <c r="N234" i="2"/>
  <c r="N238" i="2"/>
  <c r="N239" i="2"/>
  <c r="N212" i="2"/>
  <c r="N216" i="2"/>
  <c r="N220" i="2"/>
  <c r="N224" i="2"/>
  <c r="N236" i="2"/>
  <c r="N241" i="2"/>
  <c r="N233" i="2"/>
  <c r="N203" i="2"/>
  <c r="N207" i="2"/>
  <c r="N211" i="2"/>
  <c r="N219" i="2"/>
  <c r="N223" i="2"/>
  <c r="N227" i="2"/>
  <c r="N231" i="2"/>
  <c r="N235" i="2"/>
  <c r="N204" i="2"/>
  <c r="N208" i="2"/>
  <c r="N228" i="2"/>
  <c r="N201" i="2"/>
  <c r="N209" i="2"/>
  <c r="N217" i="2"/>
  <c r="N225" i="2"/>
  <c r="N229" i="2"/>
  <c r="N237" i="2"/>
  <c r="N221" i="2"/>
  <c r="N205" i="2"/>
  <c r="L254" i="2"/>
  <c r="N232" i="2"/>
  <c r="N215" i="2"/>
  <c r="N213" i="2"/>
  <c r="N200" i="2"/>
  <c r="L189" i="2"/>
  <c r="I181" i="2"/>
  <c r="M180" i="2"/>
  <c r="H181" i="2"/>
  <c r="M178" i="2"/>
  <c r="G178" i="2"/>
  <c r="M177" i="2"/>
  <c r="G177" i="2"/>
  <c r="L176" i="2"/>
  <c r="L179" i="2" s="1"/>
  <c r="L181" i="2" s="1"/>
  <c r="K176" i="2"/>
  <c r="K179" i="2" s="1"/>
  <c r="K181" i="2" s="1"/>
  <c r="K183" i="2" s="1"/>
  <c r="F176" i="2"/>
  <c r="F179" i="2" s="1"/>
  <c r="M174" i="2"/>
  <c r="G174" i="2"/>
  <c r="M172" i="2"/>
  <c r="G172" i="2"/>
  <c r="M170" i="2"/>
  <c r="G170" i="2"/>
  <c r="M162" i="2"/>
  <c r="G162" i="2"/>
  <c r="M160" i="2"/>
  <c r="G160" i="2"/>
  <c r="M159" i="2"/>
  <c r="G159" i="2"/>
  <c r="M155" i="2"/>
  <c r="G155" i="2"/>
  <c r="M153" i="2"/>
  <c r="G153" i="2"/>
  <c r="G152" i="2"/>
  <c r="M151" i="2"/>
  <c r="G151" i="2"/>
  <c r="M149" i="2"/>
  <c r="G149" i="2"/>
  <c r="M148" i="2"/>
  <c r="G148" i="2"/>
  <c r="M147" i="2"/>
  <c r="G147" i="2"/>
  <c r="M146" i="2"/>
  <c r="G146" i="2"/>
  <c r="M145" i="2"/>
  <c r="G145" i="2"/>
  <c r="M144" i="2"/>
  <c r="G144" i="2"/>
  <c r="M142" i="2"/>
  <c r="G142" i="2"/>
  <c r="M139" i="2"/>
  <c r="G139" i="2"/>
  <c r="G138" i="2"/>
  <c r="M136" i="2"/>
  <c r="E176" i="2"/>
  <c r="E179" i="2" s="1"/>
  <c r="E181" i="2" s="1"/>
  <c r="G136" i="2"/>
  <c r="H131" i="2"/>
  <c r="L125" i="2"/>
  <c r="I117" i="2"/>
  <c r="M116" i="2"/>
  <c r="H117" i="2"/>
  <c r="M114" i="2"/>
  <c r="G114" i="2"/>
  <c r="M113" i="2"/>
  <c r="G113" i="2"/>
  <c r="L112" i="2"/>
  <c r="L115" i="2" s="1"/>
  <c r="L117" i="2" s="1"/>
  <c r="K112" i="2"/>
  <c r="K115" i="2" s="1"/>
  <c r="K117" i="2" s="1"/>
  <c r="K119" i="2" s="1"/>
  <c r="E112" i="2"/>
  <c r="E115" i="2" s="1"/>
  <c r="E117" i="2" s="1"/>
  <c r="M110" i="2"/>
  <c r="G110" i="2"/>
  <c r="M108" i="2"/>
  <c r="G108" i="2"/>
  <c r="M107" i="2"/>
  <c r="M171" i="2" s="1"/>
  <c r="M106" i="2"/>
  <c r="G106" i="2"/>
  <c r="M103" i="2"/>
  <c r="M167" i="2" s="1"/>
  <c r="M98" i="2"/>
  <c r="G98" i="2"/>
  <c r="M96" i="2"/>
  <c r="G96" i="2"/>
  <c r="M95" i="2"/>
  <c r="G95" i="2"/>
  <c r="G94" i="2"/>
  <c r="M91" i="2"/>
  <c r="G91" i="2"/>
  <c r="M90" i="2"/>
  <c r="M154" i="2" s="1"/>
  <c r="G90" i="2"/>
  <c r="M89" i="2"/>
  <c r="G89" i="2"/>
  <c r="G88" i="2"/>
  <c r="M87" i="2"/>
  <c r="G87" i="2"/>
  <c r="M86" i="2"/>
  <c r="M150" i="2" s="1"/>
  <c r="M85" i="2"/>
  <c r="G85" i="2"/>
  <c r="M84" i="2"/>
  <c r="G84" i="2"/>
  <c r="M83" i="2"/>
  <c r="G83" i="2"/>
  <c r="M82" i="2"/>
  <c r="G82" i="2"/>
  <c r="M81" i="2"/>
  <c r="G81" i="2"/>
  <c r="M80" i="2"/>
  <c r="F112" i="2"/>
  <c r="F115" i="2" s="1"/>
  <c r="F117" i="2" s="1"/>
  <c r="G80" i="2"/>
  <c r="M79" i="2"/>
  <c r="M143" i="2" s="1"/>
  <c r="G79" i="2"/>
  <c r="M78" i="2"/>
  <c r="G78" i="2"/>
  <c r="G76" i="2"/>
  <c r="G140" i="2" s="1"/>
  <c r="M75" i="2"/>
  <c r="G75" i="2"/>
  <c r="G74" i="2"/>
  <c r="M72" i="2"/>
  <c r="G72" i="2"/>
  <c r="H67" i="2"/>
  <c r="L61" i="2"/>
  <c r="I53" i="2"/>
  <c r="M52" i="2"/>
  <c r="H53" i="2"/>
  <c r="G52" i="2"/>
  <c r="M50" i="2"/>
  <c r="G50" i="2"/>
  <c r="M49" i="2"/>
  <c r="G49" i="2"/>
  <c r="K48" i="2"/>
  <c r="K51" i="2" s="1"/>
  <c r="K53" i="2" s="1"/>
  <c r="K55" i="2" s="1"/>
  <c r="M47" i="2"/>
  <c r="M111" i="2" s="1"/>
  <c r="M175" i="2" s="1"/>
  <c r="G47" i="2"/>
  <c r="M46" i="2"/>
  <c r="G46" i="2"/>
  <c r="N46" i="2" s="1"/>
  <c r="M45" i="2"/>
  <c r="M109" i="2" s="1"/>
  <c r="M173" i="2" s="1"/>
  <c r="G45" i="2"/>
  <c r="G109" i="2" s="1"/>
  <c r="M44" i="2"/>
  <c r="G44" i="2"/>
  <c r="M43" i="2"/>
  <c r="G43" i="2"/>
  <c r="M42" i="2"/>
  <c r="G42" i="2"/>
  <c r="M41" i="2"/>
  <c r="M105" i="2" s="1"/>
  <c r="M169" i="2" s="1"/>
  <c r="G41" i="2"/>
  <c r="M40" i="2"/>
  <c r="M104" i="2" s="1"/>
  <c r="M168" i="2" s="1"/>
  <c r="G40" i="2"/>
  <c r="M39" i="2"/>
  <c r="G39" i="2"/>
  <c r="M38" i="2"/>
  <c r="M102" i="2" s="1"/>
  <c r="M166" i="2" s="1"/>
  <c r="G38" i="2"/>
  <c r="M37" i="2"/>
  <c r="M101" i="2" s="1"/>
  <c r="M165" i="2" s="1"/>
  <c r="G37" i="2"/>
  <c r="M36" i="2"/>
  <c r="M100" i="2" s="1"/>
  <c r="M164" i="2" s="1"/>
  <c r="G36" i="2"/>
  <c r="M35" i="2"/>
  <c r="M99" i="2" s="1"/>
  <c r="M163" i="2" s="1"/>
  <c r="G35" i="2"/>
  <c r="M34" i="2"/>
  <c r="G34" i="2"/>
  <c r="M33" i="2"/>
  <c r="M97" i="2" s="1"/>
  <c r="M161" i="2" s="1"/>
  <c r="G33" i="2"/>
  <c r="M32" i="2"/>
  <c r="G32" i="2"/>
  <c r="M31" i="2"/>
  <c r="G31" i="2"/>
  <c r="M30" i="2"/>
  <c r="M94" i="2" s="1"/>
  <c r="M158" i="2" s="1"/>
  <c r="G30" i="2"/>
  <c r="M29" i="2"/>
  <c r="M93" i="2" s="1"/>
  <c r="M157" i="2" s="1"/>
  <c r="G29" i="2"/>
  <c r="G93" i="2" s="1"/>
  <c r="M28" i="2"/>
  <c r="M92" i="2" s="1"/>
  <c r="M156" i="2" s="1"/>
  <c r="G28" i="2"/>
  <c r="M27" i="2"/>
  <c r="G27" i="2"/>
  <c r="M26" i="2"/>
  <c r="G26" i="2"/>
  <c r="M25" i="2"/>
  <c r="G25" i="2"/>
  <c r="M24" i="2"/>
  <c r="M88" i="2" s="1"/>
  <c r="G24" i="2"/>
  <c r="M23" i="2"/>
  <c r="G23" i="2"/>
  <c r="M22" i="2"/>
  <c r="G22" i="2"/>
  <c r="M21" i="2"/>
  <c r="G21" i="2"/>
  <c r="M20" i="2"/>
  <c r="G20" i="2"/>
  <c r="M19" i="2"/>
  <c r="G19" i="2"/>
  <c r="M18" i="2"/>
  <c r="G18" i="2"/>
  <c r="M17" i="2"/>
  <c r="G17" i="2"/>
  <c r="M16" i="2"/>
  <c r="G16" i="2"/>
  <c r="M15" i="2"/>
  <c r="G15" i="2"/>
  <c r="M14" i="2"/>
  <c r="E48" i="2"/>
  <c r="E51" i="2" s="1"/>
  <c r="E53" i="2" s="1"/>
  <c r="M13" i="2"/>
  <c r="M77" i="2" s="1"/>
  <c r="M141" i="2" s="1"/>
  <c r="G13" i="2"/>
  <c r="M12" i="2"/>
  <c r="M76" i="2" s="1"/>
  <c r="G12" i="2"/>
  <c r="L48" i="2"/>
  <c r="L51" i="2" s="1"/>
  <c r="L53" i="2" s="1"/>
  <c r="M11" i="2"/>
  <c r="G11" i="2"/>
  <c r="M10" i="2"/>
  <c r="M74" i="2" s="1"/>
  <c r="M138" i="2" s="1"/>
  <c r="F48" i="2"/>
  <c r="F51" i="2" s="1"/>
  <c r="F53" i="2" s="1"/>
  <c r="M9" i="2"/>
  <c r="M73" i="2" s="1"/>
  <c r="M137" i="2" s="1"/>
  <c r="G9" i="2"/>
  <c r="M8" i="2"/>
  <c r="G8" i="2"/>
  <c r="D48" i="2"/>
  <c r="D51" i="2" s="1"/>
  <c r="M7" i="2"/>
  <c r="G7" i="2"/>
  <c r="H3" i="2"/>
  <c r="AJ19" i="5" l="1"/>
  <c r="AF6" i="5"/>
  <c r="N91" i="2"/>
  <c r="N38" i="2"/>
  <c r="N114" i="2"/>
  <c r="L126" i="2"/>
  <c r="N170" i="2"/>
  <c r="N113" i="2"/>
  <c r="N7" i="2"/>
  <c r="N178" i="2"/>
  <c r="N52" i="2"/>
  <c r="N83" i="2"/>
  <c r="N98" i="2"/>
  <c r="N139" i="2"/>
  <c r="N155" i="2"/>
  <c r="L190" i="2"/>
  <c r="N31" i="2"/>
  <c r="N35" i="2"/>
  <c r="N39" i="2"/>
  <c r="N43" i="2"/>
  <c r="N9" i="2"/>
  <c r="N20" i="2"/>
  <c r="N24" i="2"/>
  <c r="N28" i="2"/>
  <c r="N36" i="2"/>
  <c r="N40" i="2"/>
  <c r="N13" i="2"/>
  <c r="N17" i="2"/>
  <c r="N12" i="2"/>
  <c r="H176" i="2"/>
  <c r="N177" i="2"/>
  <c r="N136" i="2"/>
  <c r="N49" i="2"/>
  <c r="H112" i="2"/>
  <c r="N85" i="2"/>
  <c r="N147" i="2"/>
  <c r="G116" i="2"/>
  <c r="N116" i="2" s="1"/>
  <c r="N50" i="2"/>
  <c r="N8" i="2"/>
  <c r="N15" i="2"/>
  <c r="N22" i="2"/>
  <c r="N26" i="2"/>
  <c r="N30" i="2"/>
  <c r="N34" i="2"/>
  <c r="N42" i="2"/>
  <c r="N87" i="2"/>
  <c r="N146" i="2"/>
  <c r="N162" i="2"/>
  <c r="N151" i="2"/>
  <c r="N172" i="2"/>
  <c r="N159" i="2"/>
  <c r="N153" i="2"/>
  <c r="F181" i="2"/>
  <c r="N144" i="2"/>
  <c r="N148" i="2"/>
  <c r="N138" i="2"/>
  <c r="N142" i="2"/>
  <c r="N75" i="2"/>
  <c r="N80" i="2"/>
  <c r="N108" i="2"/>
  <c r="N95" i="2"/>
  <c r="N90" i="2"/>
  <c r="N72" i="2"/>
  <c r="N78" i="2"/>
  <c r="N96" i="2"/>
  <c r="N110" i="2"/>
  <c r="N84" i="2"/>
  <c r="N82" i="2"/>
  <c r="N106" i="2"/>
  <c r="M48" i="2"/>
  <c r="M51" i="2" s="1"/>
  <c r="M53" i="2" s="1"/>
  <c r="N19" i="2"/>
  <c r="N32" i="2"/>
  <c r="N44" i="2"/>
  <c r="L62" i="2"/>
  <c r="N27" i="2"/>
  <c r="N33" i="2"/>
  <c r="N37" i="2"/>
  <c r="N41" i="2"/>
  <c r="G97" i="2"/>
  <c r="N97" i="2" s="1"/>
  <c r="G77" i="2"/>
  <c r="N77" i="2" s="1"/>
  <c r="N21" i="2"/>
  <c r="N18" i="2"/>
  <c r="N23" i="2"/>
  <c r="N45" i="2"/>
  <c r="G141" i="2"/>
  <c r="N141" i="2" s="1"/>
  <c r="N94" i="2"/>
  <c r="G158" i="2"/>
  <c r="N158" i="2" s="1"/>
  <c r="N93" i="2"/>
  <c r="G157" i="2"/>
  <c r="N157" i="2" s="1"/>
  <c r="G111" i="2"/>
  <c r="N47" i="2"/>
  <c r="G71" i="2"/>
  <c r="H48" i="2"/>
  <c r="N16" i="2"/>
  <c r="M152" i="2"/>
  <c r="N152" i="2" s="1"/>
  <c r="N88" i="2"/>
  <c r="N74" i="2"/>
  <c r="N81" i="2"/>
  <c r="N145" i="2"/>
  <c r="M71" i="2"/>
  <c r="J112" i="2"/>
  <c r="J115" i="2" s="1"/>
  <c r="M140" i="2"/>
  <c r="N140" i="2" s="1"/>
  <c r="N76" i="2"/>
  <c r="N109" i="2"/>
  <c r="G173" i="2"/>
  <c r="N173" i="2" s="1"/>
  <c r="N79" i="2"/>
  <c r="N89" i="2"/>
  <c r="N149" i="2"/>
  <c r="N25" i="2"/>
  <c r="D53" i="2"/>
  <c r="N11" i="2"/>
  <c r="N174" i="2"/>
  <c r="N160" i="2"/>
  <c r="G10" i="2"/>
  <c r="N10" i="2" s="1"/>
  <c r="G14" i="2"/>
  <c r="N14" i="2" s="1"/>
  <c r="G86" i="2"/>
  <c r="G99" i="2"/>
  <c r="G101" i="2"/>
  <c r="G103" i="2"/>
  <c r="G105" i="2"/>
  <c r="G107" i="2"/>
  <c r="G143" i="2"/>
  <c r="N143" i="2" s="1"/>
  <c r="G180" i="2"/>
  <c r="G92" i="2"/>
  <c r="G73" i="2"/>
  <c r="G100" i="2"/>
  <c r="G102" i="2"/>
  <c r="G104" i="2"/>
  <c r="G154" i="2"/>
  <c r="N154" i="2" s="1"/>
  <c r="J48" i="2"/>
  <c r="J51" i="2" s="1"/>
  <c r="N29" i="2"/>
  <c r="AG19" i="5" l="1"/>
  <c r="AC6" i="5"/>
  <c r="Z6" i="5" s="1"/>
  <c r="W6" i="5" s="1"/>
  <c r="N180" i="2"/>
  <c r="D244" i="2"/>
  <c r="G244" i="2" s="1"/>
  <c r="N244" i="2" s="1"/>
  <c r="G161" i="2"/>
  <c r="N161" i="2" s="1"/>
  <c r="N48" i="2"/>
  <c r="N51" i="2" s="1"/>
  <c r="N53" i="2" s="1"/>
  <c r="D112" i="2"/>
  <c r="D115" i="2" s="1"/>
  <c r="D117" i="2" s="1"/>
  <c r="G48" i="2"/>
  <c r="G51" i="2" s="1"/>
  <c r="G53" i="2" s="1"/>
  <c r="N92" i="2"/>
  <c r="G156" i="2"/>
  <c r="N156" i="2" s="1"/>
  <c r="J117" i="2"/>
  <c r="N111" i="2"/>
  <c r="G175" i="2"/>
  <c r="N175" i="2" s="1"/>
  <c r="M112" i="2"/>
  <c r="M115" i="2" s="1"/>
  <c r="M117" i="2" s="1"/>
  <c r="N107" i="2"/>
  <c r="G171" i="2"/>
  <c r="N171" i="2" s="1"/>
  <c r="N105" i="2"/>
  <c r="G169" i="2"/>
  <c r="N169" i="2" s="1"/>
  <c r="M56" i="2"/>
  <c r="J53" i="2"/>
  <c r="N103" i="2"/>
  <c r="G167" i="2"/>
  <c r="N167" i="2" s="1"/>
  <c r="N101" i="2"/>
  <c r="G165" i="2"/>
  <c r="N165" i="2" s="1"/>
  <c r="G168" i="2"/>
  <c r="N168" i="2" s="1"/>
  <c r="N104" i="2"/>
  <c r="N99" i="2"/>
  <c r="G163" i="2"/>
  <c r="N163" i="2" s="1"/>
  <c r="G166" i="2"/>
  <c r="N166" i="2" s="1"/>
  <c r="N102" i="2"/>
  <c r="G150" i="2"/>
  <c r="N150" i="2" s="1"/>
  <c r="N86" i="2"/>
  <c r="G164" i="2"/>
  <c r="N164" i="2" s="1"/>
  <c r="N100" i="2"/>
  <c r="N73" i="2"/>
  <c r="G137" i="2"/>
  <c r="N137" i="2" s="1"/>
  <c r="G112" i="2"/>
  <c r="G115" i="2" s="1"/>
  <c r="G117" i="2" s="1"/>
  <c r="N71" i="2"/>
  <c r="X19" i="5" l="1"/>
  <c r="T6" i="5"/>
  <c r="G56" i="2"/>
  <c r="M57" i="2" s="1"/>
  <c r="N112" i="2"/>
  <c r="N115" i="2" s="1"/>
  <c r="N117" i="2" s="1"/>
  <c r="M120" i="2"/>
  <c r="G120" i="2"/>
  <c r="D176" i="2"/>
  <c r="D179" i="2" s="1"/>
  <c r="G135" i="2"/>
  <c r="D199" i="2" s="1"/>
  <c r="M135" i="2"/>
  <c r="J176" i="2"/>
  <c r="J179" i="2" s="1"/>
  <c r="Q6" i="5" l="1"/>
  <c r="N6" i="5" s="1"/>
  <c r="U19" i="5"/>
  <c r="D240" i="2"/>
  <c r="D243" i="2" s="1"/>
  <c r="G199" i="2"/>
  <c r="M176" i="2"/>
  <c r="M179" i="2" s="1"/>
  <c r="M181" i="2" s="1"/>
  <c r="J199" i="2"/>
  <c r="M121" i="2"/>
  <c r="J181" i="2"/>
  <c r="D181" i="2"/>
  <c r="N135" i="2"/>
  <c r="N176" i="2" s="1"/>
  <c r="N179" i="2" s="1"/>
  <c r="N181" i="2" s="1"/>
  <c r="G176" i="2"/>
  <c r="G179" i="2" s="1"/>
  <c r="G181" i="2" s="1"/>
  <c r="P17" i="5" l="1"/>
  <c r="K6" i="5"/>
  <c r="M184" i="2"/>
  <c r="M199" i="2"/>
  <c r="M240" i="2" s="1"/>
  <c r="M243" i="2" s="1"/>
  <c r="M245" i="2" s="1"/>
  <c r="J240" i="2"/>
  <c r="J243" i="2" s="1"/>
  <c r="G240" i="2"/>
  <c r="G243" i="2" s="1"/>
  <c r="G245" i="2" s="1"/>
  <c r="D245" i="2"/>
  <c r="G184" i="2"/>
  <c r="H6" i="5" l="1"/>
  <c r="M17" i="5"/>
  <c r="M185" i="2"/>
  <c r="N199" i="2"/>
  <c r="N240" i="2" s="1"/>
  <c r="N243" i="2" s="1"/>
  <c r="N245" i="2" s="1"/>
  <c r="M248" i="2"/>
  <c r="J245" i="2"/>
  <c r="G248" i="2"/>
  <c r="E6" i="5" l="1"/>
  <c r="J17" i="5"/>
  <c r="M249" i="2"/>
  <c r="H240" i="2"/>
  <c r="B6" i="5" l="1"/>
  <c r="G17" i="5"/>
  <c r="D17" i="5" l="1"/>
  <c r="C20" i="5"/>
  <c r="F20" i="5" s="1"/>
  <c r="I20" i="5" s="1"/>
  <c r="L20" i="5" s="1"/>
  <c r="O20" i="5" s="1"/>
  <c r="R20" i="5" s="1"/>
  <c r="U20" i="5" s="1"/>
  <c r="X20" i="5" s="1"/>
  <c r="AA20" i="5" s="1"/>
  <c r="AD20" i="5" s="1"/>
  <c r="AG20" i="5" s="1"/>
  <c r="AJ20" i="5" s="1"/>
  <c r="AM20" i="5" s="1"/>
  <c r="AP20" i="5" s="1"/>
  <c r="AS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ryan.diotte</author>
  </authors>
  <commentList>
    <comment ref="AG16" authorId="0" shapeId="0" xr:uid="{8074C2C3-8507-4AE4-B26E-B32BA39764C9}">
      <text>
        <r>
          <rPr>
            <b/>
            <sz val="9"/>
            <color indexed="81"/>
            <rFont val="Tahoma"/>
            <family val="2"/>
          </rPr>
          <t>ryan.diotte:</t>
        </r>
        <r>
          <rPr>
            <sz val="9"/>
            <color indexed="81"/>
            <rFont val="Tahoma"/>
            <family val="2"/>
          </rPr>
          <t xml:space="preserve">
From monthly FS</t>
        </r>
      </text>
    </comment>
    <comment ref="AG17" authorId="0" shapeId="0" xr:uid="{4462B9A1-8C88-445D-8FE6-CC44A2904986}">
      <text>
        <r>
          <rPr>
            <b/>
            <sz val="9"/>
            <color indexed="81"/>
            <rFont val="Tahoma"/>
            <family val="2"/>
          </rPr>
          <t xml:space="preserve">ryan.diotte:
</t>
        </r>
        <r>
          <rPr>
            <sz val="9"/>
            <color indexed="81"/>
            <rFont val="Tahoma"/>
            <family val="2"/>
          </rPr>
          <t>Using 90 althought this number could be as high as 93-95</t>
        </r>
      </text>
    </comment>
    <comment ref="AG18" authorId="0" shapeId="0" xr:uid="{C7CF6EBE-788B-43D5-837E-C92AE6667B31}">
      <text>
        <r>
          <rPr>
            <b/>
            <sz val="9"/>
            <color indexed="81"/>
            <rFont val="Tahoma"/>
            <family val="2"/>
          </rPr>
          <t xml:space="preserve">ryan.diotte:
</t>
        </r>
        <r>
          <rPr>
            <sz val="9"/>
            <color indexed="81"/>
            <rFont val="Tahoma"/>
            <family val="2"/>
          </rPr>
          <t>Using 90 althought this number could be as high as 93-95</t>
        </r>
      </text>
    </comment>
  </commentList>
</comments>
</file>

<file path=xl/sharedStrings.xml><?xml version="1.0" encoding="utf-8"?>
<sst xmlns="http://schemas.openxmlformats.org/spreadsheetml/2006/main" count="738" uniqueCount="275">
  <si>
    <t>Accounting Standard</t>
  </si>
  <si>
    <t>MIFRS</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</si>
  <si>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</si>
  <si>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</si>
  <si>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</si>
  <si>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</si>
  <si>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</si>
  <si>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</si>
  <si>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</si>
  <si>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r>
      <t xml:space="preserve">Additions </t>
    </r>
    <r>
      <rPr>
        <b/>
        <vertAlign val="superscript"/>
        <sz val="10"/>
        <rFont val="Arial"/>
        <family val="2"/>
      </rPr>
      <t>4</t>
    </r>
  </si>
  <si>
    <r>
      <t xml:space="preserve">Disposals </t>
    </r>
    <r>
      <rPr>
        <b/>
        <vertAlign val="superscript"/>
        <sz val="10"/>
        <rFont val="Arial"/>
        <family val="2"/>
      </rPr>
      <t>6</t>
    </r>
  </si>
  <si>
    <t>Closing Balance</t>
  </si>
  <si>
    <t>RRR DATA</t>
  </si>
  <si>
    <t>Additions</t>
  </si>
  <si>
    <t>Net Book Value</t>
  </si>
  <si>
    <t>Capital Contributions Paid</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</si>
  <si>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</si>
  <si>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</si>
  <si>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</si>
  <si>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</si>
  <si>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</si>
  <si>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</si>
  <si>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</si>
  <si>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</si>
  <si>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</si>
  <si>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</si>
  <si>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</si>
  <si>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</si>
  <si>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</si>
  <si>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</si>
  <si>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</si>
  <si>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</si>
  <si>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</si>
  <si>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</si>
  <si>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</si>
  <si>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</si>
  <si>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</si>
  <si>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</si>
  <si>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</si>
  <si>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</si>
  <si>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</si>
  <si>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</si>
  <si>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</si>
  <si>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</si>
  <si>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</si>
  <si>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</si>
  <si>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</si>
  <si>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</si>
  <si>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</si>
  <si>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</si>
  <si>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</si>
  <si>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</si>
  <si>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</si>
  <si>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</si>
  <si>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</si>
  <si>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r>
      <t>Property Under Finance Lease</t>
    </r>
    <r>
      <rPr>
        <vertAlign val="superscript"/>
        <sz val="10"/>
        <rFont val="Arial"/>
        <family val="2"/>
      </rPr>
      <t>7</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</si>
  <si>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</si>
  <si>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</si>
  <si>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</si>
  <si>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 for Rate Base Purposes</t>
  </si>
  <si>
    <t>Construction Work In Progress</t>
  </si>
  <si>
    <t>Total PP&amp;E</t>
  </si>
  <si>
    <r>
      <t>Depreciation Expense adj. from gain or loss on the retirement of assets (pool of like assets), if applicable</t>
    </r>
    <r>
      <rPr>
        <b/>
        <vertAlign val="superscript"/>
        <sz val="10"/>
        <rFont val="Arial"/>
        <family val="2"/>
      </rPr>
      <t>6</t>
    </r>
  </si>
  <si>
    <t>Total</t>
  </si>
  <si>
    <t>Gross Fixed Assets (average) for Rate Base</t>
  </si>
  <si>
    <t>Accumulated Depreciation (average)</t>
  </si>
  <si>
    <t>Net Fixed Assets (average)</t>
  </si>
  <si>
    <r>
      <rPr>
        <b/>
        <sz val="10"/>
        <rFont val="Arial"/>
        <family val="2"/>
      </rPr>
      <t>Less:</t>
    </r>
    <r>
      <rPr>
        <sz val="10"/>
        <rFont val="Arial"/>
        <family val="2"/>
      </rPr>
      <t xml:space="preserve"> </t>
    </r>
    <r>
      <rPr>
        <i/>
        <sz val="10"/>
        <rFont val="Arial"/>
        <family val="2"/>
      </rPr>
      <t>Fully Allocated Depreciation</t>
    </r>
  </si>
  <si>
    <t>Transportation</t>
  </si>
  <si>
    <t>Water Billing</t>
  </si>
  <si>
    <t>Deferred Revenue</t>
  </si>
  <si>
    <t>Net Depreciation</t>
  </si>
  <si>
    <t>Test Year Gross Fixed Assets (avg)</t>
  </si>
  <si>
    <t>Test Year Accumulated Depreciation (avg)</t>
  </si>
  <si>
    <t>Net Fixed Assets (avg)</t>
  </si>
  <si>
    <t xml:space="preserve">Line No. </t>
  </si>
  <si>
    <t>Description</t>
  </si>
  <si>
    <t>2016
OEB-Approved Proxy</t>
  </si>
  <si>
    <t>2016 
Actuals</t>
  </si>
  <si>
    <t>2017
Actuals</t>
  </si>
  <si>
    <t>2018
Actuals</t>
  </si>
  <si>
    <t>2019 
Actuals</t>
  </si>
  <si>
    <t>2020 
Actuals</t>
  </si>
  <si>
    <t>2021
Actuals</t>
  </si>
  <si>
    <t>2022
Actuals</t>
  </si>
  <si>
    <t>2023
Actuals</t>
  </si>
  <si>
    <t>2024
Actuals</t>
  </si>
  <si>
    <t>2025
Forecast</t>
  </si>
  <si>
    <t>2026
Forecast</t>
  </si>
  <si>
    <t>Number of FTEs</t>
  </si>
  <si>
    <t>Management (including executive)</t>
  </si>
  <si>
    <t>Mgmt</t>
  </si>
  <si>
    <t>Non-Management (union and non-union)</t>
  </si>
  <si>
    <t>Non-Mgmt</t>
  </si>
  <si>
    <t>Total Salary and Wages including overtime and incentive pay</t>
  </si>
  <si>
    <t>Total Benefits (current and accrued)</t>
  </si>
  <si>
    <t>Total Compensation (Salary, Wages and Benefits)</t>
  </si>
  <si>
    <t>Grand Total</t>
  </si>
  <si>
    <t>Net labour costs included in OM&amp;A</t>
  </si>
  <si>
    <t>Net labour costs included in Capital / Billable</t>
  </si>
  <si>
    <t>Appendix 2-AB</t>
  </si>
  <si>
    <t>Table 2 - Capital Expenditure Summary from Chapter 5 Consolidated
Distribution System Plan Filing Requirements</t>
  </si>
  <si>
    <t>First year of Forecast Period:</t>
  </si>
  <si>
    <t>CATEGORY</t>
  </si>
  <si>
    <t>Plan</t>
  </si>
  <si>
    <t>Actual</t>
  </si>
  <si>
    <t>Var</t>
  </si>
  <si>
    <t>Actual - YTD Oct 31</t>
  </si>
  <si>
    <t>$ '000</t>
  </si>
  <si>
    <t>%</t>
  </si>
  <si>
    <t>System Access</t>
  </si>
  <si>
    <t>System Renewal</t>
  </si>
  <si>
    <t>System Service</t>
  </si>
  <si>
    <t>General Plant</t>
  </si>
  <si>
    <t>TOTAL EXPENDITURE</t>
  </si>
  <si>
    <t>Capital Contributions</t>
  </si>
  <si>
    <t>NET CAPITAL EXPENDITURES</t>
  </si>
  <si>
    <t>CWIP</t>
  </si>
  <si>
    <t>System O&amp;M</t>
  </si>
  <si>
    <t>Integrity Check - 2-AA: Net CAPEX</t>
  </si>
  <si>
    <t>Integrity Check - 2-JA: System O&amp;M</t>
  </si>
  <si>
    <t>Notes to the Table:</t>
  </si>
  <si>
    <t>1. Historical “Plan” data is based on previously filed plan and has been scaled accordingly to represent estimated expenditures as of October 31.</t>
  </si>
  <si>
    <t>2. Indicate the number of months of 'actual' data included in the last year of the Historical Period (normally a 'bridge' year):</t>
  </si>
  <si>
    <t>3. System O&amp;M contains the following accounts: 5005, 5010, 5012, 5014, 5015, 5016, 5017, 5020, 5025, 5030, 5035, 5040, 5045, 5050, 5055, 5060, 5065, 5070, 5075, 5085, 5090, 
5095, 5096, 5105, 5110, 5112, 5114, 5120, 5125, 5130, 5135, 5145, 5150, 5155, 5160, 5165, 5170, 5172, 5175, 5178, 5195</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</si>
  <si>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</si>
  <si>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</si>
  <si>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</si>
  <si>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</si>
  <si>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r>
      <t xml:space="preserve">Forecast Period </t>
    </r>
    <r>
      <rPr>
        <sz val="10"/>
        <rFont val="Arial"/>
        <family val="2"/>
      </rPr>
      <t>(planned)</t>
    </r>
  </si>
  <si>
    <t>Appendix 2-AA</t>
  </si>
  <si>
    <t>Capital Projects Table</t>
  </si>
  <si>
    <t>Projects</t>
  </si>
  <si>
    <t>2023 Actuals - YTD Oct 31</t>
  </si>
  <si>
    <t>2024 Actuals - YTD Oct 31</t>
  </si>
  <si>
    <t>2025 Actuals - YTD Oct 31</t>
  </si>
  <si>
    <t>Reporting Basis</t>
  </si>
  <si>
    <t>Customer Conns: Commercial &amp; Industrial</t>
  </si>
  <si>
    <t>Customer Conns: Residential &amp; Subdivision</t>
  </si>
  <si>
    <t>Engineering Support Capital</t>
  </si>
  <si>
    <t>Miscellaneous System Access</t>
  </si>
  <si>
    <t>Third Party Attachments</t>
  </si>
  <si>
    <t>System Access Gross Expenditures</t>
  </si>
  <si>
    <t>System Access Capital Contributions</t>
  </si>
  <si>
    <t>Critical Defect Replacements</t>
  </si>
  <si>
    <t>Emergency Response</t>
  </si>
  <si>
    <t>Metering Renewal</t>
  </si>
  <si>
    <t>Miscellaneous System Renewal</t>
  </si>
  <si>
    <t>Operation Support Capital</t>
  </si>
  <si>
    <t>Pole Replacement</t>
  </si>
  <si>
    <t>Transformer Replacement</t>
  </si>
  <si>
    <t>Voltage Conversion</t>
  </si>
  <si>
    <t>System Renewal Gross Expenditures</t>
  </si>
  <si>
    <t>System Renewal Capital Contributions</t>
  </si>
  <si>
    <t>Miscellaneous System Service</t>
  </si>
  <si>
    <t>System Modernization and Planning</t>
  </si>
  <si>
    <t>Capacity Enhancements</t>
  </si>
  <si>
    <t>System Service Gross Expenditures</t>
  </si>
  <si>
    <t>System Service Capital Contributions</t>
  </si>
  <si>
    <t>Building</t>
  </si>
  <si>
    <t>IT Hardware</t>
  </si>
  <si>
    <t>IT Software</t>
  </si>
  <si>
    <t>Miscellaneous General Plant</t>
  </si>
  <si>
    <t>Rolling Stock</t>
  </si>
  <si>
    <t>Tools</t>
  </si>
  <si>
    <t>General Plant Gross Expenditures</t>
  </si>
  <si>
    <t>General Plant Capital Contributions</t>
  </si>
  <si>
    <t>Miscellaneous</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</si>
  <si>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</si>
  <si>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</si>
  <si>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</si>
  <si>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</si>
  <si>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3   Utilities may add more rows as needed.</t>
  </si>
  <si>
    <t>Appendix 2-JA</t>
  </si>
  <si>
    <r>
      <t xml:space="preserve">Summary of </t>
    </r>
    <r>
      <rPr>
        <b/>
        <u/>
        <sz val="14"/>
        <color indexed="10"/>
        <rFont val="Arial"/>
        <family val="2"/>
      </rPr>
      <t>Recoverable</t>
    </r>
    <r>
      <rPr>
        <b/>
        <sz val="14"/>
        <rFont val="Arial"/>
        <family val="2"/>
      </rPr>
      <t xml:space="preserve"> OM&amp;A Expenses</t>
    </r>
  </si>
  <si>
    <t>Last Rebasing Year (2016 OEB Approved Proxy)</t>
  </si>
  <si>
    <t>Last Rebasing Year (2016 Actuals)</t>
  </si>
  <si>
    <t>2017 Actuals</t>
  </si>
  <si>
    <t>2018 Actuals</t>
  </si>
  <si>
    <t>2019 Actuals</t>
  </si>
  <si>
    <t>2020 Actuals</t>
  </si>
  <si>
    <t>Operations</t>
  </si>
  <si>
    <t xml:space="preserve">Maintenance  </t>
  </si>
  <si>
    <t>SubTotal</t>
  </si>
  <si>
    <t>%Variance</t>
  </si>
  <si>
    <t>%Change (Test Year vs 
Last Rebasing Year - Actual)</t>
  </si>
  <si>
    <t>Billing and Collecting</t>
  </si>
  <si>
    <t>Community Relations</t>
  </si>
  <si>
    <t>Administrative and General</t>
  </si>
  <si>
    <t>2021 Actuals</t>
  </si>
  <si>
    <t>2022 Actuals</t>
  </si>
  <si>
    <t>2023 Actuals</t>
  </si>
  <si>
    <t>2024 Actuals</t>
  </si>
  <si>
    <t>2025 Bridge Year</t>
  </si>
  <si>
    <t>2026 Test Year</t>
  </si>
  <si>
    <t>%Change (year over year)</t>
  </si>
  <si>
    <t>Maintenance</t>
  </si>
  <si>
    <t>File Number:</t>
  </si>
  <si>
    <t>Exhibit:</t>
  </si>
  <si>
    <t>Tab:</t>
  </si>
  <si>
    <t>Schedule:</t>
  </si>
  <si>
    <t>Page:</t>
  </si>
  <si>
    <t>Date:</t>
  </si>
  <si>
    <t>Appendix 2-JB</t>
  </si>
  <si>
    <t>Recoverable OM&amp;A Cost Driver Table</t>
  </si>
  <si>
    <t>OM&amp;A</t>
  </si>
  <si>
    <t>Last Rebasing Year (2016 Actuals) to OEB Approved Proxy</t>
  </si>
  <si>
    <t>CGAAP</t>
  </si>
  <si>
    <t>Materiality</t>
  </si>
  <si>
    <t>FY14</t>
  </si>
  <si>
    <t>Opening Balance</t>
  </si>
  <si>
    <t>Projected Revenue</t>
  </si>
  <si>
    <t>Salaries, Wages and Benefits</t>
  </si>
  <si>
    <t>Change in Operating Portion of Salaries, Wages, and Benefits</t>
  </si>
  <si>
    <t>Change in Operating Portion of Employee Future Benefits</t>
  </si>
  <si>
    <t>Customer and Employee Focus</t>
  </si>
  <si>
    <t>My Account Upgrade</t>
  </si>
  <si>
    <t>Enhanced Leadership Training</t>
  </si>
  <si>
    <t>Enhanced LEAP Funding</t>
  </si>
  <si>
    <t>Operational Effectiveness</t>
  </si>
  <si>
    <t>Overhead/Underground Inspections</t>
  </si>
  <si>
    <t>Transformer Maintenance</t>
  </si>
  <si>
    <t>Smart Meter Maintenance and Reverification</t>
  </si>
  <si>
    <t>Increased IT Cybersecurity and Licensing Costs</t>
  </si>
  <si>
    <t>Preventative Vegetation Management Re-Timing</t>
  </si>
  <si>
    <t>Change in Locate Volumes</t>
  </si>
  <si>
    <t>Establishment of Enterprise Transformation Department</t>
  </si>
  <si>
    <t>Adoption of AI-Enabled Technologies</t>
  </si>
  <si>
    <t>Increased OEB assessment costs</t>
  </si>
  <si>
    <t>STEI Merger Transaction Costs</t>
  </si>
  <si>
    <t>Merger Synergies</t>
  </si>
  <si>
    <t>Preventative Building Maintenance Timing</t>
  </si>
  <si>
    <t>Storm Relief Assistance</t>
  </si>
  <si>
    <t>Pandemic Cost Cutting and Return to Normal Operations</t>
  </si>
  <si>
    <t>Bad Debt Expense</t>
  </si>
  <si>
    <t xml:space="preserve">Change between 2010 Approved </t>
  </si>
  <si>
    <t>Inflation on Non-Labour Items</t>
  </si>
  <si>
    <t>Other immaterial items</t>
  </si>
  <si>
    <t>MCGAAP</t>
  </si>
  <si>
    <t>IFRS</t>
  </si>
  <si>
    <t>DRAFT</t>
  </si>
  <si>
    <t>Appendix 2-JC</t>
  </si>
  <si>
    <t>OM&amp;A Programs Table</t>
  </si>
  <si>
    <t>Programs</t>
  </si>
  <si>
    <t>Administration</t>
  </si>
  <si>
    <t>General Building Expenses</t>
  </si>
  <si>
    <t>Insurance</t>
  </si>
  <si>
    <t>Office Supplies</t>
  </si>
  <si>
    <t>Audit, Legal, and Consulting</t>
  </si>
  <si>
    <t>Regulatory Affairs</t>
  </si>
  <si>
    <t>Administrative &amp; Human Resource Expenses</t>
  </si>
  <si>
    <t>Customer Service</t>
  </si>
  <si>
    <t>Bad Debt</t>
  </si>
  <si>
    <t>Customer Service &amp; Billings</t>
  </si>
  <si>
    <t>Customer Collections</t>
  </si>
  <si>
    <t>Field Service Maintenance</t>
  </si>
  <si>
    <t>Meter Maintenance</t>
  </si>
  <si>
    <t>Minor System Repairs</t>
  </si>
  <si>
    <t>Overhead/Underground Maintenance</t>
  </si>
  <si>
    <t>Station Maintenance</t>
  </si>
  <si>
    <t>Vegetation Control</t>
  </si>
  <si>
    <t>Cable Locates</t>
  </si>
  <si>
    <t>Power Quality</t>
  </si>
  <si>
    <t>Meter Operations</t>
  </si>
  <si>
    <t>Operations Management</t>
  </si>
  <si>
    <t>Overhead Operations</t>
  </si>
  <si>
    <t>Station Operations</t>
  </si>
  <si>
    <t>Transformer Operations</t>
  </si>
  <si>
    <t>Underground Operations</t>
  </si>
  <si>
    <t>2025 Actuals (to Oct. 31)</t>
  </si>
  <si>
    <t>2023 Actuals (to Oct. 31)</t>
  </si>
  <si>
    <t>2024 Actuals (to Oct. 31)</t>
  </si>
  <si>
    <t>2023
(to Oct 31, 2023)</t>
  </si>
  <si>
    <t>2024
(to Oct 31, 2024)</t>
  </si>
  <si>
    <t>2025
(to Oct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</si>
</sst>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_(* \(#,##0\);_(* &quot;-&quot;??_);_(@_)"/>
    <numFmt numFmtId="166" formatCode="_(* #,##0.0_);_(* \(#,##0.0\);_(* &quot;-&quot;??_);_(@_)"/>
    <numFmt numFmtId="167" formatCode="&quot;$&quot;#,##0"/>
    <numFmt numFmtId="168" formatCode="_-* #,##0_-;\-* #,##0_-;_-* &quot;-&quot;_-;_-@_-"/>
    <numFmt numFmtId="169" formatCode="0.0%"/>
    <numFmt numFmtId="170" formatCode="_-&quot;$&quot;* #,##0_-;\-&quot;$&quot;* #,##0_-;_-&quot;$&quot;* &quot;-&quot;_-;_-@_-"/>
    <numFmt numFmtId="171" formatCode="_-* #,##0_-;\-* #,##0_-;_-* &quot;-&quot;??_-;_-@_-"/>
  </numFmts>
  <fonts count="32" x14ac:knownFonts="1">
    <font>
      <sz val="11"/>
      <color theme="1"/>
      <name val="Aptos Narrow"/>
      <family val="2"/>
      <scheme val="minor"/>
    </font>
    <font>
      <sz val="11"/>
      <color theme="1"/>
      <name val="Aptos Narrow"/>
      <family val="2"/>
      <scheme val="minor"/>
    </font>
    <font>
      <sz val="10"/>
      <name val="Arial"/>
      <family val="2"/>
    </font>
    <font>
      <b/>
      <sz val="10"/>
      <name val="Arial"/>
      <family val="2"/>
    </font>
    <font>
      <b/>
      <sz val="11"/>
      <name val="Arial"/>
      <family val="2"/>
    </font>
    <font>
      <b/>
      <u/>
      <sz val="11"/>
      <name val="Arial"/>
      <family val="2"/>
    </font>
    <font>
      <sz val="11"/>
      <color theme="0"/>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
      <b/>
      <sz val="11"/>
      <color theme="1"/>
      <name val="Aptos Narrow"/>
      <family val="2"/>
      <scheme val="minor"/>
    </font>
    <font>
      <b/>
      <sz val="11"/>
      <name val="Aptos Narrow"/>
      <family val="2"/>
      <scheme val="minor"/>
    </font>
    <font>
      <sz val="11"/>
      <name val="Aptos Narrow"/>
      <family val="2"/>
      <scheme val="minor"/>
    </font>
    <font>
      <b/>
      <sz val="14"/>
      <name val="Arial"/>
      <family val="2"/>
    </font>
    <font>
      <b/>
      <i/>
      <sz val="12"/>
      <color rgb="FF0070C0"/>
      <name val="Aptos Narrow"/>
      <family val="2"/>
      <scheme val="minor"/>
    </font>
    <font>
      <b/>
      <sz val="12"/>
      <name val="Arial"/>
      <family val="2"/>
    </font>
    <font>
      <sz val="10"/>
      <color theme="0"/>
      <name val="Arial"/>
      <family val="2"/>
    </font>
    <font>
      <b/>
      <sz val="14"/>
      <color theme="1"/>
      <name val="Aptos Narrow"/>
      <family val="2"/>
      <scheme val="minor"/>
    </font>
    <font>
      <sz val="10"/>
      <color theme="3" tint="0.39997558519241921"/>
      <name val="Arial"/>
      <family val="2"/>
    </font>
    <font>
      <b/>
      <i/>
      <sz val="10"/>
      <color rgb="FFFF0000"/>
      <name val="Arial"/>
      <family val="2"/>
    </font>
    <font>
      <sz val="28"/>
      <name val="Arial"/>
      <family val="2"/>
    </font>
    <font>
      <b/>
      <u/>
      <sz val="14"/>
      <color indexed="10"/>
      <name val="Arial"/>
      <family val="2"/>
    </font>
    <font>
      <sz val="9"/>
      <name val="Arial"/>
      <family val="2"/>
    </font>
    <font>
      <b/>
      <i/>
      <sz val="9"/>
      <color rgb="FFFF0000"/>
      <name val="Arial"/>
      <family val="2"/>
    </font>
    <font>
      <sz val="8"/>
      <name val="Arial"/>
      <family val="2"/>
    </font>
    <font>
      <b/>
      <u/>
      <sz val="11"/>
      <color theme="1"/>
      <name val="Aptos Narrow"/>
      <family val="2"/>
      <scheme val="minor"/>
    </font>
    <font>
      <b/>
      <sz val="9"/>
      <color indexed="81"/>
      <name val="Tahoma"/>
      <family val="2"/>
    </font>
    <font>
      <sz val="9"/>
      <color indexed="81"/>
      <name val="Tahoma"/>
      <family val="2"/>
    </font>
    <font>
      <b/>
      <sz val="10"/>
      <color theme="1"/>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lightDown">
        <bgColor theme="0" tint="-0.249977111117893"/>
      </patternFill>
    </fill>
    <fill>
      <patternFill patternType="solid">
        <fgColor rgb="FFEBF1DE"/>
        <bgColor indexed="64"/>
      </patternFill>
    </fill>
  </fills>
  <borders count="100">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indexed="64"/>
      </right>
      <top style="thin">
        <color indexed="64"/>
      </top>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theme="0" tint="-0.249977111117893"/>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ck">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bottom/>
      <diagonal/>
    </border>
    <border>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thick">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theme="0"/>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394">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Alignment="1" applyProtection="1">
      <alignment horizontal="right"/>
      <protection locked="0"/>
    </xf>
    <xf numFmtId="0" fontId="0" fillId="2" borderId="0" xfId="0" applyFill="1" applyAlignment="1" applyProtection="1">
      <alignment horizontal="center" vertical="center"/>
      <protection locked="0"/>
    </xf>
    <xf numFmtId="0" fontId="4" fillId="0" borderId="1" xfId="2" applyFont="1" applyBorder="1" applyAlignment="1">
      <alignment horizontal="center"/>
    </xf>
    <xf numFmtId="0" fontId="5" fillId="0" borderId="0" xfId="2" applyFont="1" applyAlignment="1" applyProtection="1">
      <alignment horizontal="center"/>
      <protection locked="0"/>
    </xf>
    <xf numFmtId="0" fontId="6" fillId="0" borderId="0" xfId="2" applyFont="1" applyAlignment="1">
      <alignment horizontal="center"/>
    </xf>
    <xf numFmtId="0" fontId="2" fillId="3" borderId="2" xfId="2" applyFill="1" applyBorder="1" applyProtection="1">
      <protection locked="0"/>
    </xf>
    <xf numFmtId="0" fontId="3" fillId="3" borderId="3" xfId="2" applyFont="1" applyFill="1" applyBorder="1" applyProtection="1">
      <protection locked="0"/>
    </xf>
    <xf numFmtId="0" fontId="3" fillId="3" borderId="4" xfId="2" applyFont="1" applyFill="1" applyBorder="1" applyProtection="1">
      <protection locked="0"/>
    </xf>
    <xf numFmtId="0" fontId="3" fillId="3" borderId="5" xfId="2" applyFont="1" applyFill="1" applyBorder="1" applyAlignment="1" applyProtection="1">
      <alignment horizontal="center" wrapText="1"/>
      <protection locked="0"/>
    </xf>
    <xf numFmtId="0" fontId="3" fillId="3" borderId="5" xfId="2" applyFont="1" applyFill="1" applyBorder="1" applyProtection="1">
      <protection locked="0"/>
    </xf>
    <xf numFmtId="0" fontId="3" fillId="3" borderId="5" xfId="2" applyFont="1" applyFill="1" applyBorder="1" applyAlignment="1" applyProtection="1">
      <alignment horizontal="center"/>
      <protection locked="0"/>
    </xf>
    <xf numFmtId="0" fontId="2" fillId="3" borderId="6" xfId="2" applyFill="1" applyBorder="1" applyProtection="1">
      <protection locked="0"/>
    </xf>
    <xf numFmtId="0" fontId="3" fillId="3" borderId="7" xfId="2" applyFont="1" applyFill="1" applyBorder="1" applyAlignment="1" applyProtection="1">
      <alignment horizontal="center"/>
      <protection locked="0"/>
    </xf>
    <xf numFmtId="0" fontId="3" fillId="3" borderId="7" xfId="2" applyFont="1" applyFill="1" applyBorder="1" applyAlignment="1" applyProtection="1">
      <alignment horizontal="center" wrapText="1"/>
      <protection locked="0"/>
    </xf>
    <xf numFmtId="0" fontId="2" fillId="0" borderId="5" xfId="2" applyBorder="1" applyAlignment="1" applyProtection="1">
      <alignment horizontal="center" vertical="center"/>
      <protection locked="0"/>
    </xf>
    <xf numFmtId="0" fontId="2" fillId="0" borderId="5" xfId="2" applyBorder="1" applyAlignment="1" applyProtection="1">
      <alignment vertical="center" wrapText="1"/>
      <protection locked="0"/>
    </xf>
    <xf numFmtId="164" fontId="0" fillId="0" borderId="5" xfId="1" applyNumberFormat="1" applyFont="1" applyFill="1" applyBorder="1" applyProtection="1">
      <protection locked="0"/>
    </xf>
    <xf numFmtId="164" fontId="0" fillId="4" borderId="5" xfId="1" applyNumberFormat="1" applyFont="1" applyFill="1" applyBorder="1" applyProtection="1">
      <protection locked="0"/>
    </xf>
    <xf numFmtId="164" fontId="0" fillId="0" borderId="5" xfId="1" applyNumberFormat="1" applyFont="1" applyBorder="1" applyProtection="1"/>
    <xf numFmtId="164" fontId="0" fillId="0" borderId="4" xfId="1" applyNumberFormat="1" applyFont="1" applyFill="1" applyBorder="1" applyProtection="1">
      <protection locked="0"/>
    </xf>
    <xf numFmtId="164" fontId="2" fillId="0" borderId="5" xfId="2" applyNumberFormat="1" applyBorder="1"/>
    <xf numFmtId="0" fontId="2" fillId="0" borderId="6" xfId="2" applyBorder="1" applyProtection="1">
      <protection locked="0"/>
    </xf>
    <xf numFmtId="0" fontId="2" fillId="0" borderId="5" xfId="2" applyBorder="1" applyAlignment="1" applyProtection="1">
      <alignment horizontal="left" vertical="center"/>
      <protection locked="0"/>
    </xf>
    <xf numFmtId="0" fontId="2" fillId="0" borderId="5" xfId="2" applyBorder="1" applyAlignment="1" applyProtection="1">
      <alignment horizontal="center"/>
      <protection locked="0"/>
    </xf>
    <xf numFmtId="0" fontId="2" fillId="0" borderId="5" xfId="2" applyBorder="1" applyProtection="1">
      <protection locked="0"/>
    </xf>
    <xf numFmtId="0" fontId="2" fillId="4" borderId="5" xfId="2" applyFill="1" applyBorder="1" applyProtection="1">
      <protection locked="0"/>
    </xf>
    <xf numFmtId="0" fontId="3" fillId="0" borderId="5" xfId="2" applyFont="1" applyBorder="1" applyProtection="1">
      <protection locked="0"/>
    </xf>
    <xf numFmtId="164" fontId="3" fillId="0" borderId="5" xfId="2" applyNumberFormat="1" applyFont="1" applyBorder="1"/>
    <xf numFmtId="164" fontId="3" fillId="0" borderId="5" xfId="2" applyNumberFormat="1" applyFont="1" applyBorder="1" applyProtection="1">
      <protection locked="0"/>
    </xf>
    <xf numFmtId="0" fontId="3" fillId="0" borderId="5" xfId="2" applyFont="1" applyBorder="1" applyAlignment="1" applyProtection="1">
      <alignment vertical="center" wrapText="1"/>
      <protection locked="0"/>
    </xf>
    <xf numFmtId="0" fontId="10" fillId="0" borderId="5" xfId="2" applyFont="1" applyBorder="1" applyAlignment="1" applyProtection="1">
      <alignment vertical="top" wrapText="1"/>
      <protection locked="0"/>
    </xf>
    <xf numFmtId="0" fontId="3" fillId="0" borderId="2" xfId="2" applyFont="1" applyBorder="1" applyProtection="1">
      <protection locked="0"/>
    </xf>
    <xf numFmtId="164" fontId="0" fillId="0" borderId="0" xfId="1" applyNumberFormat="1" applyFont="1" applyFill="1" applyBorder="1" applyProtection="1">
      <protection locked="0"/>
    </xf>
    <xf numFmtId="164" fontId="2" fillId="0" borderId="0" xfId="2" applyNumberFormat="1" applyProtection="1">
      <protection locked="0"/>
    </xf>
    <xf numFmtId="0" fontId="3" fillId="0" borderId="0" xfId="2" applyFont="1" applyProtection="1">
      <protection locked="0"/>
    </xf>
    <xf numFmtId="0" fontId="2" fillId="0" borderId="2" xfId="2" applyBorder="1" applyProtection="1">
      <protection locked="0"/>
    </xf>
    <xf numFmtId="0" fontId="2" fillId="0" borderId="3" xfId="2" applyBorder="1" applyProtection="1">
      <protection locked="0"/>
    </xf>
    <xf numFmtId="164" fontId="0" fillId="4" borderId="4" xfId="1" applyNumberFormat="1" applyFont="1" applyFill="1" applyBorder="1" applyProtection="1">
      <protection locked="0"/>
    </xf>
    <xf numFmtId="164" fontId="3" fillId="0" borderId="4" xfId="2" applyNumberFormat="1" applyFont="1" applyBorder="1"/>
    <xf numFmtId="0" fontId="3" fillId="0" borderId="8" xfId="2" applyFont="1" applyBorder="1" applyProtection="1">
      <protection locked="0"/>
    </xf>
    <xf numFmtId="43" fontId="0" fillId="0" borderId="0" xfId="3" applyFont="1"/>
    <xf numFmtId="165" fontId="0" fillId="0" borderId="0" xfId="3" applyNumberFormat="1" applyFont="1"/>
    <xf numFmtId="164" fontId="0" fillId="0" borderId="0" xfId="0" applyNumberFormat="1"/>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xf>
    <xf numFmtId="0" fontId="0" fillId="5" borderId="10" xfId="0" applyFill="1" applyBorder="1"/>
    <xf numFmtId="0" fontId="13" fillId="5" borderId="1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6" borderId="13" xfId="0" applyFont="1" applyFill="1" applyBorder="1" applyAlignment="1">
      <alignment horizontal="center"/>
    </xf>
    <xf numFmtId="0" fontId="13" fillId="6" borderId="14" xfId="0" applyFont="1" applyFill="1" applyBorder="1"/>
    <xf numFmtId="0" fontId="13" fillId="6" borderId="15" xfId="0" applyFont="1" applyFill="1" applyBorder="1"/>
    <xf numFmtId="0" fontId="14" fillId="6" borderId="15" xfId="0" applyFont="1" applyFill="1" applyBorder="1"/>
    <xf numFmtId="0" fontId="14" fillId="6" borderId="8" xfId="0" applyFont="1" applyFill="1" applyBorder="1"/>
    <xf numFmtId="0" fontId="13" fillId="6" borderId="8" xfId="0" applyFont="1" applyFill="1" applyBorder="1"/>
    <xf numFmtId="0" fontId="13" fillId="6" borderId="16" xfId="0" applyFont="1" applyFill="1" applyBorder="1"/>
    <xf numFmtId="0" fontId="0" fillId="0" borderId="17" xfId="0" applyBorder="1" applyAlignment="1">
      <alignment horizontal="center"/>
    </xf>
    <xf numFmtId="0" fontId="0" fillId="0" borderId="18" xfId="0" applyBorder="1"/>
    <xf numFmtId="166" fontId="0" fillId="0" borderId="18" xfId="3" applyNumberFormat="1" applyFont="1" applyBorder="1"/>
    <xf numFmtId="166" fontId="0" fillId="0" borderId="19" xfId="3" applyNumberFormat="1" applyFont="1" applyBorder="1"/>
    <xf numFmtId="166" fontId="15" fillId="0" borderId="19" xfId="3" applyNumberFormat="1" applyFont="1" applyBorder="1"/>
    <xf numFmtId="166" fontId="0" fillId="0" borderId="20" xfId="3" applyNumberFormat="1" applyFont="1" applyBorder="1"/>
    <xf numFmtId="0" fontId="13" fillId="5" borderId="21" xfId="0" applyFont="1" applyFill="1" applyBorder="1" applyAlignment="1">
      <alignment horizontal="center"/>
    </xf>
    <xf numFmtId="0" fontId="13" fillId="5" borderId="22" xfId="0" applyFont="1" applyFill="1" applyBorder="1"/>
    <xf numFmtId="166" fontId="13" fillId="5" borderId="22" xfId="3" applyNumberFormat="1" applyFont="1" applyFill="1" applyBorder="1"/>
    <xf numFmtId="166" fontId="13" fillId="5" borderId="23" xfId="3" applyNumberFormat="1" applyFont="1" applyFill="1" applyBorder="1"/>
    <xf numFmtId="0" fontId="13" fillId="6" borderId="24" xfId="0" applyFont="1" applyFill="1" applyBorder="1" applyAlignment="1">
      <alignment horizontal="center"/>
    </xf>
    <xf numFmtId="0" fontId="13" fillId="6" borderId="25" xfId="0" applyFont="1" applyFill="1" applyBorder="1"/>
    <xf numFmtId="0" fontId="13" fillId="6" borderId="26" xfId="0" applyFont="1" applyFill="1" applyBorder="1"/>
    <xf numFmtId="0" fontId="14" fillId="6" borderId="26" xfId="0" applyFont="1" applyFill="1" applyBorder="1"/>
    <xf numFmtId="0" fontId="13" fillId="6" borderId="27" xfId="0" applyFont="1" applyFill="1" applyBorder="1"/>
    <xf numFmtId="167" fontId="0" fillId="0" borderId="18" xfId="1" applyNumberFormat="1" applyFont="1" applyBorder="1"/>
    <xf numFmtId="167" fontId="0" fillId="0" borderId="19" xfId="1" applyNumberFormat="1" applyFont="1" applyBorder="1"/>
    <xf numFmtId="167" fontId="15" fillId="0" borderId="19" xfId="1" applyNumberFormat="1" applyFont="1" applyBorder="1"/>
    <xf numFmtId="167" fontId="0" fillId="0" borderId="20" xfId="1" applyNumberFormat="1" applyFont="1" applyBorder="1"/>
    <xf numFmtId="167" fontId="13" fillId="5" borderId="22" xfId="3" applyNumberFormat="1" applyFont="1" applyFill="1" applyBorder="1"/>
    <xf numFmtId="167" fontId="13" fillId="5" borderId="23" xfId="3" applyNumberFormat="1" applyFont="1" applyFill="1" applyBorder="1"/>
    <xf numFmtId="167" fontId="13" fillId="6" borderId="25" xfId="0" applyNumberFormat="1" applyFont="1" applyFill="1" applyBorder="1"/>
    <xf numFmtId="167" fontId="13" fillId="6" borderId="26" xfId="0" applyNumberFormat="1" applyFont="1" applyFill="1" applyBorder="1"/>
    <xf numFmtId="167" fontId="14" fillId="6" borderId="26" xfId="0" applyNumberFormat="1" applyFont="1" applyFill="1" applyBorder="1"/>
    <xf numFmtId="167" fontId="13" fillId="6" borderId="27" xfId="0" applyNumberFormat="1" applyFont="1" applyFill="1" applyBorder="1"/>
    <xf numFmtId="0" fontId="13" fillId="7" borderId="21" xfId="0" applyFont="1" applyFill="1" applyBorder="1" applyAlignment="1">
      <alignment horizontal="center"/>
    </xf>
    <xf numFmtId="0" fontId="13" fillId="7" borderId="22" xfId="0" applyFont="1" applyFill="1" applyBorder="1"/>
    <xf numFmtId="0" fontId="0" fillId="7" borderId="22" xfId="0" applyFill="1" applyBorder="1"/>
    <xf numFmtId="167" fontId="13" fillId="7" borderId="22" xfId="3" applyNumberFormat="1" applyFont="1" applyFill="1" applyBorder="1"/>
    <xf numFmtId="167" fontId="13" fillId="7" borderId="23" xfId="3" applyNumberFormat="1" applyFont="1" applyFill="1" applyBorder="1"/>
    <xf numFmtId="167" fontId="0" fillId="0" borderId="18" xfId="1" applyNumberFormat="1" applyFont="1" applyFill="1" applyBorder="1"/>
    <xf numFmtId="167" fontId="0" fillId="0" borderId="28" xfId="1" applyNumberFormat="1" applyFont="1" applyBorder="1"/>
    <xf numFmtId="167" fontId="15" fillId="0" borderId="18" xfId="1" applyNumberFormat="1" applyFont="1" applyFill="1" applyBorder="1"/>
    <xf numFmtId="167" fontId="0" fillId="0" borderId="20" xfId="1" applyNumberFormat="1" applyFont="1" applyFill="1" applyBorder="1"/>
    <xf numFmtId="167" fontId="14" fillId="7" borderId="29" xfId="0" applyNumberFormat="1" applyFont="1" applyFill="1" applyBorder="1"/>
    <xf numFmtId="0" fontId="2" fillId="0" borderId="0" xfId="0" applyFont="1"/>
    <xf numFmtId="0" fontId="3" fillId="0" borderId="0" xfId="0" applyFont="1" applyAlignment="1">
      <alignment horizontal="right" vertical="center"/>
    </xf>
    <xf numFmtId="0" fontId="17" fillId="0" borderId="0" xfId="0" applyFont="1" applyAlignment="1">
      <alignment horizontal="center" vertical="center"/>
    </xf>
    <xf numFmtId="0" fontId="3" fillId="0" borderId="3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42" xfId="0" applyFont="1" applyBorder="1" applyAlignment="1">
      <alignment horizontal="right" vertical="center" wrapText="1" indent="1"/>
    </xf>
    <xf numFmtId="168" fontId="2" fillId="4" borderId="39" xfId="0" applyNumberFormat="1" applyFont="1" applyFill="1" applyBorder="1" applyAlignment="1" applyProtection="1">
      <alignment horizontal="center" vertical="center" wrapText="1"/>
      <protection locked="0"/>
    </xf>
    <xf numFmtId="168" fontId="2" fillId="8" borderId="39" xfId="0" applyNumberFormat="1" applyFont="1" applyFill="1" applyBorder="1" applyAlignment="1">
      <alignment horizontal="center" vertical="center" wrapText="1"/>
    </xf>
    <xf numFmtId="9" fontId="2" fillId="0" borderId="39" xfId="0" applyNumberFormat="1" applyFont="1" applyBorder="1" applyAlignment="1">
      <alignment horizontal="center" vertical="center" wrapText="1"/>
    </xf>
    <xf numFmtId="168" fontId="2" fillId="4" borderId="1" xfId="0" applyNumberFormat="1" applyFont="1" applyFill="1" applyBorder="1" applyAlignment="1" applyProtection="1">
      <alignment horizontal="center" vertical="center" wrapText="1"/>
      <protection locked="0"/>
    </xf>
    <xf numFmtId="168" fontId="2" fillId="8" borderId="33" xfId="0" applyNumberFormat="1" applyFont="1" applyFill="1" applyBorder="1" applyAlignment="1">
      <alignment horizontal="center" vertical="center" wrapText="1"/>
    </xf>
    <xf numFmtId="9" fontId="2" fillId="0" borderId="33" xfId="0" applyNumberFormat="1" applyFont="1" applyBorder="1" applyAlignment="1">
      <alignment horizontal="center" vertical="center" wrapText="1"/>
    </xf>
    <xf numFmtId="168" fontId="2" fillId="4" borderId="33" xfId="0" applyNumberFormat="1" applyFont="1" applyFill="1" applyBorder="1" applyAlignment="1" applyProtection="1">
      <alignment horizontal="center" vertical="center" wrapText="1"/>
      <protection locked="0"/>
    </xf>
    <xf numFmtId="168" fontId="2" fillId="8" borderId="45" xfId="0" applyNumberFormat="1" applyFont="1" applyFill="1" applyBorder="1" applyAlignment="1">
      <alignment horizontal="center" vertical="center" wrapText="1"/>
    </xf>
    <xf numFmtId="169" fontId="2" fillId="0" borderId="39" xfId="0" applyNumberFormat="1" applyFont="1" applyBorder="1" applyAlignment="1">
      <alignment horizontal="center" vertical="center" wrapText="1"/>
    </xf>
    <xf numFmtId="168" fontId="2" fillId="0" borderId="46" xfId="0" applyNumberFormat="1" applyFont="1" applyBorder="1" applyAlignment="1">
      <alignment horizontal="center" vertical="center" wrapText="1"/>
    </xf>
    <xf numFmtId="169" fontId="2" fillId="0" borderId="46" xfId="0" applyNumberFormat="1" applyFont="1" applyBorder="1" applyAlignment="1">
      <alignment horizontal="center" vertical="center" wrapText="1"/>
    </xf>
    <xf numFmtId="168" fontId="2" fillId="0" borderId="47" xfId="0" applyNumberFormat="1" applyFont="1" applyBorder="1" applyAlignment="1">
      <alignment horizontal="center" vertical="center" wrapText="1"/>
    </xf>
    <xf numFmtId="168" fontId="2" fillId="0" borderId="30" xfId="0" applyNumberFormat="1" applyFont="1" applyBorder="1" applyAlignment="1">
      <alignment horizontal="center" vertical="center" wrapText="1"/>
    </xf>
    <xf numFmtId="168" fontId="2" fillId="0" borderId="41" xfId="0" applyNumberFormat="1" applyFont="1" applyBorder="1" applyAlignment="1">
      <alignment horizontal="center" vertical="center" wrapText="1"/>
    </xf>
    <xf numFmtId="169" fontId="2" fillId="0" borderId="1" xfId="0" applyNumberFormat="1" applyFont="1" applyBorder="1" applyAlignment="1">
      <alignment horizontal="center" vertical="center" wrapText="1"/>
    </xf>
    <xf numFmtId="168" fontId="2" fillId="8" borderId="48" xfId="0" applyNumberFormat="1" applyFont="1" applyFill="1" applyBorder="1" applyAlignment="1">
      <alignment horizontal="center" vertical="center" wrapText="1"/>
    </xf>
    <xf numFmtId="0" fontId="18" fillId="0" borderId="37" xfId="0" applyFont="1" applyBorder="1" applyAlignment="1">
      <alignment horizontal="right" vertical="center" wrapText="1" indent="1"/>
    </xf>
    <xf numFmtId="169" fontId="2" fillId="0" borderId="30" xfId="0" applyNumberFormat="1" applyFont="1" applyBorder="1" applyAlignment="1">
      <alignment horizontal="center" vertical="center" wrapText="1"/>
    </xf>
    <xf numFmtId="168" fontId="2" fillId="0" borderId="49" xfId="0" applyNumberFormat="1" applyFont="1" applyBorder="1" applyAlignment="1">
      <alignment horizontal="center" vertical="center" wrapText="1"/>
    </xf>
    <xf numFmtId="0" fontId="18" fillId="0" borderId="1" xfId="0" applyFont="1" applyBorder="1" applyAlignment="1">
      <alignment horizontal="right" vertical="center" wrapText="1" indent="1"/>
    </xf>
    <xf numFmtId="168" fontId="2" fillId="0" borderId="3" xfId="0" applyNumberFormat="1" applyFont="1" applyBorder="1" applyAlignment="1">
      <alignment horizontal="center" vertical="center" wrapText="1"/>
    </xf>
    <xf numFmtId="168" fontId="2" fillId="4" borderId="50" xfId="0" applyNumberFormat="1" applyFont="1" applyFill="1" applyBorder="1" applyAlignment="1" applyProtection="1">
      <alignment horizontal="center" vertical="center" wrapText="1"/>
      <protection locked="0"/>
    </xf>
    <xf numFmtId="169" fontId="2" fillId="0" borderId="50" xfId="0" applyNumberFormat="1" applyFont="1" applyBorder="1" applyAlignment="1">
      <alignment horizontal="center" vertical="center" wrapText="1"/>
    </xf>
    <xf numFmtId="168" fontId="2" fillId="0" borderId="51" xfId="0" applyNumberFormat="1" applyFont="1" applyBorder="1" applyAlignment="1">
      <alignment horizontal="center" vertical="center" wrapText="1"/>
    </xf>
    <xf numFmtId="168" fontId="2" fillId="4" borderId="3" xfId="0" applyNumberFormat="1" applyFont="1" applyFill="1" applyBorder="1" applyAlignment="1" applyProtection="1">
      <alignment horizontal="center" vertical="center" wrapText="1"/>
      <protection locked="0"/>
    </xf>
    <xf numFmtId="168" fontId="2" fillId="0" borderId="50" xfId="0" applyNumberFormat="1" applyFont="1" applyBorder="1" applyAlignment="1">
      <alignment horizontal="center" vertical="center" wrapText="1"/>
    </xf>
    <xf numFmtId="168" fontId="2" fillId="4" borderId="51" xfId="0" applyNumberFormat="1" applyFont="1" applyFill="1" applyBorder="1" applyAlignment="1" applyProtection="1">
      <alignment horizontal="center" vertical="center" wrapText="1"/>
      <protection locked="0"/>
    </xf>
    <xf numFmtId="169" fontId="2" fillId="0" borderId="3" xfId="0" applyNumberFormat="1" applyFont="1" applyBorder="1" applyAlignment="1">
      <alignment horizontal="center" vertical="center" wrapText="1"/>
    </xf>
    <xf numFmtId="169" fontId="2" fillId="0" borderId="51" xfId="0" applyNumberFormat="1" applyFont="1" applyBorder="1" applyAlignment="1">
      <alignment horizontal="center" vertical="center" wrapText="1"/>
    </xf>
    <xf numFmtId="169" fontId="2" fillId="0" borderId="52" xfId="0" applyNumberFormat="1" applyFont="1" applyBorder="1" applyAlignment="1">
      <alignment horizontal="center" vertical="center" wrapText="1"/>
    </xf>
    <xf numFmtId="0" fontId="2" fillId="0" borderId="53" xfId="0" applyFont="1" applyBorder="1"/>
    <xf numFmtId="170" fontId="2" fillId="4" borderId="54" xfId="0" applyNumberFormat="1" applyFont="1" applyFill="1" applyBorder="1" applyAlignment="1" applyProtection="1">
      <alignment horizontal="center" vertical="center" wrapText="1"/>
      <protection locked="0"/>
    </xf>
    <xf numFmtId="168" fontId="2" fillId="9" borderId="54" xfId="0" applyNumberFormat="1" applyFont="1" applyFill="1" applyBorder="1" applyAlignment="1">
      <alignment horizontal="center" vertical="center" wrapText="1"/>
    </xf>
    <xf numFmtId="169" fontId="2" fillId="0" borderId="55" xfId="0" applyNumberFormat="1" applyFont="1" applyBorder="1" applyAlignment="1">
      <alignment horizontal="center" vertical="center" wrapText="1"/>
    </xf>
    <xf numFmtId="170" fontId="2" fillId="4" borderId="56" xfId="0" applyNumberFormat="1" applyFont="1" applyFill="1" applyBorder="1" applyAlignment="1" applyProtection="1">
      <alignment horizontal="center" vertical="center" wrapText="1"/>
      <protection locked="0"/>
    </xf>
    <xf numFmtId="3" fontId="0" fillId="0" borderId="38" xfId="0" applyNumberFormat="1" applyBorder="1"/>
    <xf numFmtId="169" fontId="2" fillId="0" borderId="56" xfId="0" applyNumberFormat="1" applyFont="1" applyBorder="1" applyAlignment="1">
      <alignment horizontal="center" vertical="center" wrapText="1"/>
    </xf>
    <xf numFmtId="170" fontId="2" fillId="4" borderId="57" xfId="0" applyNumberFormat="1" applyFont="1" applyFill="1" applyBorder="1" applyAlignment="1" applyProtection="1">
      <alignment horizontal="center" vertical="center" wrapText="1"/>
      <protection locked="0"/>
    </xf>
    <xf numFmtId="170" fontId="0" fillId="4" borderId="57" xfId="0" applyNumberFormat="1" applyFill="1" applyBorder="1" applyAlignment="1" applyProtection="1">
      <alignment horizontal="center" vertical="center" wrapText="1"/>
      <protection locked="0"/>
    </xf>
    <xf numFmtId="170" fontId="0" fillId="4" borderId="54" xfId="0" applyNumberFormat="1" applyFill="1" applyBorder="1" applyAlignment="1" applyProtection="1">
      <alignment horizontal="center" vertical="center" wrapText="1"/>
      <protection locked="0"/>
    </xf>
    <xf numFmtId="170" fontId="2" fillId="4" borderId="58" xfId="0" applyNumberFormat="1" applyFont="1" applyFill="1" applyBorder="1" applyAlignment="1" applyProtection="1">
      <alignment horizontal="center" vertical="center" wrapText="1"/>
      <protection locked="0"/>
    </xf>
    <xf numFmtId="0" fontId="19" fillId="8" borderId="0" xfId="0" applyFont="1" applyFill="1"/>
    <xf numFmtId="0" fontId="3" fillId="8" borderId="59" xfId="0" applyFont="1" applyFill="1" applyBorder="1"/>
    <xf numFmtId="0" fontId="3" fillId="8" borderId="5" xfId="0" applyFont="1" applyFill="1" applyBorder="1"/>
    <xf numFmtId="0" fontId="3" fillId="8" borderId="0" xfId="0" applyFont="1" applyFill="1"/>
    <xf numFmtId="3" fontId="2" fillId="8" borderId="5" xfId="0" applyNumberFormat="1" applyFont="1" applyFill="1" applyBorder="1"/>
    <xf numFmtId="0" fontId="2" fillId="8" borderId="0" xfId="0" applyFont="1" applyFill="1"/>
    <xf numFmtId="3" fontId="0" fillId="8" borderId="5" xfId="0" applyNumberFormat="1" applyFill="1" applyBorder="1"/>
    <xf numFmtId="0" fontId="2" fillId="8" borderId="0" xfId="0" applyFont="1" applyFill="1" applyAlignment="1">
      <alignment horizontal="center"/>
    </xf>
    <xf numFmtId="0" fontId="2" fillId="0" borderId="0" xfId="0" applyFont="1" applyAlignment="1">
      <alignment horizontal="left" vertical="center"/>
    </xf>
    <xf numFmtId="0" fontId="2" fillId="0" borderId="0" xfId="0" applyFont="1" applyAlignment="1">
      <alignment vertical="center"/>
    </xf>
    <xf numFmtId="0" fontId="0" fillId="0" borderId="0" xfId="0" applyProtection="1">
      <protection locked="0"/>
    </xf>
    <xf numFmtId="0" fontId="3" fillId="0" borderId="0" xfId="0" applyFont="1" applyProtection="1">
      <protection locked="0"/>
    </xf>
    <xf numFmtId="0" fontId="16" fillId="0" borderId="0" xfId="0" applyFont="1" applyProtection="1">
      <protection locked="0"/>
    </xf>
    <xf numFmtId="0" fontId="0" fillId="0" borderId="0" xfId="0" applyAlignment="1" applyProtection="1">
      <alignment horizontal="left" wrapText="1"/>
      <protection locked="0"/>
    </xf>
    <xf numFmtId="0" fontId="3" fillId="0" borderId="66" xfId="0" applyFont="1" applyBorder="1" applyProtection="1">
      <protection locked="0"/>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pplyProtection="1">
      <alignment horizontal="center" vertical="center" wrapText="1"/>
      <protection locked="0"/>
    </xf>
    <xf numFmtId="0" fontId="3" fillId="0" borderId="70" xfId="0" applyFont="1" applyBorder="1" applyProtection="1">
      <protection locked="0"/>
    </xf>
    <xf numFmtId="0" fontId="3" fillId="2" borderId="7" xfId="0" applyFont="1" applyFill="1" applyBorder="1" applyAlignment="1" applyProtection="1">
      <alignment horizontal="center"/>
      <protection locked="0"/>
    </xf>
    <xf numFmtId="0" fontId="3" fillId="2" borderId="71" xfId="0" applyFont="1" applyFill="1" applyBorder="1" applyAlignment="1" applyProtection="1">
      <alignment horizontal="center"/>
      <protection locked="0"/>
    </xf>
    <xf numFmtId="0" fontId="3" fillId="2" borderId="64" xfId="0" applyFont="1" applyFill="1" applyBorder="1" applyAlignment="1" applyProtection="1">
      <alignment horizontal="center"/>
      <protection locked="0"/>
    </xf>
    <xf numFmtId="0" fontId="3" fillId="4" borderId="72" xfId="0" applyFont="1" applyFill="1" applyBorder="1" applyProtection="1">
      <protection locked="0"/>
    </xf>
    <xf numFmtId="3" fontId="0" fillId="0" borderId="5" xfId="1" applyNumberFormat="1" applyFont="1" applyFill="1" applyBorder="1" applyProtection="1">
      <protection locked="0"/>
    </xf>
    <xf numFmtId="3" fontId="0" fillId="0" borderId="73" xfId="1" applyNumberFormat="1" applyFont="1" applyFill="1" applyBorder="1" applyProtection="1">
      <protection locked="0"/>
    </xf>
    <xf numFmtId="3" fontId="0" fillId="0" borderId="4" xfId="1" applyNumberFormat="1" applyFont="1" applyFill="1" applyBorder="1" applyProtection="1">
      <protection locked="0"/>
    </xf>
    <xf numFmtId="0" fontId="3" fillId="4" borderId="59" xfId="0" applyFont="1" applyFill="1" applyBorder="1" applyProtection="1">
      <protection locked="0"/>
    </xf>
    <xf numFmtId="171" fontId="2" fillId="4" borderId="59" xfId="3" applyNumberFormat="1" applyFont="1" applyFill="1" applyBorder="1" applyProtection="1">
      <protection locked="0"/>
    </xf>
    <xf numFmtId="171" fontId="0" fillId="4" borderId="6" xfId="3" applyNumberFormat="1" applyFont="1" applyFill="1" applyBorder="1" applyProtection="1">
      <protection locked="0"/>
    </xf>
    <xf numFmtId="171" fontId="0" fillId="4" borderId="74" xfId="3" applyNumberFormat="1" applyFont="1" applyFill="1" applyBorder="1" applyProtection="1">
      <protection locked="0"/>
    </xf>
    <xf numFmtId="171" fontId="0" fillId="4" borderId="59" xfId="3" applyNumberFormat="1" applyFont="1" applyFill="1" applyBorder="1" applyProtection="1">
      <protection locked="0"/>
    </xf>
    <xf numFmtId="0" fontId="3" fillId="4" borderId="4" xfId="0" applyFont="1" applyFill="1" applyBorder="1" applyProtection="1">
      <protection locked="0"/>
    </xf>
    <xf numFmtId="171" fontId="2" fillId="4" borderId="4" xfId="3" applyNumberFormat="1" applyFont="1" applyFill="1" applyBorder="1" applyProtection="1">
      <protection locked="0"/>
    </xf>
    <xf numFmtId="171" fontId="0" fillId="4" borderId="5" xfId="3" applyNumberFormat="1" applyFont="1" applyFill="1" applyBorder="1" applyProtection="1">
      <protection locked="0"/>
    </xf>
    <xf numFmtId="171" fontId="0" fillId="4" borderId="73" xfId="3" applyNumberFormat="1" applyFont="1" applyFill="1" applyBorder="1" applyProtection="1">
      <protection locked="0"/>
    </xf>
    <xf numFmtId="171" fontId="0" fillId="4" borderId="4" xfId="3" applyNumberFormat="1" applyFont="1" applyFill="1" applyBorder="1" applyProtection="1">
      <protection locked="0"/>
    </xf>
    <xf numFmtId="0" fontId="3" fillId="4" borderId="16" xfId="0" applyFont="1" applyFill="1" applyBorder="1" applyProtection="1">
      <protection locked="0"/>
    </xf>
    <xf numFmtId="171" fontId="2" fillId="4" borderId="16" xfId="3" applyNumberFormat="1" applyFont="1" applyFill="1" applyBorder="1" applyProtection="1">
      <protection locked="0"/>
    </xf>
    <xf numFmtId="171" fontId="0" fillId="4" borderId="61" xfId="3" applyNumberFormat="1" applyFont="1" applyFill="1" applyBorder="1" applyProtection="1">
      <protection locked="0"/>
    </xf>
    <xf numFmtId="171" fontId="0" fillId="4" borderId="75" xfId="3" applyNumberFormat="1" applyFont="1" applyFill="1" applyBorder="1" applyProtection="1">
      <protection locked="0"/>
    </xf>
    <xf numFmtId="171" fontId="0" fillId="4" borderId="16" xfId="3" applyNumberFormat="1" applyFont="1" applyFill="1" applyBorder="1" applyProtection="1">
      <protection locked="0"/>
    </xf>
    <xf numFmtId="0" fontId="3" fillId="0" borderId="72" xfId="0" applyFont="1" applyBorder="1" applyProtection="1">
      <protection locked="0"/>
    </xf>
    <xf numFmtId="3" fontId="3" fillId="0" borderId="5" xfId="0" applyNumberFormat="1" applyFont="1" applyBorder="1"/>
    <xf numFmtId="171" fontId="3" fillId="0" borderId="5" xfId="3" applyNumberFormat="1" applyFont="1" applyBorder="1"/>
    <xf numFmtId="171" fontId="3" fillId="0" borderId="73" xfId="3" applyNumberFormat="1" applyFont="1" applyBorder="1"/>
    <xf numFmtId="171" fontId="3" fillId="0" borderId="4" xfId="3" applyNumberFormat="1" applyFont="1" applyBorder="1"/>
    <xf numFmtId="171" fontId="3" fillId="0" borderId="5" xfId="3" applyNumberFormat="1" applyFont="1" applyBorder="1" applyProtection="1">
      <protection locked="0"/>
    </xf>
    <xf numFmtId="3" fontId="0" fillId="4" borderId="6" xfId="1" applyNumberFormat="1" applyFont="1" applyFill="1" applyBorder="1" applyProtection="1">
      <protection locked="0"/>
    </xf>
    <xf numFmtId="0" fontId="3" fillId="4" borderId="72" xfId="0" applyFont="1" applyFill="1" applyBorder="1" applyAlignment="1" applyProtection="1">
      <alignment wrapText="1"/>
      <protection locked="0"/>
    </xf>
    <xf numFmtId="3" fontId="0" fillId="4" borderId="5" xfId="1" applyNumberFormat="1" applyFont="1" applyFill="1" applyBorder="1" applyProtection="1">
      <protection locked="0"/>
    </xf>
    <xf numFmtId="3" fontId="0" fillId="4" borderId="73" xfId="1" applyNumberFormat="1" applyFont="1" applyFill="1" applyBorder="1" applyProtection="1">
      <protection locked="0"/>
    </xf>
    <xf numFmtId="3" fontId="0" fillId="4" borderId="4" xfId="1" applyNumberFormat="1" applyFont="1" applyFill="1" applyBorder="1" applyProtection="1">
      <protection locked="0"/>
    </xf>
    <xf numFmtId="3" fontId="0" fillId="4" borderId="61" xfId="1" applyNumberFormat="1" applyFont="1" applyFill="1" applyBorder="1" applyProtection="1">
      <protection locked="0"/>
    </xf>
    <xf numFmtId="3" fontId="0" fillId="4" borderId="75" xfId="1" applyNumberFormat="1" applyFont="1" applyFill="1" applyBorder="1" applyProtection="1">
      <protection locked="0"/>
    </xf>
    <xf numFmtId="3" fontId="0" fillId="4" borderId="16" xfId="1" applyNumberFormat="1" applyFont="1" applyFill="1" applyBorder="1" applyProtection="1">
      <protection locked="0"/>
    </xf>
    <xf numFmtId="3" fontId="3" fillId="0" borderId="73" xfId="0" applyNumberFormat="1" applyFont="1" applyBorder="1"/>
    <xf numFmtId="3" fontId="3" fillId="0" borderId="4" xfId="0" applyNumberFormat="1" applyFont="1" applyBorder="1"/>
    <xf numFmtId="3" fontId="3" fillId="0" borderId="5" xfId="0" applyNumberFormat="1" applyFont="1" applyBorder="1" applyProtection="1">
      <protection locked="0"/>
    </xf>
    <xf numFmtId="3" fontId="0" fillId="4" borderId="74" xfId="1" applyNumberFormat="1" applyFont="1" applyFill="1" applyBorder="1" applyProtection="1">
      <protection locked="0"/>
    </xf>
    <xf numFmtId="3" fontId="0" fillId="4" borderId="59" xfId="1" applyNumberFormat="1" applyFont="1" applyFill="1" applyBorder="1" applyProtection="1">
      <protection locked="0"/>
    </xf>
    <xf numFmtId="3" fontId="0" fillId="0" borderId="7" xfId="1" applyNumberFormat="1" applyFont="1" applyFill="1" applyBorder="1" applyProtection="1">
      <protection locked="0"/>
    </xf>
    <xf numFmtId="3" fontId="0" fillId="0" borderId="71" xfId="1" applyNumberFormat="1" applyFont="1" applyFill="1" applyBorder="1" applyProtection="1">
      <protection locked="0"/>
    </xf>
    <xf numFmtId="3" fontId="0" fillId="0" borderId="64" xfId="1" applyNumberFormat="1" applyFont="1" applyFill="1" applyBorder="1" applyProtection="1">
      <protection locked="0"/>
    </xf>
    <xf numFmtId="0" fontId="3" fillId="0" borderId="76" xfId="0" applyFont="1" applyBorder="1" applyProtection="1">
      <protection locked="0"/>
    </xf>
    <xf numFmtId="3" fontId="3" fillId="0" borderId="77" xfId="0" applyNumberFormat="1" applyFont="1" applyBorder="1"/>
    <xf numFmtId="3" fontId="3" fillId="0" borderId="78" xfId="0" applyNumberFormat="1" applyFont="1" applyBorder="1"/>
    <xf numFmtId="3" fontId="3" fillId="0" borderId="79" xfId="0" applyNumberFormat="1" applyFont="1" applyBorder="1"/>
    <xf numFmtId="3" fontId="3" fillId="0" borderId="77" xfId="0" applyNumberFormat="1" applyFont="1" applyBorder="1" applyProtection="1">
      <protection locked="0"/>
    </xf>
    <xf numFmtId="0" fontId="3" fillId="0" borderId="72" xfId="0" applyFont="1" applyBorder="1" applyAlignment="1" applyProtection="1">
      <alignment vertical="top" wrapText="1"/>
      <protection locked="0"/>
    </xf>
    <xf numFmtId="0" fontId="3" fillId="0" borderId="80" xfId="0" applyFont="1" applyBorder="1" applyProtection="1">
      <protection locked="0"/>
    </xf>
    <xf numFmtId="0" fontId="10" fillId="0" borderId="0" xfId="0" applyFont="1" applyAlignment="1" applyProtection="1">
      <alignment horizontal="left" vertical="top"/>
      <protection locked="0"/>
    </xf>
    <xf numFmtId="0" fontId="2" fillId="0" borderId="0" xfId="0" applyFont="1" applyProtection="1">
      <protection locked="0"/>
    </xf>
    <xf numFmtId="0" fontId="2" fillId="0" borderId="0" xfId="0" applyFont="1" applyAlignment="1" applyProtection="1">
      <alignment horizontal="left" vertical="top" wrapText="1"/>
      <protection locked="0"/>
    </xf>
    <xf numFmtId="0" fontId="16" fillId="0" borderId="0" xfId="0" applyFont="1" applyAlignment="1">
      <alignment vertical="center"/>
    </xf>
    <xf numFmtId="0" fontId="25" fillId="0" borderId="81" xfId="2" applyFont="1" applyBorder="1" applyAlignment="1">
      <alignment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26" fillId="0" borderId="84" xfId="2" applyFont="1" applyBorder="1" applyAlignment="1">
      <alignment vertical="center" wrapText="1"/>
    </xf>
    <xf numFmtId="0" fontId="3" fillId="2" borderId="82" xfId="0" applyFont="1" applyFill="1" applyBorder="1" applyAlignment="1">
      <alignment horizontal="center" vertical="top" wrapText="1"/>
    </xf>
    <xf numFmtId="0" fontId="3" fillId="2" borderId="83" xfId="0" applyFont="1" applyFill="1" applyBorder="1" applyAlignment="1">
      <alignment horizontal="center" vertical="top" wrapText="1"/>
    </xf>
    <xf numFmtId="0" fontId="25" fillId="0" borderId="72" xfId="2" applyFont="1" applyBorder="1" applyAlignment="1">
      <alignment vertical="center" wrapText="1"/>
    </xf>
    <xf numFmtId="5" fontId="25" fillId="4" borderId="5" xfId="1" applyNumberFormat="1" applyFont="1" applyFill="1" applyBorder="1" applyAlignment="1">
      <alignment vertical="center" wrapText="1"/>
    </xf>
    <xf numFmtId="5" fontId="25" fillId="4" borderId="73" xfId="1" applyNumberFormat="1" applyFont="1" applyFill="1" applyBorder="1" applyAlignment="1">
      <alignment vertical="center" wrapText="1"/>
    </xf>
    <xf numFmtId="0" fontId="9" fillId="0" borderId="72" xfId="2" applyFont="1" applyBorder="1" applyAlignment="1">
      <alignment vertical="center" wrapText="1"/>
    </xf>
    <xf numFmtId="5" fontId="9" fillId="0" borderId="5" xfId="1" applyNumberFormat="1" applyFont="1" applyBorder="1" applyAlignment="1">
      <alignment vertical="center" wrapText="1"/>
    </xf>
    <xf numFmtId="5" fontId="9" fillId="0" borderId="73" xfId="1" applyNumberFormat="1" applyFont="1" applyBorder="1" applyAlignment="1">
      <alignment vertical="center" wrapText="1"/>
    </xf>
    <xf numFmtId="169" fontId="25" fillId="10" borderId="5" xfId="5" applyNumberFormat="1" applyFont="1" applyFill="1" applyBorder="1" applyAlignment="1">
      <alignment vertical="center" wrapText="1"/>
    </xf>
    <xf numFmtId="169" fontId="25" fillId="0" borderId="5" xfId="5" applyNumberFormat="1" applyFont="1" applyBorder="1" applyAlignment="1">
      <alignment vertical="center" wrapText="1"/>
    </xf>
    <xf numFmtId="169" fontId="25" fillId="0" borderId="73" xfId="5" applyNumberFormat="1" applyFont="1" applyBorder="1" applyAlignment="1">
      <alignment vertical="center" wrapText="1"/>
    </xf>
    <xf numFmtId="169" fontId="25" fillId="0" borderId="2" xfId="5" applyNumberFormat="1" applyFont="1" applyBorder="1" applyAlignment="1">
      <alignment vertical="center" wrapText="1"/>
    </xf>
    <xf numFmtId="169" fontId="25" fillId="0" borderId="3" xfId="5" applyNumberFormat="1" applyFont="1" applyBorder="1" applyAlignment="1">
      <alignment vertical="center" wrapText="1"/>
    </xf>
    <xf numFmtId="5" fontId="9" fillId="0" borderId="5" xfId="1" applyNumberFormat="1" applyFont="1" applyFill="1" applyBorder="1" applyAlignment="1">
      <alignment vertical="center" wrapText="1"/>
    </xf>
    <xf numFmtId="5" fontId="9" fillId="0" borderId="73" xfId="1" applyNumberFormat="1" applyFont="1" applyFill="1" applyBorder="1" applyAlignment="1">
      <alignment vertical="center" wrapText="1"/>
    </xf>
    <xf numFmtId="0" fontId="25" fillId="0" borderId="85" xfId="2" applyFont="1" applyBorder="1" applyAlignment="1">
      <alignment vertical="center" wrapText="1"/>
    </xf>
    <xf numFmtId="3" fontId="25" fillId="0" borderId="86" xfId="3" applyNumberFormat="1" applyFont="1" applyFill="1" applyBorder="1" applyAlignment="1">
      <alignment vertical="center" wrapText="1"/>
    </xf>
    <xf numFmtId="169" fontId="25" fillId="0" borderId="86" xfId="5" applyNumberFormat="1" applyFont="1" applyFill="1" applyBorder="1" applyAlignment="1">
      <alignment vertical="center" wrapText="1"/>
    </xf>
    <xf numFmtId="169" fontId="25" fillId="0" borderId="87" xfId="5" applyNumberFormat="1" applyFont="1" applyFill="1" applyBorder="1" applyAlignment="1">
      <alignment vertical="center" wrapText="1"/>
    </xf>
    <xf numFmtId="0" fontId="2" fillId="0" borderId="0" xfId="2" applyAlignment="1">
      <alignment vertical="center" wrapText="1"/>
    </xf>
    <xf numFmtId="171" fontId="2" fillId="0" borderId="0" xfId="3" applyNumberFormat="1" applyFont="1" applyAlignment="1">
      <alignment vertical="center" wrapText="1"/>
    </xf>
    <xf numFmtId="171" fontId="27" fillId="0" borderId="0" xfId="3" applyNumberFormat="1" applyFont="1" applyAlignment="1">
      <alignment vertical="center" wrapText="1"/>
    </xf>
    <xf numFmtId="171" fontId="27" fillId="0" borderId="0" xfId="3" applyNumberFormat="1" applyFont="1" applyFill="1" applyBorder="1" applyAlignment="1">
      <alignment vertical="center" wrapText="1"/>
    </xf>
    <xf numFmtId="169" fontId="25" fillId="0" borderId="4" xfId="5" applyNumberFormat="1" applyFont="1" applyBorder="1" applyAlignment="1">
      <alignment vertical="center" wrapText="1"/>
    </xf>
    <xf numFmtId="0" fontId="25" fillId="0" borderId="66" xfId="2" applyFont="1" applyBorder="1" applyAlignment="1">
      <alignment vertical="center" wrapText="1"/>
    </xf>
    <xf numFmtId="0" fontId="9" fillId="0" borderId="67" xfId="2" applyFont="1" applyBorder="1" applyAlignment="1">
      <alignment horizontal="center" vertical="center" wrapText="1"/>
    </xf>
    <xf numFmtId="0" fontId="9" fillId="0" borderId="68" xfId="2" applyFont="1" applyBorder="1" applyAlignment="1">
      <alignment horizontal="center" vertical="center" wrapText="1"/>
    </xf>
    <xf numFmtId="5" fontId="25" fillId="0" borderId="5" xfId="1" applyNumberFormat="1" applyFont="1" applyBorder="1" applyAlignment="1">
      <alignment vertical="center" wrapText="1"/>
    </xf>
    <xf numFmtId="5" fontId="25" fillId="0" borderId="73" xfId="1" applyNumberFormat="1" applyFont="1" applyBorder="1" applyAlignment="1">
      <alignment vertical="center" wrapText="1"/>
    </xf>
    <xf numFmtId="3" fontId="25" fillId="10" borderId="86" xfId="3" applyNumberFormat="1" applyFont="1" applyFill="1" applyBorder="1" applyAlignment="1">
      <alignment vertical="center" wrapText="1"/>
    </xf>
    <xf numFmtId="169" fontId="25" fillId="0" borderId="86" xfId="5" applyNumberFormat="1" applyFont="1" applyBorder="1" applyAlignment="1">
      <alignment vertical="center" wrapText="1"/>
    </xf>
    <xf numFmtId="169" fontId="25" fillId="0" borderId="87" xfId="5" applyNumberFormat="1" applyFont="1" applyBorder="1" applyAlignment="1">
      <alignment vertical="center" wrapText="1"/>
    </xf>
    <xf numFmtId="0" fontId="0" fillId="0" borderId="0" xfId="0" applyAlignment="1">
      <alignment vertical="center" wrapText="1"/>
    </xf>
    <xf numFmtId="0" fontId="3" fillId="0" borderId="0" xfId="0" applyFont="1" applyAlignment="1">
      <alignment horizontal="left"/>
    </xf>
    <xf numFmtId="0" fontId="27" fillId="0" borderId="0" xfId="0" applyFont="1" applyAlignment="1">
      <alignment horizontal="right" vertical="top"/>
    </xf>
    <xf numFmtId="0" fontId="27" fillId="4" borderId="89" xfId="0" applyFont="1" applyFill="1" applyBorder="1" applyAlignment="1">
      <alignment horizontal="right" vertical="top"/>
    </xf>
    <xf numFmtId="0" fontId="27" fillId="4" borderId="0" xfId="0" applyFont="1" applyFill="1" applyAlignment="1">
      <alignment horizontal="right" vertical="top"/>
    </xf>
    <xf numFmtId="0" fontId="23" fillId="7" borderId="4" xfId="0" applyFont="1" applyFill="1" applyBorder="1" applyAlignment="1">
      <alignment horizontal="center"/>
    </xf>
    <xf numFmtId="0" fontId="3" fillId="0" borderId="66" xfId="0" applyFont="1" applyBorder="1" applyAlignment="1">
      <alignment vertical="center"/>
    </xf>
    <xf numFmtId="0" fontId="3" fillId="0" borderId="90" xfId="0" applyFont="1" applyBorder="1" applyAlignment="1">
      <alignment horizontal="center" vertical="center" wrapText="1"/>
    </xf>
    <xf numFmtId="0" fontId="26" fillId="0" borderId="91" xfId="2" applyFont="1" applyBorder="1" applyAlignment="1">
      <alignment vertical="center" wrapText="1"/>
    </xf>
    <xf numFmtId="0" fontId="28" fillId="0" borderId="0" xfId="0" applyFont="1"/>
    <xf numFmtId="0" fontId="13" fillId="0" borderId="0" xfId="0" applyFont="1" applyAlignment="1">
      <alignment horizontal="center"/>
    </xf>
    <xf numFmtId="0" fontId="3" fillId="0" borderId="92" xfId="0" applyFont="1" applyBorder="1"/>
    <xf numFmtId="5" fontId="15" fillId="4" borderId="64" xfId="0" applyNumberFormat="1" applyFont="1" applyFill="1" applyBorder="1"/>
    <xf numFmtId="5" fontId="15" fillId="4" borderId="88" xfId="0" applyNumberFormat="1" applyFont="1" applyFill="1" applyBorder="1"/>
    <xf numFmtId="5" fontId="0" fillId="0" borderId="0" xfId="0" applyNumberFormat="1"/>
    <xf numFmtId="0" fontId="13" fillId="4" borderId="72" xfId="0" applyFont="1" applyFill="1" applyBorder="1"/>
    <xf numFmtId="169" fontId="0" fillId="0" borderId="0" xfId="5" applyNumberFormat="1" applyFont="1" applyBorder="1"/>
    <xf numFmtId="0" fontId="0" fillId="4" borderId="72" xfId="0" applyFill="1" applyBorder="1"/>
    <xf numFmtId="0" fontId="3" fillId="0" borderId="93" xfId="0" applyFont="1" applyBorder="1"/>
    <xf numFmtId="5" fontId="15" fillId="4" borderId="94" xfId="0" applyNumberFormat="1" applyFont="1" applyFill="1" applyBorder="1"/>
    <xf numFmtId="5" fontId="15" fillId="4" borderId="39" xfId="0" applyNumberFormat="1" applyFont="1" applyFill="1" applyBorder="1"/>
    <xf numFmtId="0" fontId="3" fillId="0" borderId="0" xfId="0" applyFont="1"/>
    <xf numFmtId="0" fontId="23" fillId="0" borderId="0" xfId="0" applyFont="1" applyAlignment="1">
      <alignment horizontal="center"/>
    </xf>
    <xf numFmtId="0" fontId="16" fillId="0" borderId="0" xfId="0" applyFont="1"/>
    <xf numFmtId="0" fontId="3" fillId="0" borderId="1" xfId="0" applyFont="1" applyBorder="1"/>
    <xf numFmtId="0" fontId="26" fillId="0" borderId="70" xfId="2" applyFont="1" applyBorder="1" applyAlignment="1">
      <alignment vertical="center" wrapText="1"/>
    </xf>
    <xf numFmtId="0" fontId="26" fillId="11" borderId="72" xfId="2" applyFont="1" applyFill="1" applyBorder="1" applyAlignment="1">
      <alignment vertical="center" wrapText="1"/>
    </xf>
    <xf numFmtId="0" fontId="3" fillId="11" borderId="6" xfId="0" applyFont="1" applyFill="1" applyBorder="1" applyAlignment="1">
      <alignment horizontal="center" vertical="top" wrapText="1"/>
    </xf>
    <xf numFmtId="0" fontId="31" fillId="11" borderId="72" xfId="0" applyFont="1" applyFill="1" applyBorder="1"/>
    <xf numFmtId="3" fontId="0" fillId="11" borderId="5" xfId="0" applyNumberFormat="1" applyFill="1" applyBorder="1"/>
    <xf numFmtId="3" fontId="0" fillId="11" borderId="5" xfId="1" applyNumberFormat="1" applyFont="1" applyFill="1" applyBorder="1"/>
    <xf numFmtId="0" fontId="2" fillId="11" borderId="72" xfId="0" applyFont="1" applyFill="1" applyBorder="1"/>
    <xf numFmtId="165" fontId="0" fillId="11" borderId="5" xfId="3" applyNumberFormat="1" applyFont="1" applyFill="1" applyBorder="1"/>
    <xf numFmtId="0" fontId="31" fillId="0" borderId="72" xfId="0" applyFont="1" applyBorder="1"/>
    <xf numFmtId="165" fontId="0" fillId="0" borderId="61" xfId="3" applyNumberFormat="1" applyFont="1" applyFill="1" applyBorder="1"/>
    <xf numFmtId="165" fontId="0" fillId="11" borderId="61" xfId="3" applyNumberFormat="1" applyFont="1" applyFill="1" applyBorder="1"/>
    <xf numFmtId="3" fontId="3" fillId="0" borderId="80" xfId="0" applyNumberFormat="1" applyFont="1" applyBorder="1"/>
    <xf numFmtId="165" fontId="3" fillId="0" borderId="77" xfId="3" applyNumberFormat="1" applyFont="1" applyFill="1" applyBorder="1"/>
    <xf numFmtId="165" fontId="3" fillId="0" borderId="78" xfId="3" applyNumberFormat="1" applyFont="1" applyFill="1" applyBorder="1"/>
    <xf numFmtId="165" fontId="0" fillId="0" borderId="0" xfId="0" applyNumberFormat="1"/>
    <xf numFmtId="0" fontId="3" fillId="0" borderId="95" xfId="0" applyFont="1" applyBorder="1" applyAlignment="1">
      <alignment horizontal="center" vertical="center" wrapText="1"/>
    </xf>
    <xf numFmtId="0" fontId="3" fillId="0" borderId="6" xfId="0" applyFont="1" applyBorder="1" applyAlignment="1">
      <alignment horizontal="center" vertical="top" wrapText="1"/>
    </xf>
    <xf numFmtId="0" fontId="3" fillId="0" borderId="74" xfId="0" applyFont="1" applyBorder="1" applyAlignment="1">
      <alignment horizontal="center" vertical="top" wrapText="1"/>
    </xf>
    <xf numFmtId="3" fontId="0" fillId="0" borderId="5" xfId="1" applyNumberFormat="1" applyFont="1" applyFill="1" applyBorder="1"/>
    <xf numFmtId="3" fontId="0" fillId="0" borderId="73" xfId="1" applyNumberFormat="1" applyFont="1" applyFill="1" applyBorder="1"/>
    <xf numFmtId="165" fontId="0" fillId="8" borderId="5" xfId="3" applyNumberFormat="1" applyFont="1" applyFill="1" applyBorder="1"/>
    <xf numFmtId="165" fontId="0" fillId="0" borderId="73" xfId="3" applyNumberFormat="1" applyFont="1" applyFill="1" applyBorder="1"/>
    <xf numFmtId="165" fontId="0" fillId="11" borderId="6" xfId="3" applyNumberFormat="1" applyFont="1" applyFill="1" applyBorder="1"/>
    <xf numFmtId="165" fontId="0" fillId="0" borderId="5" xfId="3" applyNumberFormat="1" applyFont="1" applyFill="1" applyBorder="1"/>
    <xf numFmtId="165" fontId="0" fillId="11" borderId="7" xfId="3" applyNumberFormat="1" applyFont="1" applyFill="1" applyBorder="1"/>
    <xf numFmtId="165" fontId="0" fillId="8" borderId="73" xfId="3" applyNumberFormat="1" applyFont="1" applyFill="1" applyBorder="1"/>
    <xf numFmtId="0" fontId="3" fillId="2" borderId="95" xfId="0" applyFont="1" applyFill="1" applyBorder="1" applyAlignment="1">
      <alignment horizontal="center" vertical="top" wrapText="1"/>
    </xf>
    <xf numFmtId="5" fontId="25" fillId="4" borderId="2" xfId="1" applyNumberFormat="1" applyFont="1" applyFill="1" applyBorder="1" applyAlignment="1">
      <alignment vertical="center" wrapText="1"/>
    </xf>
    <xf numFmtId="5" fontId="9" fillId="0" borderId="2" xfId="1" applyNumberFormat="1" applyFont="1" applyBorder="1" applyAlignment="1">
      <alignment vertical="center" wrapText="1"/>
    </xf>
    <xf numFmtId="5" fontId="9" fillId="0" borderId="2" xfId="1" applyNumberFormat="1" applyFont="1" applyFill="1" applyBorder="1" applyAlignment="1">
      <alignment vertical="center" wrapText="1"/>
    </xf>
    <xf numFmtId="169" fontId="25" fillId="0" borderId="96" xfId="5" applyNumberFormat="1" applyFont="1" applyFill="1" applyBorder="1" applyAlignment="1">
      <alignment vertical="center" wrapText="1"/>
    </xf>
    <xf numFmtId="0" fontId="9" fillId="0" borderId="97" xfId="2" applyFont="1" applyBorder="1" applyAlignment="1">
      <alignment horizontal="center" vertical="center" wrapText="1"/>
    </xf>
    <xf numFmtId="5" fontId="25" fillId="0" borderId="2" xfId="1" applyNumberFormat="1" applyFont="1" applyBorder="1" applyAlignment="1">
      <alignment vertical="center" wrapText="1"/>
    </xf>
    <xf numFmtId="169" fontId="25" fillId="0" borderId="96" xfId="5" applyNumberFormat="1" applyFont="1" applyBorder="1" applyAlignment="1">
      <alignment vertical="center" wrapText="1"/>
    </xf>
    <xf numFmtId="0" fontId="3" fillId="11" borderId="62" xfId="0" applyFont="1" applyFill="1" applyBorder="1" applyAlignment="1">
      <alignment horizontal="center" vertical="top" wrapText="1"/>
    </xf>
    <xf numFmtId="3" fontId="0" fillId="11" borderId="2" xfId="1" applyNumberFormat="1" applyFont="1" applyFill="1" applyBorder="1"/>
    <xf numFmtId="165" fontId="0" fillId="11" borderId="2" xfId="3" applyNumberFormat="1" applyFont="1" applyFill="1" applyBorder="1"/>
    <xf numFmtId="165" fontId="0" fillId="0" borderId="60" xfId="3" applyNumberFormat="1" applyFont="1" applyFill="1" applyBorder="1"/>
    <xf numFmtId="165" fontId="0" fillId="11" borderId="60" xfId="3" applyNumberFormat="1" applyFont="1" applyFill="1" applyBorder="1"/>
    <xf numFmtId="165" fontId="3" fillId="0" borderId="98" xfId="3" applyNumberFormat="1" applyFont="1" applyFill="1" applyBorder="1"/>
    <xf numFmtId="5" fontId="15" fillId="4" borderId="65" xfId="0" applyNumberFormat="1" applyFont="1" applyFill="1" applyBorder="1"/>
    <xf numFmtId="5" fontId="15" fillId="4" borderId="38" xfId="0" applyNumberFormat="1" applyFont="1" applyFill="1" applyBorder="1"/>
    <xf numFmtId="5" fontId="15" fillId="4" borderId="7" xfId="0" applyNumberFormat="1" applyFont="1" applyFill="1" applyBorder="1"/>
    <xf numFmtId="5" fontId="15" fillId="4" borderId="99" xfId="0" applyNumberFormat="1" applyFont="1" applyFill="1" applyBorder="1"/>
    <xf numFmtId="9" fontId="0" fillId="0" borderId="0" xfId="5" applyFont="1"/>
    <xf numFmtId="43" fontId="0" fillId="0" borderId="0" xfId="0" applyNumberFormat="1" applyProtection="1">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xf numFmtId="0" fontId="3" fillId="3" borderId="2" xfId="2" applyFont="1" applyFill="1" applyBorder="1" applyAlignment="1" applyProtection="1">
      <alignment horizontal="center"/>
      <protection locked="0"/>
    </xf>
    <xf numFmtId="0" fontId="3" fillId="3" borderId="3" xfId="2" applyFont="1" applyFill="1" applyBorder="1" applyAlignment="1" applyProtection="1">
      <alignment horizontal="center"/>
      <protection locked="0"/>
    </xf>
    <xf numFmtId="0" fontId="3" fillId="3" borderId="4" xfId="2" applyFont="1" applyFill="1" applyBorder="1" applyAlignment="1" applyProtection="1">
      <alignment horizontal="center"/>
      <protection locked="0"/>
    </xf>
    <xf numFmtId="0" fontId="3" fillId="0" borderId="2" xfId="2" applyFont="1" applyBorder="1" applyProtection="1">
      <protection locked="0"/>
    </xf>
    <xf numFmtId="0" fontId="3" fillId="0" borderId="3" xfId="2" applyFont="1" applyBorder="1" applyProtection="1">
      <protection locked="0"/>
    </xf>
    <xf numFmtId="0" fontId="3" fillId="0" borderId="8" xfId="2" applyFont="1" applyBorder="1" applyAlignment="1" applyProtection="1">
      <alignment wrapText="1"/>
      <protection locked="0"/>
    </xf>
    <xf numFmtId="0" fontId="3" fillId="0" borderId="0" xfId="0" applyFont="1" applyAlignment="1" applyProtection="1">
      <alignment horizontal="left" wrapText="1"/>
      <protection locked="0"/>
    </xf>
    <xf numFmtId="0" fontId="16" fillId="0" borderId="0" xfId="0" applyFont="1" applyAlignment="1">
      <alignment horizontal="center" vertical="top"/>
    </xf>
    <xf numFmtId="0" fontId="2" fillId="0" borderId="0" xfId="0" applyFont="1" applyAlignment="1" applyProtection="1">
      <alignment horizontal="left" vertical="top" wrapText="1"/>
      <protection locked="0"/>
    </xf>
    <xf numFmtId="0" fontId="3" fillId="0" borderId="4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30" xfId="0" applyFont="1" applyBorder="1" applyAlignment="1">
      <alignment horizontal="center" vertical="center" wrapText="1"/>
    </xf>
    <xf numFmtId="0" fontId="16" fillId="0" borderId="37" xfId="0" applyFont="1" applyBorder="1" applyAlignment="1">
      <alignment horizontal="center" vertical="center" wrapText="1"/>
    </xf>
    <xf numFmtId="0" fontId="2" fillId="0" borderId="42" xfId="0" applyFont="1" applyBorder="1" applyAlignment="1">
      <alignmen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3" xfId="0" applyFont="1" applyBorder="1" applyAlignment="1">
      <alignment horizontal="center" vertical="center" wrapText="1"/>
    </xf>
    <xf numFmtId="0" fontId="12" fillId="0" borderId="33"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4" xfId="0" applyFont="1" applyBorder="1" applyAlignment="1">
      <alignment horizontal="center" vertical="center" wrapText="1"/>
    </xf>
    <xf numFmtId="0" fontId="3" fillId="8" borderId="5" xfId="0" applyFont="1" applyFill="1" applyBorder="1" applyAlignment="1">
      <alignment horizontal="center"/>
    </xf>
    <xf numFmtId="0" fontId="3" fillId="8" borderId="60" xfId="0" applyFont="1" applyFill="1" applyBorder="1" applyAlignment="1">
      <alignment horizontal="center"/>
    </xf>
    <xf numFmtId="0" fontId="3" fillId="8" borderId="16" xfId="0" applyFont="1" applyFill="1" applyBorder="1" applyAlignment="1">
      <alignment horizontal="center"/>
    </xf>
    <xf numFmtId="0" fontId="3" fillId="8" borderId="62" xfId="0" applyFont="1" applyFill="1" applyBorder="1" applyAlignment="1">
      <alignment horizontal="center"/>
    </xf>
    <xf numFmtId="0" fontId="3" fillId="8" borderId="59" xfId="0" applyFont="1" applyFill="1" applyBorder="1" applyAlignment="1">
      <alignment horizontal="center"/>
    </xf>
    <xf numFmtId="0" fontId="3" fillId="8" borderId="63" xfId="0" applyFont="1" applyFill="1" applyBorder="1" applyAlignment="1">
      <alignment horizontal="center"/>
    </xf>
    <xf numFmtId="0" fontId="3" fillId="8" borderId="64" xfId="0" applyFont="1" applyFill="1" applyBorder="1" applyAlignment="1">
      <alignment horizontal="center"/>
    </xf>
    <xf numFmtId="0" fontId="2" fillId="0" borderId="0" xfId="0" applyFont="1" applyAlignment="1">
      <alignment horizontal="left" vertical="top" wrapText="1"/>
    </xf>
    <xf numFmtId="0" fontId="3" fillId="8" borderId="61" xfId="0" applyFont="1" applyFill="1" applyBorder="1" applyAlignment="1">
      <alignment horizontal="center"/>
    </xf>
    <xf numFmtId="0" fontId="3" fillId="8" borderId="6" xfId="0" applyFont="1" applyFill="1" applyBorder="1" applyAlignment="1">
      <alignment horizontal="center"/>
    </xf>
    <xf numFmtId="0" fontId="3" fillId="8" borderId="7"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4" xfId="0" applyFont="1" applyFill="1" applyBorder="1" applyAlignment="1">
      <alignment horizontal="center"/>
    </xf>
    <xf numFmtId="0" fontId="13" fillId="0" borderId="0" xfId="0" applyFont="1" applyAlignment="1">
      <alignment horizontal="left"/>
    </xf>
    <xf numFmtId="0" fontId="21" fillId="4" borderId="60" xfId="0" applyFont="1" applyFill="1" applyBorder="1" applyAlignment="1" applyProtection="1">
      <alignment horizontal="left" vertical="top"/>
      <protection locked="0"/>
    </xf>
    <xf numFmtId="0" fontId="21" fillId="4" borderId="8" xfId="0" applyFont="1" applyFill="1" applyBorder="1" applyAlignment="1" applyProtection="1">
      <alignment horizontal="left" vertical="top"/>
      <protection locked="0"/>
    </xf>
    <xf numFmtId="0" fontId="21" fillId="4" borderId="16" xfId="0" applyFont="1" applyFill="1" applyBorder="1" applyAlignment="1" applyProtection="1">
      <alignment horizontal="left" vertical="top"/>
      <protection locked="0"/>
    </xf>
    <xf numFmtId="0" fontId="21" fillId="4" borderId="63" xfId="0" applyFont="1" applyFill="1" applyBorder="1" applyAlignment="1" applyProtection="1">
      <alignment horizontal="left" vertical="top"/>
      <protection locked="0"/>
    </xf>
    <xf numFmtId="0" fontId="21" fillId="4" borderId="65" xfId="0" applyFont="1" applyFill="1" applyBorder="1" applyAlignment="1" applyProtection="1">
      <alignment horizontal="left" vertical="top"/>
      <protection locked="0"/>
    </xf>
    <xf numFmtId="0" fontId="21" fillId="4" borderId="64" xfId="0" applyFont="1" applyFill="1" applyBorder="1" applyAlignment="1" applyProtection="1">
      <alignment horizontal="left" vertical="top"/>
      <protection locked="0"/>
    </xf>
    <xf numFmtId="0" fontId="13" fillId="0" borderId="2" xfId="0" applyFont="1" applyBorder="1"/>
    <xf numFmtId="0" fontId="13" fillId="0" borderId="3" xfId="0" applyFont="1" applyBorder="1"/>
    <xf numFmtId="0" fontId="13" fillId="0" borderId="4" xfId="0" applyFont="1" applyBorder="1"/>
    <xf numFmtId="0" fontId="2" fillId="0" borderId="0" xfId="0" applyFont="1" applyAlignment="1">
      <alignment horizontal="left" vertical="center"/>
    </xf>
    <xf numFmtId="0" fontId="20" fillId="0" borderId="2" xfId="0" applyFont="1" applyBorder="1"/>
    <xf numFmtId="0" fontId="20" fillId="0" borderId="3" xfId="0" applyFont="1" applyBorder="1"/>
    <xf numFmtId="0" fontId="20" fillId="0" borderId="4" xfId="0" applyFont="1" applyBorder="1"/>
    <xf numFmtId="0" fontId="16" fillId="0" borderId="0" xfId="0" applyFont="1" applyAlignment="1">
      <alignment horizontal="center" vertical="center"/>
    </xf>
    <xf numFmtId="0" fontId="16" fillId="0" borderId="0" xfId="0" applyFont="1" applyAlignment="1">
      <alignment horizontal="center"/>
    </xf>
    <xf numFmtId="0" fontId="0" fillId="0" borderId="0" xfId="0" applyAlignment="1">
      <alignment horizontal="left" vertical="top" wrapText="1"/>
    </xf>
    <xf numFmtId="0" fontId="23" fillId="7" borderId="5" xfId="0" applyFont="1" applyFill="1" applyBorder="1" applyAlignment="1">
      <alignment horizontal="center"/>
    </xf>
    <xf numFmtId="0" fontId="0" fillId="0" borderId="0" xfId="0" applyAlignment="1">
      <alignment horizontal="left" wrapText="1"/>
    </xf>
  </cellXfs>
  <cellStyles count="6">
    <cellStyle name="Comma" xfId="3" builtinId="3"/>
    <cellStyle name="Currency" xfId="1" builtinId="4"/>
    <cellStyle name="Normal" xfId="0" builtinId="0"/>
    <cellStyle name="Normal 2" xfId="2" xr:uid="{C2AD1205-93E9-4B7F-BE57-8219EBF2E847}"/>
    <cellStyle name="Normal 3" xfId="4" xr:uid="{3C8FA3A9-371D-464F-9316-A853729A871E}"/>
    <cellStyle name="Percent" xfId="5" builtinId="5"/>
  </cellStyles>
  <dxfs count="3">
    <dxf>
      <font>
        <b val="0"/>
        <i val="0"/>
        <color rgb="FFFF0000"/>
      </font>
      <fill>
        <patternFill>
          <bgColor theme="6" tint="0.79998168889431442"/>
        </patternFill>
      </fill>
    </dxf>
    <dxf>
      <font>
        <b/>
        <i val="0"/>
      </font>
      <fill>
        <patternFill>
          <bgColor rgb="FFFFFF00"/>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97B67-7098-4537-8AF4-C457BF452334}">
  <sheetPr codeName="Sheet1"/>
  <dimension ref="A2:R254"/>
  <sheetViews>
    <sheetView topLeftCell="A241" zoomScaleNormal="100" workbookViewId="0">
      <selection activeCell="D240" sqref="D240"/>
    </sheetView>
  </sheetViews>
  <sheetFormatPr defaultRowHeight="15" x14ac:dyDescent="0.25"/>
  <cols>
    <col min="3" max="3" width="33.7109375" customWidth="1"/>
    <col min="4" max="4" width="14.5703125" bestFit="1" customWidth="1"/>
    <col min="5" max="5" width="13" customWidth="1"/>
    <col min="6" max="6" width="12.28515625" bestFit="1" customWidth="1"/>
    <col min="7" max="7" width="15.28515625" customWidth="1"/>
    <col min="8" max="8" width="0.28515625" customWidth="1"/>
    <col min="9" max="9" width="2.42578125" customWidth="1"/>
    <col min="10" max="10" width="14.28515625" customWidth="1"/>
    <col min="11" max="11" width="12.42578125" customWidth="1"/>
    <col min="12" max="12" width="14.28515625" customWidth="1"/>
    <col min="13" max="13" width="14.85546875" customWidth="1"/>
    <col min="14" max="14" width="14.5703125" bestFit="1" customWidth="1"/>
    <col min="17" max="17" width="13.28515625" bestFit="1" customWidth="1"/>
    <col min="18" max="18" width="15" bestFit="1" customWidth="1"/>
  </cols>
  <sheetData>
    <row r="2" spans="1:14" ht="15.75" thickBot="1" x14ac:dyDescent="0.3">
      <c r="A2" s="1"/>
      <c r="B2" s="1"/>
      <c r="C2" s="2"/>
      <c r="D2" s="2"/>
      <c r="E2" s="3" t="s">
        <v>0</v>
      </c>
      <c r="F2" s="4" t="s">
        <v>1</v>
      </c>
      <c r="G2" s="2"/>
      <c r="H2" s="2"/>
      <c r="I2" s="2"/>
      <c r="J2" s="2"/>
      <c r="K2" s="2"/>
      <c r="L2" s="2"/>
      <c r="M2" s="2"/>
      <c r="N2" s="2"/>
    </row>
    <row r="3" spans="1:14" ht="15.75" thickBot="1" x14ac:dyDescent="0.3">
      <c r="A3" s="1"/>
      <c r="B3" s="1"/>
      <c r="C3" s="2"/>
      <c r="D3" s="2"/>
      <c r="E3" s="3" t="s">
        <v>2</v>
      </c>
      <c r="F3" s="5">
        <v>2023</v>
      </c>
      <c r="G3" s="6"/>
      <c r="H3" s="7" t="b">
        <f>IF(F3=2014,4,IF(F3=2015,5,IF(F3=2016,6,IF(F3=2017,7,IF(F3=2018,8,IF(F3=2019,9,IF(F3=2020,10)))))))</f>
        <v>0</v>
      </c>
      <c r="I3" s="2"/>
      <c r="J3" s="2"/>
      <c r="K3" s="2"/>
      <c r="L3" s="2"/>
      <c r="M3" s="2"/>
      <c r="N3" s="2"/>
    </row>
    <row r="4" spans="1:14" x14ac:dyDescent="0.25">
      <c r="A4" s="1"/>
      <c r="B4" s="1"/>
      <c r="C4" s="2"/>
      <c r="D4" s="2"/>
      <c r="E4" s="2"/>
      <c r="F4" s="2"/>
      <c r="G4" s="2"/>
      <c r="H4" s="2"/>
      <c r="I4" s="2"/>
      <c r="J4" s="2"/>
      <c r="K4" s="2"/>
      <c r="L4" s="2"/>
      <c r="M4" s="2"/>
      <c r="N4" s="2"/>
    </row>
    <row r="5" spans="1:14" x14ac:dyDescent="0.25">
      <c r="A5" s="1"/>
      <c r="B5" s="1"/>
      <c r="C5" s="2"/>
      <c r="D5" s="329" t="s">
        <v>3</v>
      </c>
      <c r="E5" s="330"/>
      <c r="F5" s="330"/>
      <c r="G5" s="330"/>
      <c r="H5" s="331"/>
      <c r="I5" s="2"/>
      <c r="J5" s="8"/>
      <c r="K5" s="9" t="s">
        <v>4</v>
      </c>
      <c r="L5" s="9"/>
      <c r="M5" s="10"/>
      <c r="N5" s="2"/>
    </row>
    <row r="6" spans="1:14" ht="90" x14ac:dyDescent="0.25">
      <c r="A6" s="11" t="s">
        <v>5</v>
      </c>
      <c r="B6" s="11" t="s">
        <v>6</v>
      </c>
      <c r="C6" s="12" t="s">
        <v>7</v>
      </c>
      <c r="D6" s="11" t="s">
        <v>8</v>
      </c>
      <c r="E6" s="13" t="s">
        <v>9</v>
      </c>
      <c r="F6" s="13" t="s">
        <v>10</v>
      </c>
      <c r="G6" s="11" t="s">
        <v>11</v>
      </c>
      <c r="H6" s="11" t="s">
        <v>12</v>
      </c>
      <c r="I6" s="14"/>
      <c r="J6" s="11" t="s">
        <v>8</v>
      </c>
      <c r="K6" s="15" t="s">
        <v>13</v>
      </c>
      <c r="L6" s="15" t="s">
        <v>10</v>
      </c>
      <c r="M6" s="16" t="s">
        <v>11</v>
      </c>
      <c r="N6" s="11" t="s">
        <v>14</v>
      </c>
    </row>
    <row r="7" spans="1:14" ht="22.5" customHeight="1" x14ac:dyDescent="0.25">
      <c r="A7" s="11"/>
      <c r="B7" s="17">
        <v>1609</v>
      </c>
      <c r="C7" s="18" t="s">
        <v>15</v>
      </c>
      <c r="D7" s="19"/>
      <c r="E7" s="20"/>
      <c r="F7" s="20"/>
      <c r="G7" s="21">
        <f>D7+E7+F7</f>
        <v>0</v>
      </c>
      <c r="H7" s="21">
        <v>0</v>
      </c>
      <c r="I7" s="14"/>
      <c r="J7" s="22"/>
      <c r="K7" s="20"/>
      <c r="L7" s="20"/>
      <c r="M7" s="21">
        <f>J7+K7+L7</f>
        <v>0</v>
      </c>
      <c r="N7" s="23">
        <f>G7+M7</f>
        <v>0</v>
      </c>
    </row>
    <row r="8" spans="1:14" ht="27.75" customHeight="1" x14ac:dyDescent="0.25">
      <c r="A8" s="17">
        <v>12</v>
      </c>
      <c r="B8" s="17">
        <v>1611</v>
      </c>
      <c r="C8" s="18" t="s">
        <v>16</v>
      </c>
      <c r="D8" s="19">
        <v>7273631</v>
      </c>
      <c r="E8" s="20">
        <v>169352.40999999997</v>
      </c>
      <c r="F8" s="20"/>
      <c r="G8" s="21">
        <f>D8+E8+F8</f>
        <v>7442983.4100000001</v>
      </c>
      <c r="H8" s="21">
        <v>0</v>
      </c>
      <c r="I8" s="24"/>
      <c r="J8" s="22">
        <v>-5252579</v>
      </c>
      <c r="K8" s="20">
        <v>-516490</v>
      </c>
      <c r="L8" s="20"/>
      <c r="M8" s="21">
        <f>J8+K8+L8</f>
        <v>-5769069</v>
      </c>
      <c r="N8" s="23">
        <f>G8+M8</f>
        <v>1673914.4100000001</v>
      </c>
    </row>
    <row r="9" spans="1:14" ht="33.75" customHeight="1" x14ac:dyDescent="0.25">
      <c r="A9" s="17" t="s">
        <v>17</v>
      </c>
      <c r="B9" s="17">
        <v>1612</v>
      </c>
      <c r="C9" s="18" t="s">
        <v>18</v>
      </c>
      <c r="D9" s="19"/>
      <c r="E9" s="20"/>
      <c r="F9" s="20"/>
      <c r="G9" s="21">
        <f>D9+E9+F9</f>
        <v>0</v>
      </c>
      <c r="H9" s="21">
        <v>0</v>
      </c>
      <c r="I9" s="24"/>
      <c r="J9" s="22"/>
      <c r="K9" s="20"/>
      <c r="L9" s="20"/>
      <c r="M9" s="21">
        <f>J9+K9+L9</f>
        <v>0</v>
      </c>
      <c r="N9" s="23">
        <f>G9+M9</f>
        <v>0</v>
      </c>
    </row>
    <row r="10" spans="1:14" x14ac:dyDescent="0.25">
      <c r="A10" s="17" t="s">
        <v>19</v>
      </c>
      <c r="B10" s="17">
        <v>1805</v>
      </c>
      <c r="C10" s="18" t="s">
        <v>20</v>
      </c>
      <c r="D10" s="19">
        <v>618553</v>
      </c>
      <c r="E10" s="20">
        <v>8195.8700000000008</v>
      </c>
      <c r="F10" s="20">
        <v>-6586</v>
      </c>
      <c r="G10" s="21">
        <f>D10+E10+F10</f>
        <v>620162.87</v>
      </c>
      <c r="H10" s="21">
        <v>0</v>
      </c>
      <c r="I10" s="24"/>
      <c r="J10" s="22"/>
      <c r="K10" s="20"/>
      <c r="L10" s="20"/>
      <c r="M10" s="21">
        <f>J10+K10+L10</f>
        <v>0</v>
      </c>
      <c r="N10" s="23">
        <f>G10+M10</f>
        <v>620162.87</v>
      </c>
    </row>
    <row r="11" spans="1:14" x14ac:dyDescent="0.25">
      <c r="A11" s="17">
        <v>47</v>
      </c>
      <c r="B11" s="17">
        <v>1808</v>
      </c>
      <c r="C11" s="18" t="s">
        <v>21</v>
      </c>
      <c r="D11" s="19">
        <v>749355</v>
      </c>
      <c r="E11" s="20"/>
      <c r="F11" s="20">
        <v>-45627</v>
      </c>
      <c r="G11" s="21">
        <f t="shared" ref="G11:G47" si="0">D11+E11+F11</f>
        <v>703728</v>
      </c>
      <c r="H11" s="21">
        <v>0</v>
      </c>
      <c r="I11" s="24"/>
      <c r="J11" s="22">
        <v>-151846</v>
      </c>
      <c r="K11" s="20">
        <v>-22787.5</v>
      </c>
      <c r="L11" s="20">
        <v>5550</v>
      </c>
      <c r="M11" s="21">
        <f t="shared" ref="M11:M47" si="1">J11+K11+L11</f>
        <v>-169083.5</v>
      </c>
      <c r="N11" s="23">
        <f t="shared" ref="N11:N47" si="2">G11+M11</f>
        <v>534644.5</v>
      </c>
    </row>
    <row r="12" spans="1:14" ht="20.25" customHeight="1" x14ac:dyDescent="0.25">
      <c r="A12" s="17">
        <v>13</v>
      </c>
      <c r="B12" s="17">
        <v>1810</v>
      </c>
      <c r="C12" s="18" t="s">
        <v>22</v>
      </c>
      <c r="D12" s="19"/>
      <c r="E12" s="20"/>
      <c r="F12" s="20"/>
      <c r="G12" s="21">
        <f t="shared" si="0"/>
        <v>0</v>
      </c>
      <c r="H12" s="21">
        <v>0</v>
      </c>
      <c r="I12" s="24"/>
      <c r="J12" s="22"/>
      <c r="K12" s="20"/>
      <c r="L12" s="20"/>
      <c r="M12" s="21">
        <f t="shared" si="1"/>
        <v>0</v>
      </c>
      <c r="N12" s="23">
        <f t="shared" si="2"/>
        <v>0</v>
      </c>
    </row>
    <row r="13" spans="1:14" ht="16.5" customHeight="1" x14ac:dyDescent="0.25">
      <c r="A13" s="17">
        <v>47</v>
      </c>
      <c r="B13" s="17">
        <v>1815</v>
      </c>
      <c r="C13" s="18" t="s">
        <v>23</v>
      </c>
      <c r="D13" s="19"/>
      <c r="E13" s="20"/>
      <c r="F13" s="20"/>
      <c r="G13" s="21">
        <f t="shared" si="0"/>
        <v>0</v>
      </c>
      <c r="H13" s="21">
        <v>0</v>
      </c>
      <c r="I13" s="24"/>
      <c r="J13" s="22"/>
      <c r="K13" s="20"/>
      <c r="L13" s="20"/>
      <c r="M13" s="21">
        <f t="shared" si="1"/>
        <v>0</v>
      </c>
      <c r="N13" s="23">
        <f t="shared" si="2"/>
        <v>0</v>
      </c>
    </row>
    <row r="14" spans="1:14" ht="18.75" customHeight="1" x14ac:dyDescent="0.25">
      <c r="A14" s="17">
        <v>47</v>
      </c>
      <c r="B14" s="17">
        <v>1820</v>
      </c>
      <c r="C14" s="18" t="s">
        <v>24</v>
      </c>
      <c r="D14" s="19">
        <v>1981946</v>
      </c>
      <c r="E14" s="20">
        <v>22241.09</v>
      </c>
      <c r="F14" s="20"/>
      <c r="G14" s="21">
        <f t="shared" si="0"/>
        <v>2004187.09</v>
      </c>
      <c r="H14" s="21">
        <v>0</v>
      </c>
      <c r="I14" s="24"/>
      <c r="J14" s="22">
        <v>-863696</v>
      </c>
      <c r="K14" s="20">
        <v>-110685</v>
      </c>
      <c r="L14" s="20"/>
      <c r="M14" s="21">
        <f t="shared" si="1"/>
        <v>-974381</v>
      </c>
      <c r="N14" s="23">
        <f t="shared" si="2"/>
        <v>1029806.0900000001</v>
      </c>
    </row>
    <row r="15" spans="1:14" ht="19.5" customHeight="1" x14ac:dyDescent="0.25">
      <c r="A15" s="17">
        <v>47</v>
      </c>
      <c r="B15" s="17">
        <v>1825</v>
      </c>
      <c r="C15" s="18" t="s">
        <v>25</v>
      </c>
      <c r="D15" s="19"/>
      <c r="E15" s="20"/>
      <c r="F15" s="20"/>
      <c r="G15" s="21">
        <f t="shared" si="0"/>
        <v>0</v>
      </c>
      <c r="H15" s="21">
        <v>0</v>
      </c>
      <c r="I15" s="24"/>
      <c r="J15" s="22"/>
      <c r="K15" s="20"/>
      <c r="L15" s="20"/>
      <c r="M15" s="21">
        <f t="shared" si="1"/>
        <v>0</v>
      </c>
      <c r="N15" s="23">
        <f t="shared" si="2"/>
        <v>0</v>
      </c>
    </row>
    <row r="16" spans="1:14" ht="18.75" customHeight="1" x14ac:dyDescent="0.25">
      <c r="A16" s="17">
        <v>47</v>
      </c>
      <c r="B16" s="17">
        <v>1830</v>
      </c>
      <c r="C16" s="18" t="s">
        <v>26</v>
      </c>
      <c r="D16" s="19">
        <v>31383675</v>
      </c>
      <c r="E16" s="20">
        <v>2536560.35</v>
      </c>
      <c r="F16" s="20"/>
      <c r="G16" s="21">
        <f t="shared" si="0"/>
        <v>33920235.350000001</v>
      </c>
      <c r="H16" s="21">
        <v>0</v>
      </c>
      <c r="I16" s="24"/>
      <c r="J16" s="22">
        <v>-3439879</v>
      </c>
      <c r="K16" s="20">
        <v>-631717.5</v>
      </c>
      <c r="L16" s="20"/>
      <c r="M16" s="21">
        <f t="shared" si="1"/>
        <v>-4071596.5</v>
      </c>
      <c r="N16" s="23">
        <f t="shared" si="2"/>
        <v>29848638.850000001</v>
      </c>
    </row>
    <row r="17" spans="1:14" ht="21" customHeight="1" x14ac:dyDescent="0.25">
      <c r="A17" s="17">
        <v>47</v>
      </c>
      <c r="B17" s="17">
        <v>1835</v>
      </c>
      <c r="C17" s="18" t="s">
        <v>27</v>
      </c>
      <c r="D17" s="19">
        <v>44736956</v>
      </c>
      <c r="E17" s="20">
        <v>3373252.75</v>
      </c>
      <c r="F17" s="20"/>
      <c r="G17" s="21">
        <f t="shared" si="0"/>
        <v>48110208.75</v>
      </c>
      <c r="H17" s="21">
        <v>0</v>
      </c>
      <c r="I17" s="24"/>
      <c r="J17" s="22">
        <v>-6213534</v>
      </c>
      <c r="K17" s="20">
        <v>-884882.5</v>
      </c>
      <c r="L17" s="20"/>
      <c r="M17" s="21">
        <f t="shared" si="1"/>
        <v>-7098416.5</v>
      </c>
      <c r="N17" s="23">
        <f t="shared" si="2"/>
        <v>41011792.25</v>
      </c>
    </row>
    <row r="18" spans="1:14" ht="17.25" customHeight="1" x14ac:dyDescent="0.25">
      <c r="A18" s="17">
        <v>47</v>
      </c>
      <c r="B18" s="17">
        <v>1840</v>
      </c>
      <c r="C18" s="18" t="s">
        <v>28</v>
      </c>
      <c r="D18" s="19">
        <v>10347150.59</v>
      </c>
      <c r="E18" s="20">
        <v>270669.37</v>
      </c>
      <c r="F18" s="20"/>
      <c r="G18" s="21">
        <f t="shared" si="0"/>
        <v>10617819.959999999</v>
      </c>
      <c r="H18" s="21">
        <v>0</v>
      </c>
      <c r="I18" s="24"/>
      <c r="J18" s="22">
        <v>-1000304.5599999998</v>
      </c>
      <c r="K18" s="20">
        <v>-180867.5</v>
      </c>
      <c r="L18" s="20"/>
      <c r="M18" s="21">
        <f t="shared" si="1"/>
        <v>-1181172.0599999998</v>
      </c>
      <c r="N18" s="23">
        <f t="shared" si="2"/>
        <v>9436647.8999999985</v>
      </c>
    </row>
    <row r="19" spans="1:14" ht="22.5" customHeight="1" x14ac:dyDescent="0.25">
      <c r="A19" s="17">
        <v>47</v>
      </c>
      <c r="B19" s="17">
        <v>1845</v>
      </c>
      <c r="C19" s="18" t="s">
        <v>29</v>
      </c>
      <c r="D19" s="19">
        <v>25696599.960000001</v>
      </c>
      <c r="E19" s="20">
        <v>846297.01</v>
      </c>
      <c r="F19" s="20"/>
      <c r="G19" s="21">
        <f t="shared" si="0"/>
        <v>26542896.970000003</v>
      </c>
      <c r="H19" s="21">
        <v>0</v>
      </c>
      <c r="I19" s="24"/>
      <c r="J19" s="22">
        <v>-4763340.9600000009</v>
      </c>
      <c r="K19" s="20">
        <v>-595750</v>
      </c>
      <c r="L19" s="20"/>
      <c r="M19" s="21">
        <f t="shared" si="1"/>
        <v>-5359090.9600000009</v>
      </c>
      <c r="N19" s="23">
        <f t="shared" si="2"/>
        <v>21183806.010000002</v>
      </c>
    </row>
    <row r="20" spans="1:14" ht="20.25" customHeight="1" x14ac:dyDescent="0.25">
      <c r="A20" s="17">
        <v>47</v>
      </c>
      <c r="B20" s="17">
        <v>1850</v>
      </c>
      <c r="C20" s="18" t="s">
        <v>30</v>
      </c>
      <c r="D20" s="19">
        <v>25738217.109999999</v>
      </c>
      <c r="E20" s="20">
        <v>1688560.68</v>
      </c>
      <c r="F20" s="20"/>
      <c r="G20" s="21">
        <f t="shared" si="0"/>
        <v>27426777.789999999</v>
      </c>
      <c r="H20" s="21">
        <v>0</v>
      </c>
      <c r="I20" s="24"/>
      <c r="J20" s="22">
        <v>-4371561.540000001</v>
      </c>
      <c r="K20" s="20">
        <v>-620697.5</v>
      </c>
      <c r="L20" s="20"/>
      <c r="M20" s="21">
        <f t="shared" si="1"/>
        <v>-4992259.040000001</v>
      </c>
      <c r="N20" s="23">
        <f t="shared" si="2"/>
        <v>22434518.75</v>
      </c>
    </row>
    <row r="21" spans="1:14" ht="26.25" customHeight="1" x14ac:dyDescent="0.25">
      <c r="A21" s="17">
        <v>47</v>
      </c>
      <c r="B21" s="17">
        <v>1855</v>
      </c>
      <c r="C21" s="18" t="s">
        <v>31</v>
      </c>
      <c r="D21" s="19">
        <v>13933105.1</v>
      </c>
      <c r="E21" s="20">
        <v>798366.79</v>
      </c>
      <c r="F21" s="20"/>
      <c r="G21" s="21">
        <f t="shared" si="0"/>
        <v>14731471.890000001</v>
      </c>
      <c r="H21" s="21">
        <v>0</v>
      </c>
      <c r="I21" s="24"/>
      <c r="J21" s="22">
        <v>-1835013.65</v>
      </c>
      <c r="K21" s="20">
        <v>-293870</v>
      </c>
      <c r="L21" s="20"/>
      <c r="M21" s="21">
        <f t="shared" si="1"/>
        <v>-2128883.65</v>
      </c>
      <c r="N21" s="23">
        <f t="shared" si="2"/>
        <v>12602588.24</v>
      </c>
    </row>
    <row r="22" spans="1:14" x14ac:dyDescent="0.25">
      <c r="A22" s="17">
        <v>47</v>
      </c>
      <c r="B22" s="17">
        <v>1860</v>
      </c>
      <c r="C22" s="18" t="s">
        <v>32</v>
      </c>
      <c r="D22" s="19"/>
      <c r="E22" s="20"/>
      <c r="F22" s="20"/>
      <c r="G22" s="21">
        <f t="shared" si="0"/>
        <v>0</v>
      </c>
      <c r="H22" s="21">
        <v>0</v>
      </c>
      <c r="I22" s="24"/>
      <c r="J22" s="22"/>
      <c r="K22" s="20"/>
      <c r="L22" s="20"/>
      <c r="M22" s="21">
        <f t="shared" si="1"/>
        <v>0</v>
      </c>
      <c r="N22" s="23">
        <f t="shared" si="2"/>
        <v>0</v>
      </c>
    </row>
    <row r="23" spans="1:14" ht="24.75" customHeight="1" x14ac:dyDescent="0.25">
      <c r="A23" s="17">
        <v>47</v>
      </c>
      <c r="B23" s="17">
        <v>1860</v>
      </c>
      <c r="C23" s="18" t="s">
        <v>33</v>
      </c>
      <c r="D23" s="19">
        <v>19670407</v>
      </c>
      <c r="E23" s="20">
        <v>1612109.69</v>
      </c>
      <c r="F23" s="20"/>
      <c r="G23" s="21">
        <f t="shared" si="0"/>
        <v>21282516.690000001</v>
      </c>
      <c r="H23" s="21">
        <v>0</v>
      </c>
      <c r="I23" s="24"/>
      <c r="J23" s="22">
        <v>-9179641</v>
      </c>
      <c r="K23" s="20">
        <v>-1102723</v>
      </c>
      <c r="L23" s="20"/>
      <c r="M23" s="21">
        <f t="shared" si="1"/>
        <v>-10282364</v>
      </c>
      <c r="N23" s="23">
        <f t="shared" si="2"/>
        <v>11000152.690000001</v>
      </c>
    </row>
    <row r="24" spans="1:14" x14ac:dyDescent="0.25">
      <c r="A24" s="17" t="s">
        <v>19</v>
      </c>
      <c r="B24" s="17">
        <v>1905</v>
      </c>
      <c r="C24" s="18" t="s">
        <v>20</v>
      </c>
      <c r="D24" s="19">
        <v>916900</v>
      </c>
      <c r="E24" s="20"/>
      <c r="F24" s="20"/>
      <c r="G24" s="21">
        <f t="shared" si="0"/>
        <v>916900</v>
      </c>
      <c r="H24" s="21">
        <v>0</v>
      </c>
      <c r="I24" s="24"/>
      <c r="J24" s="22"/>
      <c r="K24" s="20"/>
      <c r="L24" s="20"/>
      <c r="M24" s="21">
        <f t="shared" si="1"/>
        <v>0</v>
      </c>
      <c r="N24" s="23">
        <f t="shared" si="2"/>
        <v>916900</v>
      </c>
    </row>
    <row r="25" spans="1:14" ht="19.5" customHeight="1" x14ac:dyDescent="0.25">
      <c r="A25" s="17">
        <v>47</v>
      </c>
      <c r="B25" s="17">
        <v>1908</v>
      </c>
      <c r="C25" s="18" t="s">
        <v>34</v>
      </c>
      <c r="D25" s="19">
        <v>8023313</v>
      </c>
      <c r="E25" s="20">
        <v>124976.98999999999</v>
      </c>
      <c r="F25" s="20">
        <v>-16859</v>
      </c>
      <c r="G25" s="21">
        <f t="shared" si="0"/>
        <v>8131430.9900000002</v>
      </c>
      <c r="H25" s="21">
        <v>0</v>
      </c>
      <c r="I25" s="24"/>
      <c r="J25" s="22">
        <v>-2367736</v>
      </c>
      <c r="K25" s="20">
        <v>-224355.8</v>
      </c>
      <c r="L25" s="20">
        <v>421</v>
      </c>
      <c r="M25" s="21">
        <f t="shared" si="1"/>
        <v>-2591670.7999999998</v>
      </c>
      <c r="N25" s="23">
        <f t="shared" si="2"/>
        <v>5539760.1900000004</v>
      </c>
    </row>
    <row r="26" spans="1:14" ht="24" customHeight="1" x14ac:dyDescent="0.25">
      <c r="A26" s="17">
        <v>13</v>
      </c>
      <c r="B26" s="17">
        <v>1910</v>
      </c>
      <c r="C26" s="18" t="s">
        <v>22</v>
      </c>
      <c r="D26" s="19">
        <v>96797</v>
      </c>
      <c r="E26" s="20"/>
      <c r="F26" s="20">
        <v>-3657</v>
      </c>
      <c r="G26" s="21">
        <f t="shared" si="0"/>
        <v>93140</v>
      </c>
      <c r="H26" s="21">
        <v>0</v>
      </c>
      <c r="I26" s="24"/>
      <c r="J26" s="22">
        <v>-96432</v>
      </c>
      <c r="K26" s="20"/>
      <c r="L26" s="20">
        <v>3292</v>
      </c>
      <c r="M26" s="21">
        <f t="shared" si="1"/>
        <v>-93140</v>
      </c>
      <c r="N26" s="23">
        <f t="shared" si="2"/>
        <v>0</v>
      </c>
    </row>
    <row r="27" spans="1:14" ht="32.25" customHeight="1" x14ac:dyDescent="0.25">
      <c r="A27" s="17">
        <v>8</v>
      </c>
      <c r="B27" s="17">
        <v>1915</v>
      </c>
      <c r="C27" s="18" t="s">
        <v>35</v>
      </c>
      <c r="D27" s="19">
        <v>706382</v>
      </c>
      <c r="E27" s="20">
        <v>62721.320000000007</v>
      </c>
      <c r="F27" s="20">
        <v>-3271</v>
      </c>
      <c r="G27" s="21">
        <f t="shared" si="0"/>
        <v>765832.32000000007</v>
      </c>
      <c r="H27" s="21">
        <v>0</v>
      </c>
      <c r="I27" s="24"/>
      <c r="J27" s="22">
        <v>-466838</v>
      </c>
      <c r="K27" s="20">
        <v>-40909.17</v>
      </c>
      <c r="L27" s="20">
        <v>2289</v>
      </c>
      <c r="M27" s="21">
        <f t="shared" si="1"/>
        <v>-505458.17</v>
      </c>
      <c r="N27" s="23">
        <f t="shared" si="2"/>
        <v>260374.15000000008</v>
      </c>
    </row>
    <row r="28" spans="1:14" ht="31.5" customHeight="1" x14ac:dyDescent="0.25">
      <c r="A28" s="17">
        <v>8</v>
      </c>
      <c r="B28" s="17">
        <v>1915</v>
      </c>
      <c r="C28" s="18" t="s">
        <v>36</v>
      </c>
      <c r="D28" s="19"/>
      <c r="E28" s="20"/>
      <c r="F28" s="20"/>
      <c r="G28" s="21">
        <f t="shared" si="0"/>
        <v>0</v>
      </c>
      <c r="H28" s="21">
        <v>0</v>
      </c>
      <c r="I28" s="24"/>
      <c r="J28" s="22"/>
      <c r="K28" s="20"/>
      <c r="L28" s="20"/>
      <c r="M28" s="21">
        <f t="shared" si="1"/>
        <v>0</v>
      </c>
      <c r="N28" s="23">
        <f t="shared" si="2"/>
        <v>0</v>
      </c>
    </row>
    <row r="29" spans="1:14" ht="21.75" customHeight="1" x14ac:dyDescent="0.25">
      <c r="A29" s="17">
        <v>10</v>
      </c>
      <c r="B29" s="17">
        <v>1920</v>
      </c>
      <c r="C29" s="18" t="s">
        <v>37</v>
      </c>
      <c r="D29" s="19"/>
      <c r="E29" s="20"/>
      <c r="F29" s="20"/>
      <c r="G29" s="21">
        <f t="shared" si="0"/>
        <v>0</v>
      </c>
      <c r="H29" s="21">
        <v>0</v>
      </c>
      <c r="I29" s="24"/>
      <c r="J29" s="22"/>
      <c r="K29" s="20"/>
      <c r="L29" s="20"/>
      <c r="M29" s="21">
        <f t="shared" si="1"/>
        <v>0</v>
      </c>
      <c r="N29" s="23">
        <f t="shared" si="2"/>
        <v>0</v>
      </c>
    </row>
    <row r="30" spans="1:14" ht="30" customHeight="1" x14ac:dyDescent="0.25">
      <c r="A30" s="17">
        <v>45</v>
      </c>
      <c r="B30" s="17">
        <v>1920</v>
      </c>
      <c r="C30" s="18" t="s">
        <v>38</v>
      </c>
      <c r="D30" s="19"/>
      <c r="E30" s="20"/>
      <c r="F30" s="20"/>
      <c r="G30" s="21">
        <f t="shared" si="0"/>
        <v>0</v>
      </c>
      <c r="H30" s="21">
        <v>0</v>
      </c>
      <c r="I30" s="24"/>
      <c r="J30" s="22"/>
      <c r="K30" s="20"/>
      <c r="L30" s="20"/>
      <c r="M30" s="21">
        <f t="shared" si="1"/>
        <v>0</v>
      </c>
      <c r="N30" s="23">
        <f t="shared" si="2"/>
        <v>0</v>
      </c>
    </row>
    <row r="31" spans="1:14" ht="30.75" customHeight="1" x14ac:dyDescent="0.25">
      <c r="A31" s="17">
        <v>50</v>
      </c>
      <c r="B31" s="17">
        <v>1920</v>
      </c>
      <c r="C31" s="18" t="s">
        <v>39</v>
      </c>
      <c r="D31" s="19">
        <v>2825764</v>
      </c>
      <c r="E31" s="20">
        <v>215271.23</v>
      </c>
      <c r="F31" s="20"/>
      <c r="G31" s="21">
        <f t="shared" si="0"/>
        <v>3041035.23</v>
      </c>
      <c r="H31" s="21">
        <v>0</v>
      </c>
      <c r="I31" s="24"/>
      <c r="J31" s="22">
        <v>-2218135</v>
      </c>
      <c r="K31" s="20">
        <v>-216173.3</v>
      </c>
      <c r="L31" s="20"/>
      <c r="M31" s="21">
        <f t="shared" si="1"/>
        <v>-2434308.2999999998</v>
      </c>
      <c r="N31" s="23">
        <f t="shared" si="2"/>
        <v>606726.93000000017</v>
      </c>
    </row>
    <row r="32" spans="1:14" ht="20.25" customHeight="1" x14ac:dyDescent="0.25">
      <c r="A32" s="17">
        <v>10</v>
      </c>
      <c r="B32" s="17">
        <v>1930</v>
      </c>
      <c r="C32" s="18" t="s">
        <v>40</v>
      </c>
      <c r="D32" s="19">
        <v>6194889</v>
      </c>
      <c r="E32" s="20">
        <v>67937.210000000006</v>
      </c>
      <c r="F32" s="20">
        <v>-34599</v>
      </c>
      <c r="G32" s="21">
        <f t="shared" si="0"/>
        <v>6228227.21</v>
      </c>
      <c r="H32" s="21">
        <v>0</v>
      </c>
      <c r="I32" s="24"/>
      <c r="J32" s="22">
        <v>-2728847</v>
      </c>
      <c r="K32" s="20">
        <v>-449699.2</v>
      </c>
      <c r="L32" s="20">
        <v>34599</v>
      </c>
      <c r="M32" s="21">
        <f t="shared" si="1"/>
        <v>-3143947.2</v>
      </c>
      <c r="N32" s="23">
        <f t="shared" si="2"/>
        <v>3084280.01</v>
      </c>
    </row>
    <row r="33" spans="1:14" ht="22.5" customHeight="1" x14ac:dyDescent="0.25">
      <c r="A33" s="17">
        <v>8</v>
      </c>
      <c r="B33" s="17">
        <v>1935</v>
      </c>
      <c r="C33" s="18" t="s">
        <v>41</v>
      </c>
      <c r="D33" s="19"/>
      <c r="E33" s="20"/>
      <c r="F33" s="20"/>
      <c r="G33" s="21">
        <f t="shared" si="0"/>
        <v>0</v>
      </c>
      <c r="H33" s="21">
        <v>0</v>
      </c>
      <c r="I33" s="24"/>
      <c r="J33" s="22"/>
      <c r="K33" s="20"/>
      <c r="L33" s="20"/>
      <c r="M33" s="21">
        <f t="shared" si="1"/>
        <v>0</v>
      </c>
      <c r="N33" s="23">
        <f t="shared" si="2"/>
        <v>0</v>
      </c>
    </row>
    <row r="34" spans="1:14" ht="30.75" customHeight="1" x14ac:dyDescent="0.25">
      <c r="A34" s="17">
        <v>8</v>
      </c>
      <c r="B34" s="17">
        <v>1940</v>
      </c>
      <c r="C34" s="18" t="s">
        <v>42</v>
      </c>
      <c r="D34" s="19">
        <v>1461184</v>
      </c>
      <c r="E34" s="20">
        <v>45902.879999999997</v>
      </c>
      <c r="F34" s="20"/>
      <c r="G34" s="21">
        <f t="shared" si="0"/>
        <v>1507086.88</v>
      </c>
      <c r="H34" s="21">
        <v>0</v>
      </c>
      <c r="I34" s="24"/>
      <c r="J34" s="22">
        <v>-922835</v>
      </c>
      <c r="K34" s="20">
        <v>-88159.33</v>
      </c>
      <c r="L34" s="20"/>
      <c r="M34" s="21">
        <f t="shared" si="1"/>
        <v>-1010994.33</v>
      </c>
      <c r="N34" s="23">
        <f t="shared" si="2"/>
        <v>496092.54999999993</v>
      </c>
    </row>
    <row r="35" spans="1:14" ht="23.25" customHeight="1" x14ac:dyDescent="0.25">
      <c r="A35" s="17">
        <v>8</v>
      </c>
      <c r="B35" s="17">
        <v>1945</v>
      </c>
      <c r="C35" s="18" t="s">
        <v>43</v>
      </c>
      <c r="D35" s="19"/>
      <c r="E35" s="20"/>
      <c r="F35" s="20"/>
      <c r="G35" s="21">
        <f t="shared" si="0"/>
        <v>0</v>
      </c>
      <c r="H35" s="21">
        <v>0</v>
      </c>
      <c r="I35" s="24"/>
      <c r="J35" s="22"/>
      <c r="K35" s="20"/>
      <c r="L35" s="20"/>
      <c r="M35" s="21">
        <f t="shared" si="1"/>
        <v>0</v>
      </c>
      <c r="N35" s="23">
        <f t="shared" si="2"/>
        <v>0</v>
      </c>
    </row>
    <row r="36" spans="1:14" ht="19.5" customHeight="1" x14ac:dyDescent="0.25">
      <c r="A36" s="17">
        <v>8</v>
      </c>
      <c r="B36" s="17">
        <v>1950</v>
      </c>
      <c r="C36" s="18" t="s">
        <v>44</v>
      </c>
      <c r="D36" s="19"/>
      <c r="E36" s="20"/>
      <c r="F36" s="20"/>
      <c r="G36" s="21">
        <f t="shared" si="0"/>
        <v>0</v>
      </c>
      <c r="H36" s="21">
        <v>0</v>
      </c>
      <c r="I36" s="24"/>
      <c r="J36" s="22"/>
      <c r="K36" s="20"/>
      <c r="L36" s="20"/>
      <c r="M36" s="21">
        <f t="shared" si="1"/>
        <v>0</v>
      </c>
      <c r="N36" s="23">
        <f t="shared" si="2"/>
        <v>0</v>
      </c>
    </row>
    <row r="37" spans="1:14" ht="19.5" customHeight="1" x14ac:dyDescent="0.25">
      <c r="A37" s="17">
        <v>8</v>
      </c>
      <c r="B37" s="17">
        <v>1955</v>
      </c>
      <c r="C37" s="18" t="s">
        <v>45</v>
      </c>
      <c r="D37" s="19"/>
      <c r="E37" s="20"/>
      <c r="F37" s="20"/>
      <c r="G37" s="21">
        <f t="shared" si="0"/>
        <v>0</v>
      </c>
      <c r="H37" s="21">
        <v>0</v>
      </c>
      <c r="I37" s="24"/>
      <c r="J37" s="22"/>
      <c r="K37" s="20"/>
      <c r="L37" s="20"/>
      <c r="M37" s="21">
        <f t="shared" si="1"/>
        <v>0</v>
      </c>
      <c r="N37" s="23">
        <f t="shared" si="2"/>
        <v>0</v>
      </c>
    </row>
    <row r="38" spans="1:14" ht="32.25" customHeight="1" x14ac:dyDescent="0.25">
      <c r="A38" s="17">
        <v>8</v>
      </c>
      <c r="B38" s="17">
        <v>1955</v>
      </c>
      <c r="C38" s="18" t="s">
        <v>46</v>
      </c>
      <c r="D38" s="19"/>
      <c r="E38" s="20"/>
      <c r="F38" s="20"/>
      <c r="G38" s="21">
        <f t="shared" si="0"/>
        <v>0</v>
      </c>
      <c r="H38" s="21">
        <v>0</v>
      </c>
      <c r="I38" s="24"/>
      <c r="J38" s="22"/>
      <c r="K38" s="20"/>
      <c r="L38" s="20"/>
      <c r="M38" s="21">
        <f t="shared" si="1"/>
        <v>0</v>
      </c>
      <c r="N38" s="23">
        <f t="shared" si="2"/>
        <v>0</v>
      </c>
    </row>
    <row r="39" spans="1:14" ht="26.25" customHeight="1" x14ac:dyDescent="0.25">
      <c r="A39" s="17">
        <v>8</v>
      </c>
      <c r="B39" s="17">
        <v>1960</v>
      </c>
      <c r="C39" s="18" t="s">
        <v>47</v>
      </c>
      <c r="D39" s="19"/>
      <c r="E39" s="20"/>
      <c r="F39" s="20"/>
      <c r="G39" s="21">
        <f t="shared" si="0"/>
        <v>0</v>
      </c>
      <c r="H39" s="21">
        <v>0</v>
      </c>
      <c r="I39" s="24"/>
      <c r="J39" s="22"/>
      <c r="K39" s="20"/>
      <c r="L39" s="20"/>
      <c r="M39" s="21">
        <f t="shared" si="1"/>
        <v>0</v>
      </c>
      <c r="N39" s="23">
        <f t="shared" si="2"/>
        <v>0</v>
      </c>
    </row>
    <row r="40" spans="1:14" ht="36.75" customHeight="1" x14ac:dyDescent="0.25">
      <c r="A40" s="1">
        <v>47</v>
      </c>
      <c r="B40" s="17">
        <v>1970</v>
      </c>
      <c r="C40" s="18" t="s">
        <v>48</v>
      </c>
      <c r="D40" s="19"/>
      <c r="E40" s="20"/>
      <c r="F40" s="20"/>
      <c r="G40" s="21">
        <f t="shared" si="0"/>
        <v>0</v>
      </c>
      <c r="H40" s="21">
        <v>0</v>
      </c>
      <c r="I40" s="24"/>
      <c r="J40" s="22"/>
      <c r="K40" s="20"/>
      <c r="L40" s="20"/>
      <c r="M40" s="21">
        <f t="shared" si="1"/>
        <v>0</v>
      </c>
      <c r="N40" s="23">
        <f t="shared" si="2"/>
        <v>0</v>
      </c>
    </row>
    <row r="41" spans="1:14" ht="32.25" customHeight="1" x14ac:dyDescent="0.25">
      <c r="A41" s="17">
        <v>47</v>
      </c>
      <c r="B41" s="17">
        <v>1975</v>
      </c>
      <c r="C41" s="18" t="s">
        <v>49</v>
      </c>
      <c r="D41" s="19"/>
      <c r="E41" s="20"/>
      <c r="F41" s="20"/>
      <c r="G41" s="21">
        <f t="shared" si="0"/>
        <v>0</v>
      </c>
      <c r="H41" s="21">
        <v>0</v>
      </c>
      <c r="I41" s="24"/>
      <c r="J41" s="22"/>
      <c r="K41" s="20"/>
      <c r="L41" s="20"/>
      <c r="M41" s="21">
        <f t="shared" si="1"/>
        <v>0</v>
      </c>
      <c r="N41" s="23">
        <f t="shared" si="2"/>
        <v>0</v>
      </c>
    </row>
    <row r="42" spans="1:14" ht="30" customHeight="1" x14ac:dyDescent="0.25">
      <c r="A42" s="17">
        <v>47</v>
      </c>
      <c r="B42" s="17">
        <v>1980</v>
      </c>
      <c r="C42" s="18" t="s">
        <v>50</v>
      </c>
      <c r="D42" s="19">
        <v>1330239</v>
      </c>
      <c r="E42" s="20">
        <v>23970.09</v>
      </c>
      <c r="F42" s="20"/>
      <c r="G42" s="21">
        <f t="shared" si="0"/>
        <v>1354209.09</v>
      </c>
      <c r="H42" s="21">
        <v>0</v>
      </c>
      <c r="I42" s="24"/>
      <c r="J42" s="22">
        <v>-488375</v>
      </c>
      <c r="K42" s="20">
        <v>-65415</v>
      </c>
      <c r="L42" s="20"/>
      <c r="M42" s="21">
        <f t="shared" si="1"/>
        <v>-553790</v>
      </c>
      <c r="N42" s="23">
        <f t="shared" si="2"/>
        <v>800419.09000000008</v>
      </c>
    </row>
    <row r="43" spans="1:14" ht="27" customHeight="1" x14ac:dyDescent="0.25">
      <c r="A43" s="17">
        <v>47</v>
      </c>
      <c r="B43" s="17">
        <v>1985</v>
      </c>
      <c r="C43" s="18" t="s">
        <v>51</v>
      </c>
      <c r="D43" s="19"/>
      <c r="E43" s="20"/>
      <c r="F43" s="20"/>
      <c r="G43" s="21">
        <f t="shared" si="0"/>
        <v>0</v>
      </c>
      <c r="H43" s="21">
        <v>0</v>
      </c>
      <c r="I43" s="24"/>
      <c r="J43" s="22"/>
      <c r="K43" s="20"/>
      <c r="L43" s="20"/>
      <c r="M43" s="21">
        <f t="shared" si="1"/>
        <v>0</v>
      </c>
      <c r="N43" s="23">
        <f t="shared" si="2"/>
        <v>0</v>
      </c>
    </row>
    <row r="44" spans="1:14" x14ac:dyDescent="0.25">
      <c r="A44" s="1">
        <v>47</v>
      </c>
      <c r="B44" s="17">
        <v>1990</v>
      </c>
      <c r="C44" s="25" t="s">
        <v>52</v>
      </c>
      <c r="D44" s="19">
        <v>3419886</v>
      </c>
      <c r="E44" s="20">
        <f>522648.43-12138.53</f>
        <v>510509.89999999997</v>
      </c>
      <c r="F44" s="20"/>
      <c r="G44" s="21">
        <f t="shared" si="0"/>
        <v>3930395.9</v>
      </c>
      <c r="H44" s="21">
        <v>0</v>
      </c>
      <c r="I44" s="24"/>
      <c r="J44" s="22">
        <v>-1816328</v>
      </c>
      <c r="K44" s="20">
        <v>-243515.8</v>
      </c>
      <c r="L44" s="20"/>
      <c r="M44" s="21">
        <f t="shared" si="1"/>
        <v>-2059843.8</v>
      </c>
      <c r="N44" s="23">
        <f t="shared" si="2"/>
        <v>1870552.0999999999</v>
      </c>
    </row>
    <row r="45" spans="1:14" ht="22.5" customHeight="1" x14ac:dyDescent="0.25">
      <c r="A45" s="17">
        <v>47</v>
      </c>
      <c r="B45" s="17">
        <v>1995</v>
      </c>
      <c r="C45" s="18" t="s">
        <v>53</v>
      </c>
      <c r="D45" s="19"/>
      <c r="E45" s="20"/>
      <c r="F45" s="20"/>
      <c r="G45" s="21">
        <f t="shared" si="0"/>
        <v>0</v>
      </c>
      <c r="H45" s="21">
        <v>0</v>
      </c>
      <c r="I45" s="24"/>
      <c r="J45" s="22"/>
      <c r="K45" s="20"/>
      <c r="L45" s="20"/>
      <c r="M45" s="21">
        <f t="shared" si="1"/>
        <v>0</v>
      </c>
      <c r="N45" s="23">
        <f t="shared" si="2"/>
        <v>0</v>
      </c>
    </row>
    <row r="46" spans="1:14" x14ac:dyDescent="0.25">
      <c r="A46" s="17">
        <v>47</v>
      </c>
      <c r="B46" s="17">
        <v>2440</v>
      </c>
      <c r="C46" s="18" t="s">
        <v>54</v>
      </c>
      <c r="D46" s="19">
        <v>-20265115</v>
      </c>
      <c r="E46" s="20">
        <v>-1282107</v>
      </c>
      <c r="F46" s="20"/>
      <c r="G46" s="21">
        <f t="shared" si="0"/>
        <v>-21547222</v>
      </c>
      <c r="H46" s="21">
        <v>0</v>
      </c>
      <c r="I46" s="2"/>
      <c r="J46" s="22">
        <v>1458901</v>
      </c>
      <c r="K46" s="20">
        <v>454242.54</v>
      </c>
      <c r="L46" s="20"/>
      <c r="M46" s="21">
        <f t="shared" si="1"/>
        <v>1913143.54</v>
      </c>
      <c r="N46" s="23">
        <f t="shared" si="2"/>
        <v>-19634078.460000001</v>
      </c>
    </row>
    <row r="47" spans="1:14" x14ac:dyDescent="0.25">
      <c r="A47" s="26"/>
      <c r="B47" s="26">
        <v>2005</v>
      </c>
      <c r="C47" s="27" t="s">
        <v>55</v>
      </c>
      <c r="D47" s="19">
        <v>400849</v>
      </c>
      <c r="E47" s="28"/>
      <c r="F47" s="28"/>
      <c r="G47" s="21">
        <f t="shared" si="0"/>
        <v>400849</v>
      </c>
      <c r="H47" s="21">
        <v>0</v>
      </c>
      <c r="I47" s="2"/>
      <c r="J47" s="22">
        <v>-400849</v>
      </c>
      <c r="K47" s="28"/>
      <c r="L47" s="28"/>
      <c r="M47" s="21">
        <f t="shared" si="1"/>
        <v>-400849</v>
      </c>
      <c r="N47" s="23">
        <f t="shared" si="2"/>
        <v>0</v>
      </c>
    </row>
    <row r="48" spans="1:14" x14ac:dyDescent="0.25">
      <c r="A48" s="26"/>
      <c r="B48" s="26"/>
      <c r="C48" s="29" t="s">
        <v>56</v>
      </c>
      <c r="D48" s="30">
        <f>SUM(D7:D47)</f>
        <v>187240683.76000002</v>
      </c>
      <c r="E48" s="30">
        <f>SUM(E7:E47)</f>
        <v>11094788.630000003</v>
      </c>
      <c r="F48" s="30">
        <f>SUM(F7:F47)</f>
        <v>-110599</v>
      </c>
      <c r="G48" s="30">
        <f>SUM(G7:G47)</f>
        <v>198224873.38999999</v>
      </c>
      <c r="H48" s="30">
        <f>SUM(H7:H47)</f>
        <v>0</v>
      </c>
      <c r="I48" s="31"/>
      <c r="J48" s="30">
        <f>SUM(J7:J47)</f>
        <v>-47118869.710000001</v>
      </c>
      <c r="K48" s="30">
        <f>SUM(K7:K47)</f>
        <v>-5834455.5599999996</v>
      </c>
      <c r="L48" s="30">
        <f>SUM(L7:L47)</f>
        <v>46151</v>
      </c>
      <c r="M48" s="30">
        <f>SUM(M7:M47)</f>
        <v>-52907174.269999996</v>
      </c>
      <c r="N48" s="30">
        <f>SUM(N7:N47)</f>
        <v>145317699.12</v>
      </c>
    </row>
    <row r="49" spans="1:14" ht="60" customHeight="1" x14ac:dyDescent="0.25">
      <c r="A49" s="26"/>
      <c r="B49" s="26"/>
      <c r="C49" s="32" t="s">
        <v>57</v>
      </c>
      <c r="D49" s="28"/>
      <c r="E49" s="28"/>
      <c r="F49" s="28"/>
      <c r="G49" s="21">
        <f>D49+E49+F49</f>
        <v>0</v>
      </c>
      <c r="H49" s="21"/>
      <c r="I49" s="2"/>
      <c r="J49" s="28"/>
      <c r="K49" s="28"/>
      <c r="L49" s="28"/>
      <c r="M49" s="21">
        <f>J49+K49+L49</f>
        <v>0</v>
      </c>
      <c r="N49" s="23">
        <f>G49+M49</f>
        <v>0</v>
      </c>
    </row>
    <row r="50" spans="1:14" ht="36.75" customHeight="1" x14ac:dyDescent="0.25">
      <c r="A50" s="26"/>
      <c r="B50" s="26"/>
      <c r="C50" s="33" t="s">
        <v>58</v>
      </c>
      <c r="D50" s="28"/>
      <c r="E50" s="28"/>
      <c r="F50" s="28"/>
      <c r="G50" s="21">
        <f>D50+E50+F50</f>
        <v>0</v>
      </c>
      <c r="H50" s="21"/>
      <c r="I50" s="2"/>
      <c r="J50" s="28"/>
      <c r="K50" s="28"/>
      <c r="L50" s="28"/>
      <c r="M50" s="21">
        <f>J50+K50+L50</f>
        <v>0</v>
      </c>
      <c r="N50" s="23">
        <f>G50+M50</f>
        <v>0</v>
      </c>
    </row>
    <row r="51" spans="1:14" x14ac:dyDescent="0.25">
      <c r="A51" s="26"/>
      <c r="B51" s="26"/>
      <c r="C51" s="29" t="s">
        <v>59</v>
      </c>
      <c r="D51" s="30">
        <f>SUM(D48:D50)</f>
        <v>187240683.76000002</v>
      </c>
      <c r="E51" s="30">
        <f>SUM(E48:E50)</f>
        <v>11094788.630000003</v>
      </c>
      <c r="F51" s="30">
        <f>SUM(F48:F50)</f>
        <v>-110599</v>
      </c>
      <c r="G51" s="30">
        <f>SUM(G48:G50)</f>
        <v>198224873.38999999</v>
      </c>
      <c r="H51" s="21"/>
      <c r="I51" s="31"/>
      <c r="J51" s="30">
        <f>SUM(J48:J50)</f>
        <v>-47118869.710000001</v>
      </c>
      <c r="K51" s="30">
        <f>SUM(K48:K50)</f>
        <v>-5834455.5599999996</v>
      </c>
      <c r="L51" s="30">
        <f>SUM(L48:L50)</f>
        <v>46151</v>
      </c>
      <c r="M51" s="30">
        <f>SUM(M48:M50)</f>
        <v>-52907174.269999996</v>
      </c>
      <c r="N51" s="30">
        <f>SUM(N48:N50)</f>
        <v>145317699.12</v>
      </c>
    </row>
    <row r="52" spans="1:14" x14ac:dyDescent="0.25">
      <c r="A52" s="26"/>
      <c r="B52" s="26"/>
      <c r="C52" s="34" t="s">
        <v>60</v>
      </c>
      <c r="D52" s="20">
        <v>2107</v>
      </c>
      <c r="E52" s="20">
        <v>705</v>
      </c>
      <c r="F52" s="20"/>
      <c r="G52" s="21">
        <f t="shared" ref="G52" si="3">D52+E52+F52</f>
        <v>2812</v>
      </c>
      <c r="H52" s="21">
        <v>0</v>
      </c>
      <c r="I52" s="24"/>
      <c r="J52" s="2"/>
      <c r="K52" s="2"/>
      <c r="L52" s="2"/>
      <c r="M52" s="21">
        <f t="shared" ref="M52" si="4">J52+K52+L52</f>
        <v>0</v>
      </c>
      <c r="N52" s="23">
        <f t="shared" ref="N52" si="5">G52+M52</f>
        <v>2812</v>
      </c>
    </row>
    <row r="53" spans="1:14" x14ac:dyDescent="0.25">
      <c r="A53" s="26"/>
      <c r="B53" s="26"/>
      <c r="C53" s="34" t="s">
        <v>61</v>
      </c>
      <c r="D53" s="30">
        <f>SUM(D51:D52)</f>
        <v>187242790.76000002</v>
      </c>
      <c r="E53" s="30">
        <f t="shared" ref="E53:N53" si="6">SUM(E51:E52)</f>
        <v>11095493.630000003</v>
      </c>
      <c r="F53" s="30">
        <f t="shared" si="6"/>
        <v>-110599</v>
      </c>
      <c r="G53" s="30">
        <f t="shared" si="6"/>
        <v>198227685.38999999</v>
      </c>
      <c r="H53" s="30">
        <f t="shared" si="6"/>
        <v>0</v>
      </c>
      <c r="I53" s="30">
        <f t="shared" si="6"/>
        <v>0</v>
      </c>
      <c r="J53" s="30">
        <f t="shared" si="6"/>
        <v>-47118869.710000001</v>
      </c>
      <c r="K53" s="30">
        <f t="shared" si="6"/>
        <v>-5834455.5599999996</v>
      </c>
      <c r="L53" s="30">
        <f t="shared" si="6"/>
        <v>46151</v>
      </c>
      <c r="M53" s="30">
        <f t="shared" si="6"/>
        <v>-52907174.269999996</v>
      </c>
      <c r="N53" s="30">
        <f t="shared" si="6"/>
        <v>145320511.12</v>
      </c>
    </row>
    <row r="54" spans="1:14" x14ac:dyDescent="0.25">
      <c r="A54" s="26"/>
      <c r="B54" s="26"/>
      <c r="C54" s="326" t="s">
        <v>62</v>
      </c>
      <c r="D54" s="327"/>
      <c r="E54" s="327"/>
      <c r="F54" s="327"/>
      <c r="G54" s="327"/>
      <c r="H54" s="327"/>
      <c r="I54" s="327"/>
      <c r="J54" s="328"/>
      <c r="K54" s="28"/>
      <c r="L54" s="2"/>
      <c r="M54" s="35"/>
      <c r="N54" s="36"/>
    </row>
    <row r="55" spans="1:14" x14ac:dyDescent="0.25">
      <c r="A55" s="26"/>
      <c r="B55" s="26"/>
      <c r="C55" s="326" t="s">
        <v>63</v>
      </c>
      <c r="D55" s="327"/>
      <c r="E55" s="327"/>
      <c r="F55" s="327"/>
      <c r="G55" s="327"/>
      <c r="H55" s="327"/>
      <c r="I55" s="327"/>
      <c r="J55" s="328"/>
      <c r="K55" s="30">
        <f>K53+K54</f>
        <v>-5834455.5599999996</v>
      </c>
      <c r="L55" s="2"/>
      <c r="M55" s="35"/>
      <c r="N55" s="36"/>
    </row>
    <row r="56" spans="1:14" ht="15" hidden="1" customHeight="1" x14ac:dyDescent="0.25">
      <c r="A56" s="1"/>
      <c r="B56" s="1"/>
      <c r="C56" s="2"/>
      <c r="D56" s="42" t="s">
        <v>64</v>
      </c>
      <c r="E56" s="42"/>
      <c r="F56" s="42"/>
      <c r="G56" s="36">
        <f>AVERAGE(D51,G51)</f>
        <v>192732778.57499999</v>
      </c>
      <c r="H56" s="2"/>
      <c r="I56" s="2"/>
      <c r="J56" s="37" t="s">
        <v>65</v>
      </c>
      <c r="K56" s="2"/>
      <c r="L56" s="2"/>
      <c r="M56" s="36">
        <f>AVERAGE(J51,M51)</f>
        <v>-50013021.989999995</v>
      </c>
      <c r="N56" s="2"/>
    </row>
    <row r="57" spans="1:14" hidden="1" x14ac:dyDescent="0.25">
      <c r="A57" s="1"/>
      <c r="B57" s="1"/>
      <c r="C57" s="2"/>
      <c r="D57" s="37"/>
      <c r="E57" s="2"/>
      <c r="F57" s="2"/>
      <c r="G57" s="36"/>
      <c r="H57" s="2"/>
      <c r="I57" s="2"/>
      <c r="J57" s="37" t="s">
        <v>66</v>
      </c>
      <c r="K57" s="2"/>
      <c r="L57" s="2"/>
      <c r="M57" s="36">
        <f>G56+M56</f>
        <v>142719756.58499998</v>
      </c>
      <c r="N57" s="2"/>
    </row>
    <row r="58" spans="1:14" hidden="1" x14ac:dyDescent="0.25">
      <c r="A58" s="1"/>
      <c r="B58" s="1"/>
      <c r="C58" s="2"/>
      <c r="D58" s="2"/>
      <c r="E58" s="2"/>
      <c r="F58" s="2"/>
      <c r="G58" s="2"/>
      <c r="H58" s="2"/>
      <c r="I58" s="2"/>
      <c r="J58" s="2" t="s">
        <v>67</v>
      </c>
      <c r="K58" s="2"/>
      <c r="L58" s="2"/>
      <c r="M58" s="2"/>
      <c r="N58" s="2"/>
    </row>
    <row r="59" spans="1:14" hidden="1" x14ac:dyDescent="0.25">
      <c r="A59" s="26">
        <v>10</v>
      </c>
      <c r="B59" s="26"/>
      <c r="C59" s="38" t="s">
        <v>68</v>
      </c>
      <c r="D59" s="39"/>
      <c r="E59" s="39"/>
      <c r="F59" s="39"/>
      <c r="G59" s="39"/>
      <c r="H59" s="39"/>
      <c r="I59" s="39"/>
      <c r="J59" s="39" t="s">
        <v>68</v>
      </c>
      <c r="K59" s="39"/>
      <c r="L59" s="40">
        <v>-459647</v>
      </c>
      <c r="M59" s="2"/>
      <c r="N59" s="2"/>
    </row>
    <row r="60" spans="1:14" hidden="1" x14ac:dyDescent="0.25">
      <c r="A60" s="26">
        <v>8</v>
      </c>
      <c r="B60" s="26"/>
      <c r="C60" s="38" t="s">
        <v>69</v>
      </c>
      <c r="D60" s="39"/>
      <c r="E60" s="39"/>
      <c r="F60" s="39"/>
      <c r="G60" s="39"/>
      <c r="H60" s="39"/>
      <c r="I60" s="39"/>
      <c r="J60" s="39" t="s">
        <v>41</v>
      </c>
      <c r="K60" s="39"/>
      <c r="L60" s="40">
        <v>-184990</v>
      </c>
      <c r="M60" s="2"/>
      <c r="N60" s="2"/>
    </row>
    <row r="61" spans="1:14" hidden="1" x14ac:dyDescent="0.25">
      <c r="A61" s="26">
        <v>47</v>
      </c>
      <c r="B61" s="26"/>
      <c r="C61" s="38" t="s">
        <v>70</v>
      </c>
      <c r="D61" s="39"/>
      <c r="E61" s="39"/>
      <c r="F61" s="39"/>
      <c r="G61" s="39"/>
      <c r="H61" s="39"/>
      <c r="I61" s="39"/>
      <c r="J61" s="39" t="s">
        <v>70</v>
      </c>
      <c r="K61" s="39"/>
      <c r="L61" s="40">
        <f>K46</f>
        <v>454242.54</v>
      </c>
      <c r="M61" s="2"/>
      <c r="N61" s="2"/>
    </row>
    <row r="62" spans="1:14" hidden="1" x14ac:dyDescent="0.25">
      <c r="A62" s="1"/>
      <c r="B62" s="1"/>
      <c r="C62" s="2"/>
      <c r="D62" s="2"/>
      <c r="E62" s="2"/>
      <c r="F62" s="2"/>
      <c r="G62" s="2"/>
      <c r="H62" s="2"/>
      <c r="I62" s="2"/>
      <c r="J62" s="332" t="s">
        <v>71</v>
      </c>
      <c r="K62" s="333"/>
      <c r="L62" s="41">
        <f>K55-L59-L60-L61</f>
        <v>-5644061.0999999996</v>
      </c>
      <c r="M62" s="2"/>
      <c r="N62" s="2"/>
    </row>
    <row r="63" spans="1:14" hidden="1" x14ac:dyDescent="0.25">
      <c r="A63" s="1"/>
      <c r="B63" s="1"/>
      <c r="C63" s="2"/>
      <c r="D63" s="2"/>
      <c r="E63" s="2"/>
      <c r="F63" s="2"/>
      <c r="G63" s="2"/>
      <c r="H63" s="2"/>
      <c r="I63" s="2"/>
      <c r="J63" s="2"/>
      <c r="K63" s="2"/>
      <c r="L63" s="2"/>
      <c r="M63" s="2"/>
      <c r="N63" s="2"/>
    </row>
    <row r="64" spans="1:14" x14ac:dyDescent="0.25">
      <c r="A64" s="1"/>
      <c r="B64" s="1"/>
      <c r="C64" s="2"/>
      <c r="D64" s="2"/>
      <c r="E64" s="2"/>
      <c r="F64" s="2"/>
      <c r="G64" s="2"/>
      <c r="H64" s="2"/>
      <c r="I64" s="2"/>
      <c r="J64" s="2"/>
      <c r="K64" s="2"/>
      <c r="L64" s="2"/>
      <c r="M64" s="2"/>
      <c r="N64" s="2"/>
    </row>
    <row r="65" spans="1:14" x14ac:dyDescent="0.25">
      <c r="A65" s="1"/>
      <c r="B65" s="1"/>
      <c r="C65" s="2"/>
      <c r="D65" s="2"/>
      <c r="E65" s="2"/>
      <c r="F65" s="2"/>
      <c r="G65" s="2"/>
      <c r="H65" s="2"/>
      <c r="I65" s="2"/>
      <c r="J65" s="2"/>
      <c r="K65" s="2"/>
      <c r="L65" s="2"/>
      <c r="M65" s="2"/>
      <c r="N65" s="2"/>
    </row>
    <row r="66" spans="1:14" ht="15.75" thickBot="1" x14ac:dyDescent="0.3">
      <c r="A66" s="1"/>
      <c r="B66" s="1"/>
      <c r="C66" s="2"/>
      <c r="D66" s="2"/>
      <c r="E66" s="3" t="s">
        <v>0</v>
      </c>
      <c r="F66" s="4" t="s">
        <v>1</v>
      </c>
      <c r="G66" s="2"/>
      <c r="H66" s="2"/>
      <c r="I66" s="2"/>
      <c r="J66" s="2"/>
      <c r="K66" s="2"/>
      <c r="L66" s="2"/>
      <c r="M66" s="2"/>
      <c r="N66" s="2"/>
    </row>
    <row r="67" spans="1:14" ht="15.75" thickBot="1" x14ac:dyDescent="0.3">
      <c r="A67" s="1"/>
      <c r="B67" s="1"/>
      <c r="C67" s="2"/>
      <c r="D67" s="2"/>
      <c r="E67" s="3" t="s">
        <v>2</v>
      </c>
      <c r="F67" s="5">
        <v>2024</v>
      </c>
      <c r="G67" s="6"/>
      <c r="H67" s="7" t="b">
        <f>IF(F67=2014,4,IF(F67=2015,5,IF(F67=2016,6,IF(F67=2017,7,IF(F67=2018,8,IF(F67=2019,9,IF(F67=2020,10)))))))</f>
        <v>0</v>
      </c>
      <c r="I67" s="2"/>
      <c r="J67" s="2"/>
      <c r="K67" s="2"/>
      <c r="L67" s="2"/>
      <c r="M67" s="2"/>
      <c r="N67" s="2"/>
    </row>
    <row r="68" spans="1:14" x14ac:dyDescent="0.25">
      <c r="A68" s="1"/>
      <c r="B68" s="1"/>
      <c r="C68" s="2"/>
      <c r="D68" s="2"/>
      <c r="E68" s="2"/>
      <c r="F68" s="2"/>
      <c r="G68" s="2"/>
      <c r="H68" s="2"/>
      <c r="I68" s="2"/>
      <c r="J68" s="2"/>
      <c r="K68" s="2"/>
      <c r="L68" s="2"/>
      <c r="M68" s="2"/>
      <c r="N68" s="2"/>
    </row>
    <row r="69" spans="1:14" x14ac:dyDescent="0.25">
      <c r="A69" s="1"/>
      <c r="B69" s="1"/>
      <c r="C69" s="2"/>
      <c r="D69" s="329" t="s">
        <v>3</v>
      </c>
      <c r="E69" s="330"/>
      <c r="F69" s="330"/>
      <c r="G69" s="330"/>
      <c r="H69" s="331"/>
      <c r="I69" s="2"/>
      <c r="J69" s="8"/>
      <c r="K69" s="9" t="s">
        <v>4</v>
      </c>
      <c r="L69" s="9"/>
      <c r="M69" s="10"/>
      <c r="N69" s="2"/>
    </row>
    <row r="70" spans="1:14" ht="90" x14ac:dyDescent="0.25">
      <c r="A70" s="11" t="s">
        <v>5</v>
      </c>
      <c r="B70" s="11" t="s">
        <v>6</v>
      </c>
      <c r="C70" s="12" t="s">
        <v>7</v>
      </c>
      <c r="D70" s="11" t="s">
        <v>8</v>
      </c>
      <c r="E70" s="13" t="s">
        <v>9</v>
      </c>
      <c r="F70" s="13" t="s">
        <v>10</v>
      </c>
      <c r="G70" s="11" t="s">
        <v>11</v>
      </c>
      <c r="H70" s="11" t="s">
        <v>12</v>
      </c>
      <c r="I70" s="14"/>
      <c r="J70" s="11" t="s">
        <v>8</v>
      </c>
      <c r="K70" s="15" t="s">
        <v>13</v>
      </c>
      <c r="L70" s="15" t="s">
        <v>10</v>
      </c>
      <c r="M70" s="16" t="s">
        <v>11</v>
      </c>
      <c r="N70" s="11" t="s">
        <v>14</v>
      </c>
    </row>
    <row r="71" spans="1:14" x14ac:dyDescent="0.25">
      <c r="A71" s="11"/>
      <c r="B71" s="17">
        <v>1609</v>
      </c>
      <c r="C71" s="18" t="s">
        <v>15</v>
      </c>
      <c r="D71" s="19">
        <v>0</v>
      </c>
      <c r="E71" s="20"/>
      <c r="F71" s="20"/>
      <c r="G71" s="21">
        <f>D71+E71+F71</f>
        <v>0</v>
      </c>
      <c r="H71" s="21">
        <v>0</v>
      </c>
      <c r="I71" s="14"/>
      <c r="J71" s="22">
        <v>0</v>
      </c>
      <c r="K71" s="20"/>
      <c r="L71" s="20"/>
      <c r="M71" s="21">
        <f>J71+K71+L71</f>
        <v>0</v>
      </c>
      <c r="N71" s="23">
        <f>G71+M71</f>
        <v>0</v>
      </c>
    </row>
    <row r="72" spans="1:14" ht="25.5" x14ac:dyDescent="0.25">
      <c r="A72" s="17">
        <v>12</v>
      </c>
      <c r="B72" s="17">
        <v>1611</v>
      </c>
      <c r="C72" s="18" t="s">
        <v>16</v>
      </c>
      <c r="D72" s="19">
        <v>8004127.5899999999</v>
      </c>
      <c r="E72" s="20">
        <v>372623</v>
      </c>
      <c r="F72" s="20"/>
      <c r="G72" s="21">
        <f>D72+E72+F72</f>
        <v>8376750.5899999999</v>
      </c>
      <c r="H72" s="21">
        <v>0</v>
      </c>
      <c r="I72" s="24"/>
      <c r="J72" s="22">
        <v>-5988059.6699999999</v>
      </c>
      <c r="K72" s="20">
        <v>-501309.4</v>
      </c>
      <c r="L72" s="20"/>
      <c r="M72" s="21">
        <f>J72+K72+L72</f>
        <v>-6489369.0700000003</v>
      </c>
      <c r="N72" s="23">
        <f>G72+M72</f>
        <v>1887381.5199999996</v>
      </c>
    </row>
    <row r="73" spans="1:14" ht="25.5" x14ac:dyDescent="0.25">
      <c r="A73" s="17" t="s">
        <v>17</v>
      </c>
      <c r="B73" s="17">
        <v>1612</v>
      </c>
      <c r="C73" s="18" t="s">
        <v>18</v>
      </c>
      <c r="D73" s="19">
        <v>0</v>
      </c>
      <c r="E73" s="20"/>
      <c r="F73" s="20"/>
      <c r="G73" s="21">
        <f>D73+E73+F73</f>
        <v>0</v>
      </c>
      <c r="H73" s="21">
        <v>0</v>
      </c>
      <c r="I73" s="24"/>
      <c r="J73" s="22">
        <v>0</v>
      </c>
      <c r="K73" s="20"/>
      <c r="L73" s="20"/>
      <c r="M73" s="21">
        <f>J73+K73+L73</f>
        <v>0</v>
      </c>
      <c r="N73" s="23">
        <f>G73+M73</f>
        <v>0</v>
      </c>
    </row>
    <row r="74" spans="1:14" x14ac:dyDescent="0.25">
      <c r="A74" s="17" t="s">
        <v>19</v>
      </c>
      <c r="B74" s="17">
        <v>1805</v>
      </c>
      <c r="C74" s="18" t="s">
        <v>20</v>
      </c>
      <c r="D74" s="19">
        <v>97349.37</v>
      </c>
      <c r="E74" s="20">
        <v>3339.85</v>
      </c>
      <c r="F74" s="20"/>
      <c r="G74" s="21">
        <f>D74+E74+F74</f>
        <v>100689.22</v>
      </c>
      <c r="H74" s="21">
        <v>0</v>
      </c>
      <c r="I74" s="24"/>
      <c r="J74" s="22">
        <v>0</v>
      </c>
      <c r="K74" s="20"/>
      <c r="L74" s="20"/>
      <c r="M74" s="21">
        <f>J74+K74+L74</f>
        <v>0</v>
      </c>
      <c r="N74" s="23">
        <f>G74+M74</f>
        <v>100689.22</v>
      </c>
    </row>
    <row r="75" spans="1:14" x14ac:dyDescent="0.25">
      <c r="A75" s="17">
        <v>47</v>
      </c>
      <c r="B75" s="17">
        <v>1808</v>
      </c>
      <c r="C75" s="18" t="s">
        <v>21</v>
      </c>
      <c r="D75" s="19">
        <v>682915.66</v>
      </c>
      <c r="E75" s="20"/>
      <c r="F75" s="20"/>
      <c r="G75" s="21">
        <f t="shared" ref="G75:G111" si="7">D75+E75+F75</f>
        <v>682915.66</v>
      </c>
      <c r="H75" s="21">
        <v>0</v>
      </c>
      <c r="I75" s="24"/>
      <c r="J75" s="22">
        <v>-147584.82</v>
      </c>
      <c r="K75" s="20">
        <v>-26435.89</v>
      </c>
      <c r="L75" s="20"/>
      <c r="M75" s="21">
        <f t="shared" ref="M75:M111" si="8">J75+K75+L75</f>
        <v>-174020.71000000002</v>
      </c>
      <c r="N75" s="23">
        <f t="shared" ref="N75:N111" si="9">G75+M75</f>
        <v>508894.95</v>
      </c>
    </row>
    <row r="76" spans="1:14" x14ac:dyDescent="0.25">
      <c r="A76" s="17">
        <v>13</v>
      </c>
      <c r="B76" s="17">
        <v>1810</v>
      </c>
      <c r="C76" s="18" t="s">
        <v>22</v>
      </c>
      <c r="D76" s="19"/>
      <c r="E76" s="20"/>
      <c r="F76" s="20"/>
      <c r="G76" s="21">
        <f t="shared" si="7"/>
        <v>0</v>
      </c>
      <c r="H76" s="21">
        <v>0</v>
      </c>
      <c r="I76" s="24"/>
      <c r="J76" s="22">
        <v>0</v>
      </c>
      <c r="K76" s="20"/>
      <c r="L76" s="20"/>
      <c r="M76" s="21">
        <f t="shared" si="8"/>
        <v>0</v>
      </c>
      <c r="N76" s="23">
        <f t="shared" si="9"/>
        <v>0</v>
      </c>
    </row>
    <row r="77" spans="1:14" ht="25.5" x14ac:dyDescent="0.25">
      <c r="A77" s="17">
        <v>47</v>
      </c>
      <c r="B77" s="17">
        <v>1815</v>
      </c>
      <c r="C77" s="18" t="s">
        <v>23</v>
      </c>
      <c r="D77" s="19">
        <v>0</v>
      </c>
      <c r="E77" s="20"/>
      <c r="F77" s="20"/>
      <c r="G77" s="21">
        <f t="shared" si="7"/>
        <v>0</v>
      </c>
      <c r="H77" s="21">
        <v>0</v>
      </c>
      <c r="I77" s="24"/>
      <c r="J77" s="22">
        <v>0</v>
      </c>
      <c r="K77" s="20"/>
      <c r="L77" s="20"/>
      <c r="M77" s="21">
        <f t="shared" si="8"/>
        <v>0</v>
      </c>
      <c r="N77" s="23">
        <f t="shared" si="9"/>
        <v>0</v>
      </c>
    </row>
    <row r="78" spans="1:14" x14ac:dyDescent="0.25">
      <c r="A78" s="17">
        <v>47</v>
      </c>
      <c r="B78" s="17">
        <v>1820</v>
      </c>
      <c r="C78" s="18" t="s">
        <v>24</v>
      </c>
      <c r="D78" s="19">
        <v>2013378</v>
      </c>
      <c r="E78" s="20">
        <v>45304.88</v>
      </c>
      <c r="F78" s="20"/>
      <c r="G78" s="21">
        <f t="shared" si="7"/>
        <v>2058682.88</v>
      </c>
      <c r="H78" s="21">
        <v>0</v>
      </c>
      <c r="I78" s="24"/>
      <c r="J78" s="22">
        <v>-996518</v>
      </c>
      <c r="K78" s="20">
        <v>-88573.43</v>
      </c>
      <c r="L78" s="20"/>
      <c r="M78" s="21">
        <f t="shared" si="8"/>
        <v>-1085091.43</v>
      </c>
      <c r="N78" s="23">
        <f t="shared" si="9"/>
        <v>973591.45</v>
      </c>
    </row>
    <row r="79" spans="1:14" x14ac:dyDescent="0.25">
      <c r="A79" s="17">
        <v>47</v>
      </c>
      <c r="B79" s="17">
        <v>1825</v>
      </c>
      <c r="C79" s="18" t="s">
        <v>25</v>
      </c>
      <c r="D79" s="19"/>
      <c r="E79" s="20"/>
      <c r="F79" s="20"/>
      <c r="G79" s="21">
        <f t="shared" si="7"/>
        <v>0</v>
      </c>
      <c r="H79" s="21">
        <v>0</v>
      </c>
      <c r="I79" s="24"/>
      <c r="J79" s="22">
        <v>0</v>
      </c>
      <c r="K79" s="20"/>
      <c r="L79" s="20"/>
      <c r="M79" s="21">
        <f t="shared" si="8"/>
        <v>0</v>
      </c>
      <c r="N79" s="23">
        <f t="shared" si="9"/>
        <v>0</v>
      </c>
    </row>
    <row r="80" spans="1:14" x14ac:dyDescent="0.25">
      <c r="A80" s="17">
        <v>47</v>
      </c>
      <c r="B80" s="17">
        <v>1830</v>
      </c>
      <c r="C80" s="18" t="s">
        <v>26</v>
      </c>
      <c r="D80" s="19">
        <v>60222928.25</v>
      </c>
      <c r="E80" s="20">
        <v>2666896.34</v>
      </c>
      <c r="F80" s="20">
        <v>-24094.400000000001</v>
      </c>
      <c r="G80" s="21">
        <f t="shared" si="7"/>
        <v>62865730.190000005</v>
      </c>
      <c r="H80" s="21">
        <v>0</v>
      </c>
      <c r="I80" s="24"/>
      <c r="J80" s="22">
        <v>-8337155.0600000005</v>
      </c>
      <c r="K80" s="20">
        <v>-1161117.6499999999</v>
      </c>
      <c r="L80" s="20">
        <v>272.32</v>
      </c>
      <c r="M80" s="21">
        <f t="shared" si="8"/>
        <v>-9498000.3900000006</v>
      </c>
      <c r="N80" s="23">
        <f t="shared" si="9"/>
        <v>53367729.800000004</v>
      </c>
    </row>
    <row r="81" spans="1:14" x14ac:dyDescent="0.25">
      <c r="A81" s="17">
        <v>47</v>
      </c>
      <c r="B81" s="17">
        <v>1835</v>
      </c>
      <c r="C81" s="18" t="s">
        <v>27</v>
      </c>
      <c r="D81" s="19">
        <v>23049355.75</v>
      </c>
      <c r="E81" s="20">
        <v>3843929.84</v>
      </c>
      <c r="F81" s="20">
        <v>-26054.2</v>
      </c>
      <c r="G81" s="21">
        <f t="shared" si="7"/>
        <v>26867231.390000001</v>
      </c>
      <c r="H81" s="21">
        <v>0</v>
      </c>
      <c r="I81" s="24"/>
      <c r="J81" s="22">
        <v>-3136177.94</v>
      </c>
      <c r="K81" s="20">
        <v>-416700.7</v>
      </c>
      <c r="L81" s="20">
        <v>2346.3000000000002</v>
      </c>
      <c r="M81" s="21">
        <f t="shared" si="8"/>
        <v>-3550532.3400000003</v>
      </c>
      <c r="N81" s="23">
        <f t="shared" si="9"/>
        <v>23316699.050000001</v>
      </c>
    </row>
    <row r="82" spans="1:14" x14ac:dyDescent="0.25">
      <c r="A82" s="17">
        <v>47</v>
      </c>
      <c r="B82" s="17">
        <v>1840</v>
      </c>
      <c r="C82" s="18" t="s">
        <v>28</v>
      </c>
      <c r="D82" s="19">
        <v>10726395.59</v>
      </c>
      <c r="E82" s="20">
        <v>586054.54</v>
      </c>
      <c r="F82" s="20"/>
      <c r="G82" s="21">
        <f t="shared" si="7"/>
        <v>11312450.129999999</v>
      </c>
      <c r="H82" s="21">
        <v>0</v>
      </c>
      <c r="I82" s="24"/>
      <c r="J82" s="22">
        <v>-1217345.5599999998</v>
      </c>
      <c r="K82" s="20">
        <v>-205715.02</v>
      </c>
      <c r="L82" s="20"/>
      <c r="M82" s="21">
        <f t="shared" si="8"/>
        <v>-1423060.5799999998</v>
      </c>
      <c r="N82" s="23">
        <f t="shared" si="9"/>
        <v>9889389.5499999989</v>
      </c>
    </row>
    <row r="83" spans="1:14" x14ac:dyDescent="0.25">
      <c r="A83" s="17">
        <v>47</v>
      </c>
      <c r="B83" s="17">
        <v>1845</v>
      </c>
      <c r="C83" s="18" t="s">
        <v>29</v>
      </c>
      <c r="D83" s="19">
        <v>28247200.960000001</v>
      </c>
      <c r="E83" s="20">
        <v>1064603.53</v>
      </c>
      <c r="F83" s="20"/>
      <c r="G83" s="21">
        <f t="shared" si="7"/>
        <v>29311804.490000002</v>
      </c>
      <c r="H83" s="21">
        <v>0</v>
      </c>
      <c r="I83" s="24"/>
      <c r="J83" s="22">
        <v>-5478240.9600000009</v>
      </c>
      <c r="K83" s="20">
        <v>-690475.76</v>
      </c>
      <c r="L83" s="20"/>
      <c r="M83" s="21">
        <f t="shared" si="8"/>
        <v>-6168716.7200000007</v>
      </c>
      <c r="N83" s="23">
        <f t="shared" si="9"/>
        <v>23143087.770000003</v>
      </c>
    </row>
    <row r="84" spans="1:14" x14ac:dyDescent="0.25">
      <c r="A84" s="17">
        <v>47</v>
      </c>
      <c r="B84" s="17">
        <v>1850</v>
      </c>
      <c r="C84" s="18" t="s">
        <v>30</v>
      </c>
      <c r="D84" s="19">
        <v>27846847.109999999</v>
      </c>
      <c r="E84" s="20">
        <v>2567450.9900000002</v>
      </c>
      <c r="F84" s="20"/>
      <c r="G84" s="21">
        <f t="shared" si="7"/>
        <v>30414298.100000001</v>
      </c>
      <c r="H84" s="21">
        <v>0</v>
      </c>
      <c r="I84" s="24"/>
      <c r="J84" s="22">
        <v>-5116398.540000001</v>
      </c>
      <c r="K84" s="20">
        <v>-648004.41</v>
      </c>
      <c r="L84" s="20"/>
      <c r="M84" s="21">
        <f t="shared" si="8"/>
        <v>-5764402.9500000011</v>
      </c>
      <c r="N84" s="23">
        <f t="shared" si="9"/>
        <v>24649895.149999999</v>
      </c>
    </row>
    <row r="85" spans="1:14" x14ac:dyDescent="0.25">
      <c r="A85" s="17">
        <v>47</v>
      </c>
      <c r="B85" s="17">
        <v>1855</v>
      </c>
      <c r="C85" s="18" t="s">
        <v>31</v>
      </c>
      <c r="D85" s="19">
        <v>14901536.1</v>
      </c>
      <c r="E85" s="20">
        <v>624343.81999999995</v>
      </c>
      <c r="F85" s="20"/>
      <c r="G85" s="21">
        <f t="shared" si="7"/>
        <v>15525879.92</v>
      </c>
      <c r="H85" s="21">
        <v>0</v>
      </c>
      <c r="I85" s="24"/>
      <c r="J85" s="22">
        <v>-2187657.65</v>
      </c>
      <c r="K85" s="20">
        <v>-304665.32</v>
      </c>
      <c r="L85" s="20"/>
      <c r="M85" s="21">
        <f t="shared" si="8"/>
        <v>-2492322.9699999997</v>
      </c>
      <c r="N85" s="23">
        <f t="shared" si="9"/>
        <v>13033556.949999999</v>
      </c>
    </row>
    <row r="86" spans="1:14" x14ac:dyDescent="0.25">
      <c r="A86" s="17">
        <v>47</v>
      </c>
      <c r="B86" s="17">
        <v>1860</v>
      </c>
      <c r="C86" s="18" t="s">
        <v>32</v>
      </c>
      <c r="D86" s="19">
        <v>0</v>
      </c>
      <c r="E86" s="20"/>
      <c r="F86" s="20"/>
      <c r="G86" s="21">
        <f t="shared" si="7"/>
        <v>0</v>
      </c>
      <c r="H86" s="21">
        <v>0</v>
      </c>
      <c r="I86" s="24"/>
      <c r="J86" s="22">
        <v>0</v>
      </c>
      <c r="K86" s="20"/>
      <c r="L86" s="20"/>
      <c r="M86" s="21">
        <f t="shared" si="8"/>
        <v>0</v>
      </c>
      <c r="N86" s="23">
        <f t="shared" si="9"/>
        <v>0</v>
      </c>
    </row>
    <row r="87" spans="1:14" x14ac:dyDescent="0.25">
      <c r="A87" s="17">
        <v>47</v>
      </c>
      <c r="B87" s="17">
        <v>1860</v>
      </c>
      <c r="C87" s="18" t="s">
        <v>33</v>
      </c>
      <c r="D87" s="19">
        <v>21472161</v>
      </c>
      <c r="E87" s="20">
        <v>2714891.83</v>
      </c>
      <c r="F87" s="20"/>
      <c r="G87" s="21">
        <f t="shared" si="7"/>
        <v>24187052.829999998</v>
      </c>
      <c r="H87" s="21">
        <v>0</v>
      </c>
      <c r="I87" s="24"/>
      <c r="J87" s="22">
        <v>-10502909</v>
      </c>
      <c r="K87" s="20">
        <v>-1180887.18</v>
      </c>
      <c r="L87" s="20"/>
      <c r="M87" s="21">
        <f t="shared" si="8"/>
        <v>-11683796.18</v>
      </c>
      <c r="N87" s="23">
        <f t="shared" si="9"/>
        <v>12503256.649999999</v>
      </c>
    </row>
    <row r="88" spans="1:14" x14ac:dyDescent="0.25">
      <c r="A88" s="17" t="s">
        <v>19</v>
      </c>
      <c r="B88" s="17">
        <v>1905</v>
      </c>
      <c r="C88" s="18" t="s">
        <v>20</v>
      </c>
      <c r="D88" s="19">
        <v>1439712.63</v>
      </c>
      <c r="E88" s="20"/>
      <c r="F88" s="20"/>
      <c r="G88" s="21">
        <f t="shared" si="7"/>
        <v>1439712.63</v>
      </c>
      <c r="H88" s="21">
        <v>0</v>
      </c>
      <c r="I88" s="24"/>
      <c r="J88" s="22">
        <v>0</v>
      </c>
      <c r="K88" s="20"/>
      <c r="L88" s="20"/>
      <c r="M88" s="21">
        <f t="shared" si="8"/>
        <v>0</v>
      </c>
      <c r="N88" s="23">
        <f t="shared" si="9"/>
        <v>1439712.63</v>
      </c>
    </row>
    <row r="89" spans="1:14" x14ac:dyDescent="0.25">
      <c r="A89" s="17">
        <v>47</v>
      </c>
      <c r="B89" s="17">
        <v>1908</v>
      </c>
      <c r="C89" s="18" t="s">
        <v>34</v>
      </c>
      <c r="D89" s="19">
        <v>8059748.0499999998</v>
      </c>
      <c r="E89" s="20">
        <v>332598</v>
      </c>
      <c r="F89" s="20"/>
      <c r="G89" s="21">
        <f t="shared" si="7"/>
        <v>8392346.0500000007</v>
      </c>
      <c r="H89" s="21">
        <v>0</v>
      </c>
      <c r="I89" s="24"/>
      <c r="J89" s="22">
        <v>-2612308.04</v>
      </c>
      <c r="K89" s="20">
        <v>-222402.03</v>
      </c>
      <c r="L89" s="20"/>
      <c r="M89" s="21">
        <f t="shared" si="8"/>
        <v>-2834710.07</v>
      </c>
      <c r="N89" s="23">
        <f t="shared" si="9"/>
        <v>5557635.9800000004</v>
      </c>
    </row>
    <row r="90" spans="1:14" x14ac:dyDescent="0.25">
      <c r="A90" s="17">
        <v>13</v>
      </c>
      <c r="B90" s="17">
        <v>1910</v>
      </c>
      <c r="C90" s="18" t="s">
        <v>22</v>
      </c>
      <c r="D90" s="19">
        <v>93140</v>
      </c>
      <c r="E90" s="20"/>
      <c r="F90" s="20">
        <v>-93140</v>
      </c>
      <c r="G90" s="21">
        <f t="shared" si="7"/>
        <v>0</v>
      </c>
      <c r="H90" s="21">
        <v>0</v>
      </c>
      <c r="I90" s="24"/>
      <c r="J90" s="22">
        <v>-93140</v>
      </c>
      <c r="K90" s="20"/>
      <c r="L90" s="20">
        <v>93140</v>
      </c>
      <c r="M90" s="21">
        <f t="shared" si="8"/>
        <v>0</v>
      </c>
      <c r="N90" s="23">
        <f t="shared" si="9"/>
        <v>0</v>
      </c>
    </row>
    <row r="91" spans="1:14" ht="25.5" x14ac:dyDescent="0.25">
      <c r="A91" s="17">
        <v>8</v>
      </c>
      <c r="B91" s="17">
        <v>1915</v>
      </c>
      <c r="C91" s="18" t="s">
        <v>35</v>
      </c>
      <c r="D91" s="19">
        <v>871564.96</v>
      </c>
      <c r="E91" s="20">
        <v>93502.38</v>
      </c>
      <c r="F91" s="20"/>
      <c r="G91" s="21">
        <f t="shared" si="7"/>
        <v>965067.34</v>
      </c>
      <c r="H91" s="21">
        <v>0</v>
      </c>
      <c r="I91" s="24"/>
      <c r="J91" s="22">
        <v>-537801.96</v>
      </c>
      <c r="K91" s="20">
        <v>-52149.77</v>
      </c>
      <c r="L91" s="20"/>
      <c r="M91" s="21">
        <f t="shared" si="8"/>
        <v>-589951.73</v>
      </c>
      <c r="N91" s="23">
        <f t="shared" si="9"/>
        <v>375115.61</v>
      </c>
    </row>
    <row r="92" spans="1:14" x14ac:dyDescent="0.25">
      <c r="A92" s="17">
        <v>8</v>
      </c>
      <c r="B92" s="17">
        <v>1915</v>
      </c>
      <c r="C92" s="18" t="s">
        <v>36</v>
      </c>
      <c r="D92" s="19">
        <v>0</v>
      </c>
      <c r="E92" s="20"/>
      <c r="F92" s="20"/>
      <c r="G92" s="21">
        <f t="shared" si="7"/>
        <v>0</v>
      </c>
      <c r="H92" s="21">
        <v>0</v>
      </c>
      <c r="I92" s="24"/>
      <c r="J92" s="22">
        <v>0</v>
      </c>
      <c r="K92" s="20"/>
      <c r="L92" s="20"/>
      <c r="M92" s="21">
        <f t="shared" si="8"/>
        <v>0</v>
      </c>
      <c r="N92" s="23">
        <f t="shared" si="9"/>
        <v>0</v>
      </c>
    </row>
    <row r="93" spans="1:14" x14ac:dyDescent="0.25">
      <c r="A93" s="17">
        <v>10</v>
      </c>
      <c r="B93" s="17">
        <v>1920</v>
      </c>
      <c r="C93" s="18" t="s">
        <v>37</v>
      </c>
      <c r="D93" s="19">
        <v>0</v>
      </c>
      <c r="E93" s="20"/>
      <c r="F93" s="20"/>
      <c r="G93" s="21">
        <f t="shared" si="7"/>
        <v>0</v>
      </c>
      <c r="H93" s="21">
        <v>0</v>
      </c>
      <c r="I93" s="24"/>
      <c r="J93" s="22">
        <v>0</v>
      </c>
      <c r="K93" s="20"/>
      <c r="L93" s="20"/>
      <c r="M93" s="21">
        <f t="shared" si="8"/>
        <v>0</v>
      </c>
      <c r="N93" s="23">
        <f t="shared" si="9"/>
        <v>0</v>
      </c>
    </row>
    <row r="94" spans="1:14" ht="25.5" x14ac:dyDescent="0.25">
      <c r="A94" s="17">
        <v>45</v>
      </c>
      <c r="B94" s="17">
        <v>1920</v>
      </c>
      <c r="C94" s="18" t="s">
        <v>38</v>
      </c>
      <c r="D94" s="19">
        <v>0</v>
      </c>
      <c r="E94" s="20"/>
      <c r="F94" s="20"/>
      <c r="G94" s="21">
        <f t="shared" si="7"/>
        <v>0</v>
      </c>
      <c r="H94" s="21">
        <v>0</v>
      </c>
      <c r="I94" s="24"/>
      <c r="J94" s="22">
        <v>0</v>
      </c>
      <c r="K94" s="20"/>
      <c r="L94" s="20"/>
      <c r="M94" s="21">
        <f t="shared" si="8"/>
        <v>0</v>
      </c>
      <c r="N94" s="23">
        <f t="shared" si="9"/>
        <v>0</v>
      </c>
    </row>
    <row r="95" spans="1:14" ht="25.5" x14ac:dyDescent="0.25">
      <c r="A95" s="17">
        <v>50</v>
      </c>
      <c r="B95" s="17">
        <v>1920</v>
      </c>
      <c r="C95" s="18" t="s">
        <v>39</v>
      </c>
      <c r="D95" s="19">
        <v>3044875.99</v>
      </c>
      <c r="E95" s="20">
        <v>283484</v>
      </c>
      <c r="F95" s="20"/>
      <c r="G95" s="21">
        <f t="shared" si="7"/>
        <v>3328359.99</v>
      </c>
      <c r="H95" s="21">
        <v>0</v>
      </c>
      <c r="I95" s="24"/>
      <c r="J95" s="22">
        <v>-2477615</v>
      </c>
      <c r="K95" s="20">
        <v>-198162.87</v>
      </c>
      <c r="L95" s="20"/>
      <c r="M95" s="21">
        <f t="shared" si="8"/>
        <v>-2675777.87</v>
      </c>
      <c r="N95" s="23">
        <f t="shared" si="9"/>
        <v>652582.12000000011</v>
      </c>
    </row>
    <row r="96" spans="1:14" x14ac:dyDescent="0.25">
      <c r="A96" s="17">
        <v>10</v>
      </c>
      <c r="B96" s="17">
        <v>1930</v>
      </c>
      <c r="C96" s="18" t="s">
        <v>40</v>
      </c>
      <c r="D96" s="19">
        <v>7496818.8099999996</v>
      </c>
      <c r="E96" s="20">
        <v>946467.58</v>
      </c>
      <c r="F96" s="20">
        <v>-288086.96000000002</v>
      </c>
      <c r="G96" s="21">
        <f t="shared" si="7"/>
        <v>8155199.4299999988</v>
      </c>
      <c r="H96" s="21">
        <v>0</v>
      </c>
      <c r="I96" s="24"/>
      <c r="J96" s="22">
        <v>-3236353.34</v>
      </c>
      <c r="K96" s="20">
        <v>-460104.91</v>
      </c>
      <c r="L96" s="20">
        <v>265107.14</v>
      </c>
      <c r="M96" s="21">
        <f t="shared" si="8"/>
        <v>-3431351.11</v>
      </c>
      <c r="N96" s="23">
        <f t="shared" si="9"/>
        <v>4723848.3199999984</v>
      </c>
    </row>
    <row r="97" spans="1:14" x14ac:dyDescent="0.25">
      <c r="A97" s="17">
        <v>8</v>
      </c>
      <c r="B97" s="17">
        <v>1935</v>
      </c>
      <c r="C97" s="18" t="s">
        <v>41</v>
      </c>
      <c r="D97" s="19">
        <v>0</v>
      </c>
      <c r="E97" s="20"/>
      <c r="F97" s="20"/>
      <c r="G97" s="21">
        <f t="shared" si="7"/>
        <v>0</v>
      </c>
      <c r="H97" s="21">
        <v>0</v>
      </c>
      <c r="I97" s="24"/>
      <c r="J97" s="22">
        <v>0</v>
      </c>
      <c r="K97" s="20"/>
      <c r="L97" s="20"/>
      <c r="M97" s="21">
        <f t="shared" si="8"/>
        <v>0</v>
      </c>
      <c r="N97" s="23">
        <f t="shared" si="9"/>
        <v>0</v>
      </c>
    </row>
    <row r="98" spans="1:14" x14ac:dyDescent="0.25">
      <c r="A98" s="17">
        <v>8</v>
      </c>
      <c r="B98" s="17">
        <v>1940</v>
      </c>
      <c r="C98" s="18" t="s">
        <v>42</v>
      </c>
      <c r="D98" s="19">
        <v>1559318</v>
      </c>
      <c r="E98" s="20">
        <v>80559.88</v>
      </c>
      <c r="F98" s="20"/>
      <c r="G98" s="21">
        <f t="shared" si="7"/>
        <v>1639877.88</v>
      </c>
      <c r="H98" s="21">
        <v>0</v>
      </c>
      <c r="I98" s="24"/>
      <c r="J98" s="22">
        <v>-1028625</v>
      </c>
      <c r="K98" s="20">
        <v>-91934.48</v>
      </c>
      <c r="L98" s="20"/>
      <c r="M98" s="21">
        <f t="shared" si="8"/>
        <v>-1120559.48</v>
      </c>
      <c r="N98" s="23">
        <f t="shared" si="9"/>
        <v>519318.39999999991</v>
      </c>
    </row>
    <row r="99" spans="1:14" x14ac:dyDescent="0.25">
      <c r="A99" s="17">
        <v>8</v>
      </c>
      <c r="B99" s="17">
        <v>1945</v>
      </c>
      <c r="C99" s="18" t="s">
        <v>43</v>
      </c>
      <c r="D99" s="19">
        <v>0</v>
      </c>
      <c r="E99" s="20"/>
      <c r="F99" s="20"/>
      <c r="G99" s="21">
        <f t="shared" si="7"/>
        <v>0</v>
      </c>
      <c r="H99" s="21">
        <v>0</v>
      </c>
      <c r="I99" s="24"/>
      <c r="J99" s="22">
        <v>0</v>
      </c>
      <c r="K99" s="20"/>
      <c r="L99" s="20"/>
      <c r="M99" s="21">
        <f t="shared" si="8"/>
        <v>0</v>
      </c>
      <c r="N99" s="23">
        <f t="shared" si="9"/>
        <v>0</v>
      </c>
    </row>
    <row r="100" spans="1:14" x14ac:dyDescent="0.25">
      <c r="A100" s="17">
        <v>8</v>
      </c>
      <c r="B100" s="17">
        <v>1950</v>
      </c>
      <c r="C100" s="18" t="s">
        <v>44</v>
      </c>
      <c r="D100" s="19">
        <v>0</v>
      </c>
      <c r="E100" s="20"/>
      <c r="F100" s="20"/>
      <c r="G100" s="21">
        <f t="shared" si="7"/>
        <v>0</v>
      </c>
      <c r="H100" s="21">
        <v>0</v>
      </c>
      <c r="I100" s="24"/>
      <c r="J100" s="22">
        <v>0</v>
      </c>
      <c r="K100" s="20"/>
      <c r="L100" s="20"/>
      <c r="M100" s="21">
        <f t="shared" si="8"/>
        <v>0</v>
      </c>
      <c r="N100" s="23">
        <f t="shared" si="9"/>
        <v>0</v>
      </c>
    </row>
    <row r="101" spans="1:14" x14ac:dyDescent="0.25">
      <c r="A101" s="17">
        <v>8</v>
      </c>
      <c r="B101" s="17">
        <v>1955</v>
      </c>
      <c r="C101" s="18" t="s">
        <v>45</v>
      </c>
      <c r="D101" s="19">
        <v>0</v>
      </c>
      <c r="E101" s="20"/>
      <c r="F101" s="20"/>
      <c r="G101" s="21">
        <f t="shared" si="7"/>
        <v>0</v>
      </c>
      <c r="H101" s="21">
        <v>0</v>
      </c>
      <c r="I101" s="24"/>
      <c r="J101" s="22">
        <v>0</v>
      </c>
      <c r="K101" s="20"/>
      <c r="L101" s="20"/>
      <c r="M101" s="21">
        <f t="shared" si="8"/>
        <v>0</v>
      </c>
      <c r="N101" s="23">
        <f t="shared" si="9"/>
        <v>0</v>
      </c>
    </row>
    <row r="102" spans="1:14" ht="25.5" x14ac:dyDescent="0.25">
      <c r="A102" s="17">
        <v>8</v>
      </c>
      <c r="B102" s="17">
        <v>1955</v>
      </c>
      <c r="C102" s="18" t="s">
        <v>46</v>
      </c>
      <c r="D102" s="19">
        <v>0</v>
      </c>
      <c r="E102" s="20"/>
      <c r="F102" s="20"/>
      <c r="G102" s="21">
        <f t="shared" si="7"/>
        <v>0</v>
      </c>
      <c r="H102" s="21">
        <v>0</v>
      </c>
      <c r="I102" s="24"/>
      <c r="J102" s="22">
        <v>0</v>
      </c>
      <c r="K102" s="20"/>
      <c r="L102" s="20"/>
      <c r="M102" s="21">
        <f t="shared" si="8"/>
        <v>0</v>
      </c>
      <c r="N102" s="23">
        <f t="shared" si="9"/>
        <v>0</v>
      </c>
    </row>
    <row r="103" spans="1:14" x14ac:dyDescent="0.25">
      <c r="A103" s="17">
        <v>8</v>
      </c>
      <c r="B103" s="17">
        <v>1960</v>
      </c>
      <c r="C103" s="18" t="s">
        <v>47</v>
      </c>
      <c r="D103" s="19">
        <v>0</v>
      </c>
      <c r="E103" s="20"/>
      <c r="F103" s="20"/>
      <c r="G103" s="21">
        <f t="shared" si="7"/>
        <v>0</v>
      </c>
      <c r="H103" s="21">
        <v>0</v>
      </c>
      <c r="I103" s="24"/>
      <c r="J103" s="22">
        <v>0</v>
      </c>
      <c r="K103" s="20"/>
      <c r="L103" s="20"/>
      <c r="M103" s="21">
        <f t="shared" si="8"/>
        <v>0</v>
      </c>
      <c r="N103" s="23">
        <f t="shared" si="9"/>
        <v>0</v>
      </c>
    </row>
    <row r="104" spans="1:14" ht="25.5" x14ac:dyDescent="0.25">
      <c r="A104" s="1">
        <v>47</v>
      </c>
      <c r="B104" s="17">
        <v>1970</v>
      </c>
      <c r="C104" s="18" t="s">
        <v>48</v>
      </c>
      <c r="D104" s="19">
        <v>0</v>
      </c>
      <c r="E104" s="20"/>
      <c r="F104" s="20"/>
      <c r="G104" s="21">
        <f t="shared" si="7"/>
        <v>0</v>
      </c>
      <c r="H104" s="21">
        <v>0</v>
      </c>
      <c r="I104" s="24"/>
      <c r="J104" s="22">
        <v>0</v>
      </c>
      <c r="K104" s="20"/>
      <c r="L104" s="20"/>
      <c r="M104" s="21">
        <f t="shared" si="8"/>
        <v>0</v>
      </c>
      <c r="N104" s="23">
        <f t="shared" si="9"/>
        <v>0</v>
      </c>
    </row>
    <row r="105" spans="1:14" ht="25.5" x14ac:dyDescent="0.25">
      <c r="A105" s="17">
        <v>47</v>
      </c>
      <c r="B105" s="17">
        <v>1975</v>
      </c>
      <c r="C105" s="18" t="s">
        <v>49</v>
      </c>
      <c r="D105" s="19">
        <v>0</v>
      </c>
      <c r="E105" s="20"/>
      <c r="F105" s="20"/>
      <c r="G105" s="21">
        <f t="shared" si="7"/>
        <v>0</v>
      </c>
      <c r="H105" s="21">
        <v>0</v>
      </c>
      <c r="I105" s="24"/>
      <c r="J105" s="22">
        <v>0</v>
      </c>
      <c r="K105" s="20"/>
      <c r="L105" s="20"/>
      <c r="M105" s="21">
        <f t="shared" si="8"/>
        <v>0</v>
      </c>
      <c r="N105" s="23">
        <f t="shared" si="9"/>
        <v>0</v>
      </c>
    </row>
    <row r="106" spans="1:14" x14ac:dyDescent="0.25">
      <c r="A106" s="17">
        <v>47</v>
      </c>
      <c r="B106" s="17">
        <v>1980</v>
      </c>
      <c r="C106" s="18" t="s">
        <v>50</v>
      </c>
      <c r="D106" s="19">
        <v>1383916.34</v>
      </c>
      <c r="E106" s="20">
        <v>15404.36</v>
      </c>
      <c r="F106" s="20"/>
      <c r="G106" s="21">
        <f t="shared" si="7"/>
        <v>1399320.7000000002</v>
      </c>
      <c r="H106" s="21">
        <v>0</v>
      </c>
      <c r="I106" s="24"/>
      <c r="J106" s="22">
        <v>-592929.18000000005</v>
      </c>
      <c r="K106" s="20">
        <v>-65303.77</v>
      </c>
      <c r="L106" s="20"/>
      <c r="M106" s="21">
        <f t="shared" si="8"/>
        <v>-658232.95000000007</v>
      </c>
      <c r="N106" s="23">
        <f t="shared" si="9"/>
        <v>741087.75000000012</v>
      </c>
    </row>
    <row r="107" spans="1:14" x14ac:dyDescent="0.25">
      <c r="A107" s="17">
        <v>47</v>
      </c>
      <c r="B107" s="17">
        <v>1985</v>
      </c>
      <c r="C107" s="18" t="s">
        <v>51</v>
      </c>
      <c r="D107" s="19">
        <v>0</v>
      </c>
      <c r="E107" s="20"/>
      <c r="F107" s="20"/>
      <c r="G107" s="21">
        <f t="shared" si="7"/>
        <v>0</v>
      </c>
      <c r="H107" s="21">
        <v>0</v>
      </c>
      <c r="I107" s="24"/>
      <c r="J107" s="22">
        <v>0</v>
      </c>
      <c r="K107" s="20"/>
      <c r="L107" s="20"/>
      <c r="M107" s="21">
        <f t="shared" si="8"/>
        <v>0</v>
      </c>
      <c r="N107" s="23">
        <f t="shared" si="9"/>
        <v>0</v>
      </c>
    </row>
    <row r="108" spans="1:14" x14ac:dyDescent="0.25">
      <c r="A108" s="1">
        <v>47</v>
      </c>
      <c r="B108" s="17">
        <v>1990</v>
      </c>
      <c r="C108" s="25" t="s">
        <v>52</v>
      </c>
      <c r="D108" s="19">
        <v>3584560.41</v>
      </c>
      <c r="E108" s="20">
        <v>337293.44999999995</v>
      </c>
      <c r="F108" s="20"/>
      <c r="G108" s="21">
        <f t="shared" si="7"/>
        <v>3921853.8600000003</v>
      </c>
      <c r="H108" s="21">
        <v>0</v>
      </c>
      <c r="I108" s="24"/>
      <c r="J108" s="22">
        <v>-1991124.33</v>
      </c>
      <c r="K108" s="20">
        <v>-183997.08</v>
      </c>
      <c r="L108" s="20"/>
      <c r="M108" s="21">
        <f t="shared" si="8"/>
        <v>-2175121.41</v>
      </c>
      <c r="N108" s="23">
        <f t="shared" si="9"/>
        <v>1746732.4500000002</v>
      </c>
    </row>
    <row r="109" spans="1:14" x14ac:dyDescent="0.25">
      <c r="A109" s="17">
        <v>47</v>
      </c>
      <c r="B109" s="17">
        <v>1995</v>
      </c>
      <c r="C109" s="18" t="s">
        <v>53</v>
      </c>
      <c r="D109" s="19">
        <v>0</v>
      </c>
      <c r="E109" s="20"/>
      <c r="F109" s="20"/>
      <c r="G109" s="21">
        <f t="shared" si="7"/>
        <v>0</v>
      </c>
      <c r="H109" s="21">
        <v>0</v>
      </c>
      <c r="I109" s="24"/>
      <c r="J109" s="22">
        <v>0</v>
      </c>
      <c r="K109" s="20"/>
      <c r="L109" s="20"/>
      <c r="M109" s="21">
        <f t="shared" si="8"/>
        <v>0</v>
      </c>
      <c r="N109" s="23">
        <f t="shared" si="9"/>
        <v>0</v>
      </c>
    </row>
    <row r="110" spans="1:14" x14ac:dyDescent="0.25">
      <c r="A110" s="17">
        <v>47</v>
      </c>
      <c r="B110" s="17">
        <v>2440</v>
      </c>
      <c r="C110" s="18" t="s">
        <v>54</v>
      </c>
      <c r="D110" s="19">
        <v>-23333359</v>
      </c>
      <c r="E110" s="20">
        <v>-1448961.61</v>
      </c>
      <c r="F110" s="20"/>
      <c r="G110" s="21">
        <f t="shared" si="7"/>
        <v>-24782320.609999999</v>
      </c>
      <c r="H110" s="21">
        <v>0</v>
      </c>
      <c r="I110" s="2"/>
      <c r="J110" s="22">
        <v>2003992</v>
      </c>
      <c r="K110" s="20">
        <v>507731.53</v>
      </c>
      <c r="L110" s="20"/>
      <c r="M110" s="21">
        <f t="shared" si="8"/>
        <v>2511723.5300000003</v>
      </c>
      <c r="N110" s="23">
        <f t="shared" si="9"/>
        <v>-22270597.079999998</v>
      </c>
    </row>
    <row r="111" spans="1:14" x14ac:dyDescent="0.25">
      <c r="A111" s="26"/>
      <c r="B111" s="26">
        <v>2005</v>
      </c>
      <c r="C111" s="27" t="s">
        <v>55</v>
      </c>
      <c r="D111" s="19">
        <v>400849</v>
      </c>
      <c r="E111" s="28"/>
      <c r="F111" s="28"/>
      <c r="G111" s="21">
        <f t="shared" si="7"/>
        <v>400849</v>
      </c>
      <c r="H111" s="21">
        <v>0</v>
      </c>
      <c r="I111" s="2"/>
      <c r="J111" s="22">
        <v>-400849</v>
      </c>
      <c r="K111" s="28"/>
      <c r="L111" s="28"/>
      <c r="M111" s="21">
        <f t="shared" si="8"/>
        <v>-400849</v>
      </c>
      <c r="N111" s="23">
        <f t="shared" si="9"/>
        <v>0</v>
      </c>
    </row>
    <row r="112" spans="1:14" x14ac:dyDescent="0.25">
      <c r="A112" s="26"/>
      <c r="B112" s="26"/>
      <c r="C112" s="29" t="s">
        <v>56</v>
      </c>
      <c r="D112" s="30">
        <f>SUM(D71:D111)</f>
        <v>201865340.57000005</v>
      </c>
      <c r="E112" s="30">
        <f>SUM(E71:E111)</f>
        <v>15129786.660000002</v>
      </c>
      <c r="F112" s="30">
        <f>SUM(F71:F111)</f>
        <v>-431375.56000000006</v>
      </c>
      <c r="G112" s="30">
        <f>SUM(G71:G111)</f>
        <v>216563751.67000002</v>
      </c>
      <c r="H112" s="30">
        <f>SUM(H71:H111)</f>
        <v>0</v>
      </c>
      <c r="I112" s="31"/>
      <c r="J112" s="30">
        <f>SUM(J71:J111)</f>
        <v>-54074801.050000004</v>
      </c>
      <c r="K112" s="30">
        <f>SUM(K71:K111)</f>
        <v>-5990208.1399999997</v>
      </c>
      <c r="L112" s="30">
        <f>SUM(L71:L111)</f>
        <v>360865.76</v>
      </c>
      <c r="M112" s="30">
        <f>SUM(M71:M111)</f>
        <v>-59704143.429999992</v>
      </c>
      <c r="N112" s="30">
        <f>SUM(N71:N111)</f>
        <v>156859608.24000001</v>
      </c>
    </row>
    <row r="113" spans="1:14" ht="37.5" x14ac:dyDescent="0.25">
      <c r="A113" s="26"/>
      <c r="B113" s="26"/>
      <c r="C113" s="32" t="s">
        <v>57</v>
      </c>
      <c r="D113" s="28"/>
      <c r="E113" s="28"/>
      <c r="F113" s="28"/>
      <c r="G113" s="21">
        <f>D113+E113+F113</f>
        <v>0</v>
      </c>
      <c r="H113" s="21"/>
      <c r="I113" s="2"/>
      <c r="J113" s="28"/>
      <c r="K113" s="28"/>
      <c r="L113" s="28"/>
      <c r="M113" s="21">
        <f>J113+K113+L113</f>
        <v>0</v>
      </c>
      <c r="N113" s="23">
        <f>G113+M113</f>
        <v>0</v>
      </c>
    </row>
    <row r="114" spans="1:14" ht="25.5" x14ac:dyDescent="0.25">
      <c r="A114" s="26"/>
      <c r="B114" s="26"/>
      <c r="C114" s="33" t="s">
        <v>58</v>
      </c>
      <c r="D114" s="28"/>
      <c r="E114" s="28"/>
      <c r="F114" s="28"/>
      <c r="G114" s="21">
        <f>D114+E114+F114</f>
        <v>0</v>
      </c>
      <c r="H114" s="21"/>
      <c r="I114" s="2"/>
      <c r="J114" s="28"/>
      <c r="K114" s="28"/>
      <c r="L114" s="28"/>
      <c r="M114" s="21">
        <f>J114+K114+L114</f>
        <v>0</v>
      </c>
      <c r="N114" s="23">
        <f>G114+M114</f>
        <v>0</v>
      </c>
    </row>
    <row r="115" spans="1:14" x14ac:dyDescent="0.25">
      <c r="A115" s="26"/>
      <c r="B115" s="26"/>
      <c r="C115" s="29" t="s">
        <v>59</v>
      </c>
      <c r="D115" s="30">
        <f>SUM(D112:D114)</f>
        <v>201865340.57000005</v>
      </c>
      <c r="E115" s="30">
        <f>SUM(E112:E114)</f>
        <v>15129786.660000002</v>
      </c>
      <c r="F115" s="30">
        <f>SUM(F112:F114)</f>
        <v>-431375.56000000006</v>
      </c>
      <c r="G115" s="30">
        <f>SUM(G112:G114)</f>
        <v>216563751.67000002</v>
      </c>
      <c r="H115" s="21"/>
      <c r="I115" s="31"/>
      <c r="J115" s="30">
        <f>SUM(J112:J114)</f>
        <v>-54074801.050000004</v>
      </c>
      <c r="K115" s="30">
        <f>SUM(K112:K114)</f>
        <v>-5990208.1399999997</v>
      </c>
      <c r="L115" s="30">
        <f>SUM(L112:L114)</f>
        <v>360865.76</v>
      </c>
      <c r="M115" s="30">
        <f>SUM(M112:M114)</f>
        <v>-59704143.429999992</v>
      </c>
      <c r="N115" s="30">
        <f>SUM(N112:N114)</f>
        <v>156859608.24000001</v>
      </c>
    </row>
    <row r="116" spans="1:14" x14ac:dyDescent="0.25">
      <c r="A116" s="26"/>
      <c r="B116" s="26"/>
      <c r="C116" s="34" t="s">
        <v>60</v>
      </c>
      <c r="D116" s="20">
        <v>2318</v>
      </c>
      <c r="E116" s="20">
        <v>171059</v>
      </c>
      <c r="F116" s="20">
        <v>-60131</v>
      </c>
      <c r="G116" s="21">
        <f t="shared" ref="G116" si="10">D116+E116+F116</f>
        <v>113246</v>
      </c>
      <c r="H116" s="21">
        <v>0</v>
      </c>
      <c r="I116" s="24"/>
      <c r="J116" s="2"/>
      <c r="K116" s="2"/>
      <c r="L116" s="2"/>
      <c r="M116" s="21">
        <f t="shared" ref="M116" si="11">J116+K116+L116</f>
        <v>0</v>
      </c>
      <c r="N116" s="23">
        <f t="shared" ref="N116" si="12">G116+M116</f>
        <v>113246</v>
      </c>
    </row>
    <row r="117" spans="1:14" x14ac:dyDescent="0.25">
      <c r="A117" s="26"/>
      <c r="B117" s="26"/>
      <c r="C117" s="34" t="s">
        <v>61</v>
      </c>
      <c r="D117" s="30">
        <f>SUM(D115:D116)</f>
        <v>201867658.57000005</v>
      </c>
      <c r="E117" s="30">
        <f t="shared" ref="E117:N117" si="13">SUM(E115:E116)</f>
        <v>15300845.660000002</v>
      </c>
      <c r="F117" s="30">
        <f t="shared" si="13"/>
        <v>-491506.56000000006</v>
      </c>
      <c r="G117" s="30">
        <f t="shared" si="13"/>
        <v>216676997.67000002</v>
      </c>
      <c r="H117" s="30">
        <f t="shared" si="13"/>
        <v>0</v>
      </c>
      <c r="I117" s="30">
        <f t="shared" si="13"/>
        <v>0</v>
      </c>
      <c r="J117" s="30">
        <f t="shared" si="13"/>
        <v>-54074801.050000004</v>
      </c>
      <c r="K117" s="30">
        <f t="shared" si="13"/>
        <v>-5990208.1399999997</v>
      </c>
      <c r="L117" s="30">
        <f t="shared" si="13"/>
        <v>360865.76</v>
      </c>
      <c r="M117" s="30">
        <f t="shared" si="13"/>
        <v>-59704143.429999992</v>
      </c>
      <c r="N117" s="30">
        <f t="shared" si="13"/>
        <v>156972854.24000001</v>
      </c>
    </row>
    <row r="118" spans="1:14" x14ac:dyDescent="0.25">
      <c r="A118" s="26"/>
      <c r="B118" s="26"/>
      <c r="C118" s="326" t="s">
        <v>62</v>
      </c>
      <c r="D118" s="327"/>
      <c r="E118" s="327"/>
      <c r="F118" s="327"/>
      <c r="G118" s="327"/>
      <c r="H118" s="327"/>
      <c r="I118" s="327"/>
      <c r="J118" s="328"/>
      <c r="K118" s="28"/>
      <c r="L118" s="2"/>
      <c r="M118" s="35"/>
      <c r="N118" s="36"/>
    </row>
    <row r="119" spans="1:14" x14ac:dyDescent="0.25">
      <c r="A119" s="26"/>
      <c r="B119" s="26"/>
      <c r="C119" s="326" t="s">
        <v>63</v>
      </c>
      <c r="D119" s="327"/>
      <c r="E119" s="327"/>
      <c r="F119" s="327"/>
      <c r="G119" s="327"/>
      <c r="H119" s="327"/>
      <c r="I119" s="327"/>
      <c r="J119" s="328"/>
      <c r="K119" s="30">
        <f>K117+K118</f>
        <v>-5990208.1399999997</v>
      </c>
      <c r="L119" s="2"/>
      <c r="M119" s="35"/>
      <c r="N119" s="36"/>
    </row>
    <row r="120" spans="1:14" hidden="1" x14ac:dyDescent="0.25">
      <c r="A120" s="1"/>
      <c r="B120" s="1"/>
      <c r="C120" s="2"/>
      <c r="D120" s="334" t="s">
        <v>64</v>
      </c>
      <c r="E120" s="334"/>
      <c r="F120" s="334"/>
      <c r="G120" s="36">
        <f>AVERAGE(D115,G115)</f>
        <v>209214546.12000003</v>
      </c>
      <c r="H120" s="2"/>
      <c r="I120" s="2"/>
      <c r="J120" s="37" t="s">
        <v>65</v>
      </c>
      <c r="K120" s="2"/>
      <c r="L120" s="2"/>
      <c r="M120" s="36">
        <f>AVERAGE(J115,M115)</f>
        <v>-56889472.239999995</v>
      </c>
      <c r="N120" s="2"/>
    </row>
    <row r="121" spans="1:14" hidden="1" x14ac:dyDescent="0.25">
      <c r="A121" s="1"/>
      <c r="B121" s="1"/>
      <c r="C121" s="2"/>
      <c r="D121" s="37"/>
      <c r="E121" s="2"/>
      <c r="F121" s="2"/>
      <c r="G121" s="36"/>
      <c r="H121" s="2"/>
      <c r="I121" s="2"/>
      <c r="J121" s="37" t="s">
        <v>66</v>
      </c>
      <c r="K121" s="2"/>
      <c r="L121" s="2"/>
      <c r="M121" s="36">
        <f>G120+M120</f>
        <v>152325073.88000005</v>
      </c>
      <c r="N121" s="2"/>
    </row>
    <row r="122" spans="1:14" hidden="1" x14ac:dyDescent="0.25">
      <c r="A122" s="1"/>
      <c r="B122" s="1"/>
      <c r="C122" s="2"/>
      <c r="D122" s="2"/>
      <c r="E122" s="2"/>
      <c r="F122" s="2"/>
      <c r="G122" s="2"/>
      <c r="H122" s="2"/>
      <c r="I122" s="2"/>
      <c r="J122" s="2" t="s">
        <v>67</v>
      </c>
      <c r="K122" s="2"/>
      <c r="L122" s="2"/>
      <c r="M122" s="2"/>
      <c r="N122" s="2"/>
    </row>
    <row r="123" spans="1:14" hidden="1" x14ac:dyDescent="0.25">
      <c r="A123" s="26">
        <v>10</v>
      </c>
      <c r="B123" s="26"/>
      <c r="C123" s="38" t="s">
        <v>68</v>
      </c>
      <c r="D123" s="39"/>
      <c r="E123" s="39"/>
      <c r="F123" s="39"/>
      <c r="G123" s="39"/>
      <c r="H123" s="39"/>
      <c r="I123" s="39"/>
      <c r="J123" s="39" t="s">
        <v>68</v>
      </c>
      <c r="K123" s="39"/>
      <c r="L123" s="40">
        <v>-508484.89</v>
      </c>
      <c r="M123" s="2"/>
      <c r="N123" s="2"/>
    </row>
    <row r="124" spans="1:14" hidden="1" x14ac:dyDescent="0.25">
      <c r="A124" s="26">
        <v>8</v>
      </c>
      <c r="B124" s="26"/>
      <c r="C124" s="38" t="s">
        <v>69</v>
      </c>
      <c r="D124" s="39"/>
      <c r="E124" s="39"/>
      <c r="F124" s="39"/>
      <c r="G124" s="39"/>
      <c r="H124" s="39"/>
      <c r="I124" s="39"/>
      <c r="J124" s="39" t="s">
        <v>69</v>
      </c>
      <c r="K124" s="39"/>
      <c r="L124" s="40">
        <v>-222012</v>
      </c>
      <c r="M124" s="2"/>
      <c r="N124" s="2"/>
    </row>
    <row r="125" spans="1:14" hidden="1" x14ac:dyDescent="0.25">
      <c r="A125" s="26">
        <v>47</v>
      </c>
      <c r="B125" s="26"/>
      <c r="C125" s="38" t="s">
        <v>70</v>
      </c>
      <c r="D125" s="39"/>
      <c r="E125" s="39"/>
      <c r="F125" s="39"/>
      <c r="G125" s="39"/>
      <c r="H125" s="39"/>
      <c r="I125" s="39"/>
      <c r="J125" s="39" t="s">
        <v>70</v>
      </c>
      <c r="K125" s="39"/>
      <c r="L125" s="40">
        <f>K110</f>
        <v>507731.53</v>
      </c>
      <c r="M125" s="2"/>
      <c r="N125" s="2"/>
    </row>
    <row r="126" spans="1:14" hidden="1" x14ac:dyDescent="0.25">
      <c r="A126" s="1"/>
      <c r="B126" s="1"/>
      <c r="C126" s="2"/>
      <c r="D126" s="2"/>
      <c r="E126" s="2"/>
      <c r="F126" s="2"/>
      <c r="G126" s="2"/>
      <c r="H126" s="2"/>
      <c r="I126" s="2"/>
      <c r="J126" s="332" t="s">
        <v>71</v>
      </c>
      <c r="K126" s="333"/>
      <c r="L126" s="41">
        <f>K119-L123-L124-L125</f>
        <v>-5767442.7800000003</v>
      </c>
      <c r="M126" s="2"/>
      <c r="N126" s="2"/>
    </row>
    <row r="127" spans="1:14" hidden="1" x14ac:dyDescent="0.25">
      <c r="A127" s="1"/>
      <c r="B127" s="1"/>
      <c r="C127" s="2"/>
      <c r="D127" s="2"/>
      <c r="E127" s="2"/>
      <c r="F127" s="2"/>
      <c r="G127" s="2"/>
      <c r="H127" s="2"/>
      <c r="I127" s="2"/>
      <c r="J127" s="2"/>
      <c r="K127" s="2"/>
      <c r="L127" s="2"/>
      <c r="M127" s="2"/>
      <c r="N127" s="2"/>
    </row>
    <row r="128" spans="1:14" x14ac:dyDescent="0.25">
      <c r="A128" s="1"/>
      <c r="B128" s="1"/>
      <c r="C128" s="2"/>
      <c r="D128" s="2"/>
      <c r="E128" s="2"/>
      <c r="F128" s="2"/>
      <c r="G128" s="2"/>
      <c r="H128" s="2"/>
      <c r="I128" s="2"/>
      <c r="J128" s="2"/>
      <c r="K128" s="2"/>
      <c r="L128" s="2"/>
      <c r="M128" s="2"/>
      <c r="N128" s="2"/>
    </row>
    <row r="129" spans="1:17" x14ac:dyDescent="0.25">
      <c r="A129" s="1"/>
      <c r="B129" s="1"/>
      <c r="C129" s="2"/>
      <c r="D129" s="2"/>
      <c r="E129" s="2"/>
      <c r="F129" s="2"/>
      <c r="G129" s="2"/>
      <c r="H129" s="2"/>
      <c r="I129" s="2"/>
      <c r="J129" s="2"/>
      <c r="K129" s="2"/>
      <c r="L129" s="2"/>
      <c r="M129" s="2"/>
      <c r="N129" s="2"/>
    </row>
    <row r="130" spans="1:17" ht="15.75" thickBot="1" x14ac:dyDescent="0.3">
      <c r="A130" s="1"/>
      <c r="B130" s="1"/>
      <c r="C130" s="2"/>
      <c r="D130" s="2"/>
      <c r="E130" s="3" t="s">
        <v>0</v>
      </c>
      <c r="F130" s="4" t="s">
        <v>1</v>
      </c>
      <c r="G130" s="2"/>
      <c r="H130" s="2"/>
      <c r="I130" s="2"/>
      <c r="J130" s="2"/>
      <c r="K130" s="2"/>
      <c r="L130" s="2"/>
      <c r="M130" s="2"/>
      <c r="N130" s="2"/>
    </row>
    <row r="131" spans="1:17" ht="15.75" thickBot="1" x14ac:dyDescent="0.3">
      <c r="A131" s="1"/>
      <c r="B131" s="1"/>
      <c r="C131" s="2"/>
      <c r="D131" s="2"/>
      <c r="E131" s="3" t="s">
        <v>2</v>
      </c>
      <c r="F131" s="5">
        <v>2025</v>
      </c>
      <c r="G131" s="6"/>
      <c r="H131" s="7" t="b">
        <f>IF(F131=2014,4,IF(F131=2015,5,IF(F131=2016,6,IF(F131=2017,7,IF(F131=2018,8,IF(F131=2019,9,IF(F131=2020,10)))))))</f>
        <v>0</v>
      </c>
      <c r="I131" s="2"/>
      <c r="J131" s="2"/>
      <c r="K131" s="2"/>
      <c r="L131" s="2"/>
      <c r="M131" s="2"/>
      <c r="N131" s="2"/>
    </row>
    <row r="132" spans="1:17" x14ac:dyDescent="0.25">
      <c r="A132" s="1"/>
      <c r="B132" s="1"/>
      <c r="C132" s="2"/>
      <c r="D132" s="2"/>
      <c r="E132" s="2"/>
      <c r="F132" s="2"/>
      <c r="G132" s="2"/>
      <c r="H132" s="2"/>
      <c r="I132" s="2"/>
      <c r="J132" s="2"/>
      <c r="K132" s="2"/>
      <c r="L132" s="2"/>
      <c r="M132" s="2"/>
      <c r="N132" s="2"/>
    </row>
    <row r="133" spans="1:17" x14ac:dyDescent="0.25">
      <c r="A133" s="1"/>
      <c r="B133" s="1"/>
      <c r="C133" s="2"/>
      <c r="D133" s="329" t="s">
        <v>3</v>
      </c>
      <c r="E133" s="330"/>
      <c r="F133" s="330"/>
      <c r="G133" s="330"/>
      <c r="H133" s="331"/>
      <c r="I133" s="2"/>
      <c r="J133" s="8"/>
      <c r="K133" s="9" t="s">
        <v>4</v>
      </c>
      <c r="L133" s="9"/>
      <c r="M133" s="10"/>
      <c r="N133" s="2"/>
    </row>
    <row r="134" spans="1:17" ht="90" x14ac:dyDescent="0.25">
      <c r="A134" s="11" t="s">
        <v>5</v>
      </c>
      <c r="B134" s="11" t="s">
        <v>6</v>
      </c>
      <c r="C134" s="12" t="s">
        <v>7</v>
      </c>
      <c r="D134" s="11" t="s">
        <v>8</v>
      </c>
      <c r="E134" s="13" t="s">
        <v>9</v>
      </c>
      <c r="F134" s="13" t="s">
        <v>10</v>
      </c>
      <c r="G134" s="11" t="s">
        <v>11</v>
      </c>
      <c r="H134" s="11" t="s">
        <v>12</v>
      </c>
      <c r="I134" s="14"/>
      <c r="J134" s="11" t="s">
        <v>8</v>
      </c>
      <c r="K134" s="15" t="s">
        <v>13</v>
      </c>
      <c r="L134" s="15" t="s">
        <v>10</v>
      </c>
      <c r="M134" s="16" t="s">
        <v>11</v>
      </c>
      <c r="N134" s="11" t="s">
        <v>14</v>
      </c>
    </row>
    <row r="135" spans="1:17" x14ac:dyDescent="0.25">
      <c r="A135" s="11"/>
      <c r="B135" s="17">
        <v>1609</v>
      </c>
      <c r="C135" s="18" t="s">
        <v>15</v>
      </c>
      <c r="D135" s="19">
        <v>0</v>
      </c>
      <c r="E135" s="20"/>
      <c r="F135" s="20"/>
      <c r="G135" s="21">
        <f>D135+E135+F135</f>
        <v>0</v>
      </c>
      <c r="H135" s="21">
        <v>0</v>
      </c>
      <c r="I135" s="14"/>
      <c r="J135" s="22">
        <v>0</v>
      </c>
      <c r="K135" s="20"/>
      <c r="L135" s="20"/>
      <c r="M135" s="21">
        <f>J135+K135+L135</f>
        <v>0</v>
      </c>
      <c r="N135" s="23">
        <f>G135+M135</f>
        <v>0</v>
      </c>
    </row>
    <row r="136" spans="1:17" ht="25.5" x14ac:dyDescent="0.25">
      <c r="A136" s="17">
        <v>12</v>
      </c>
      <c r="B136" s="17">
        <v>1611</v>
      </c>
      <c r="C136" s="18" t="s">
        <v>16</v>
      </c>
      <c r="D136" s="19">
        <v>8292221.6899999995</v>
      </c>
      <c r="E136" s="20">
        <v>317015</v>
      </c>
      <c r="F136" s="20"/>
      <c r="G136" s="21">
        <f>D136+E136+F136</f>
        <v>8609236.6899999995</v>
      </c>
      <c r="H136" s="21">
        <v>0</v>
      </c>
      <c r="I136" s="24"/>
      <c r="J136" s="22">
        <v>-6589630.9500000002</v>
      </c>
      <c r="K136" s="20">
        <v>-564529.43000000005</v>
      </c>
      <c r="L136" s="20"/>
      <c r="M136" s="21">
        <f>J136+K136+L136</f>
        <v>-7154160.3799999999</v>
      </c>
      <c r="N136" s="23">
        <f>G136+M136</f>
        <v>1455076.3099999996</v>
      </c>
      <c r="Q136" s="45"/>
    </row>
    <row r="137" spans="1:17" ht="25.5" x14ac:dyDescent="0.25">
      <c r="A137" s="17" t="s">
        <v>17</v>
      </c>
      <c r="B137" s="17">
        <v>1612</v>
      </c>
      <c r="C137" s="18" t="s">
        <v>18</v>
      </c>
      <c r="D137" s="19">
        <v>0</v>
      </c>
      <c r="E137" s="20"/>
      <c r="F137" s="20"/>
      <c r="G137" s="21">
        <f>D137+E137+F137</f>
        <v>0</v>
      </c>
      <c r="H137" s="21">
        <v>0</v>
      </c>
      <c r="I137" s="24"/>
      <c r="J137" s="22">
        <v>0</v>
      </c>
      <c r="K137" s="20"/>
      <c r="L137" s="20"/>
      <c r="M137" s="21">
        <f>J137+K137+L137</f>
        <v>0</v>
      </c>
      <c r="N137" s="23">
        <f>G137+M137</f>
        <v>0</v>
      </c>
      <c r="Q137" s="45"/>
    </row>
    <row r="138" spans="1:17" x14ac:dyDescent="0.25">
      <c r="A138" s="17" t="s">
        <v>19</v>
      </c>
      <c r="B138" s="17">
        <v>1805</v>
      </c>
      <c r="C138" s="18" t="s">
        <v>20</v>
      </c>
      <c r="D138" s="19">
        <v>201707.54</v>
      </c>
      <c r="E138" s="20">
        <v>10000</v>
      </c>
      <c r="F138" s="20"/>
      <c r="G138" s="21">
        <f>D138+E138+F138</f>
        <v>211707.54</v>
      </c>
      <c r="H138" s="21">
        <v>0</v>
      </c>
      <c r="I138" s="24"/>
      <c r="J138" s="22">
        <v>0</v>
      </c>
      <c r="K138" s="20"/>
      <c r="L138" s="20"/>
      <c r="M138" s="21">
        <f>J138+K138+L138</f>
        <v>0</v>
      </c>
      <c r="N138" s="23">
        <f>G138+M138</f>
        <v>211707.54</v>
      </c>
      <c r="Q138" s="45"/>
    </row>
    <row r="139" spans="1:17" x14ac:dyDescent="0.25">
      <c r="A139" s="17">
        <v>47</v>
      </c>
      <c r="B139" s="17">
        <v>1808</v>
      </c>
      <c r="C139" s="18" t="s">
        <v>21</v>
      </c>
      <c r="D139" s="19">
        <v>682915.66</v>
      </c>
      <c r="E139" s="20"/>
      <c r="F139" s="20"/>
      <c r="G139" s="21">
        <f t="shared" ref="G139:G175" si="14">D139+E139+F139</f>
        <v>682915.66</v>
      </c>
      <c r="H139" s="21">
        <v>0</v>
      </c>
      <c r="I139" s="24"/>
      <c r="J139" s="22">
        <v>-179307.89</v>
      </c>
      <c r="K139" s="20">
        <v>-27580.01</v>
      </c>
      <c r="L139" s="20"/>
      <c r="M139" s="21">
        <f t="shared" ref="M139:M175" si="15">J139+K139+L139</f>
        <v>-206887.90000000002</v>
      </c>
      <c r="N139" s="23">
        <f t="shared" ref="N139:N175" si="16">G139+M139</f>
        <v>476027.76</v>
      </c>
      <c r="Q139" s="45"/>
    </row>
    <row r="140" spans="1:17" x14ac:dyDescent="0.25">
      <c r="A140" s="17">
        <v>13</v>
      </c>
      <c r="B140" s="17">
        <v>1810</v>
      </c>
      <c r="C140" s="18" t="s">
        <v>22</v>
      </c>
      <c r="D140" s="19">
        <v>0</v>
      </c>
      <c r="E140" s="20"/>
      <c r="F140" s="20"/>
      <c r="G140" s="21">
        <f t="shared" si="14"/>
        <v>0</v>
      </c>
      <c r="H140" s="21">
        <v>0</v>
      </c>
      <c r="I140" s="24"/>
      <c r="J140" s="22">
        <v>0</v>
      </c>
      <c r="K140" s="20"/>
      <c r="L140" s="20"/>
      <c r="M140" s="21">
        <f t="shared" si="15"/>
        <v>0</v>
      </c>
      <c r="N140" s="23">
        <f t="shared" si="16"/>
        <v>0</v>
      </c>
      <c r="Q140" s="45"/>
    </row>
    <row r="141" spans="1:17" ht="25.5" x14ac:dyDescent="0.25">
      <c r="A141" s="17">
        <v>47</v>
      </c>
      <c r="B141" s="17">
        <v>1815</v>
      </c>
      <c r="C141" s="18" t="s">
        <v>23</v>
      </c>
      <c r="D141" s="19">
        <v>0</v>
      </c>
      <c r="E141" s="20"/>
      <c r="F141" s="20"/>
      <c r="G141" s="21">
        <f t="shared" si="14"/>
        <v>0</v>
      </c>
      <c r="H141" s="21">
        <v>0</v>
      </c>
      <c r="I141" s="24"/>
      <c r="J141" s="22">
        <v>0</v>
      </c>
      <c r="K141" s="20"/>
      <c r="L141" s="20"/>
      <c r="M141" s="21">
        <f t="shared" si="15"/>
        <v>0</v>
      </c>
      <c r="N141" s="23">
        <f t="shared" si="16"/>
        <v>0</v>
      </c>
      <c r="Q141" s="45"/>
    </row>
    <row r="142" spans="1:17" x14ac:dyDescent="0.25">
      <c r="A142" s="17">
        <v>47</v>
      </c>
      <c r="B142" s="17">
        <v>1820</v>
      </c>
      <c r="C142" s="18" t="s">
        <v>24</v>
      </c>
      <c r="D142" s="19">
        <v>2058682.88</v>
      </c>
      <c r="E142" s="20">
        <v>35820.19</v>
      </c>
      <c r="F142" s="20"/>
      <c r="G142" s="21">
        <f t="shared" si="14"/>
        <v>2094503.0699999998</v>
      </c>
      <c r="H142" s="21">
        <v>0</v>
      </c>
      <c r="I142" s="24"/>
      <c r="J142" s="22">
        <v>-1102806.1200000001</v>
      </c>
      <c r="K142" s="20">
        <v>-26997.58</v>
      </c>
      <c r="L142" s="20"/>
      <c r="M142" s="21">
        <f t="shared" si="15"/>
        <v>-1129803.7000000002</v>
      </c>
      <c r="N142" s="23">
        <f t="shared" si="16"/>
        <v>964699.36999999965</v>
      </c>
      <c r="Q142" s="45"/>
    </row>
    <row r="143" spans="1:17" x14ac:dyDescent="0.25">
      <c r="A143" s="17">
        <v>47</v>
      </c>
      <c r="B143" s="17">
        <v>1825</v>
      </c>
      <c r="C143" s="18" t="s">
        <v>25</v>
      </c>
      <c r="D143" s="19">
        <v>0</v>
      </c>
      <c r="E143" s="20"/>
      <c r="F143" s="20"/>
      <c r="G143" s="21">
        <f t="shared" si="14"/>
        <v>0</v>
      </c>
      <c r="H143" s="21">
        <v>0</v>
      </c>
      <c r="I143" s="24"/>
      <c r="J143" s="22">
        <v>0</v>
      </c>
      <c r="K143" s="20"/>
      <c r="L143" s="20"/>
      <c r="M143" s="21">
        <f t="shared" si="15"/>
        <v>0</v>
      </c>
      <c r="N143" s="23">
        <f t="shared" si="16"/>
        <v>0</v>
      </c>
      <c r="Q143" s="45"/>
    </row>
    <row r="144" spans="1:17" x14ac:dyDescent="0.25">
      <c r="A144" s="17">
        <v>47</v>
      </c>
      <c r="B144" s="17">
        <v>1830</v>
      </c>
      <c r="C144" s="18" t="s">
        <v>26</v>
      </c>
      <c r="D144" s="19">
        <v>63137616.410000004</v>
      </c>
      <c r="E144" s="20">
        <v>2826433</v>
      </c>
      <c r="F144" s="20"/>
      <c r="G144" s="21">
        <f t="shared" si="14"/>
        <v>65964049.410000004</v>
      </c>
      <c r="H144" s="21">
        <v>0</v>
      </c>
      <c r="I144" s="24"/>
      <c r="J144" s="22">
        <v>-9730223.9199999999</v>
      </c>
      <c r="K144" s="20">
        <v>-1218284.71</v>
      </c>
      <c r="L144" s="20"/>
      <c r="M144" s="21">
        <f t="shared" si="15"/>
        <v>-10948508.629999999</v>
      </c>
      <c r="N144" s="23">
        <f t="shared" si="16"/>
        <v>55015540.780000001</v>
      </c>
      <c r="Q144" s="45"/>
    </row>
    <row r="145" spans="1:17" x14ac:dyDescent="0.25">
      <c r="A145" s="17">
        <v>47</v>
      </c>
      <c r="B145" s="17">
        <v>1835</v>
      </c>
      <c r="C145" s="18" t="s">
        <v>27</v>
      </c>
      <c r="D145" s="19">
        <v>27373121.390000001</v>
      </c>
      <c r="E145" s="20">
        <v>4351905</v>
      </c>
      <c r="F145" s="20"/>
      <c r="G145" s="21">
        <f t="shared" si="14"/>
        <v>31725026.390000001</v>
      </c>
      <c r="H145" s="21">
        <v>0</v>
      </c>
      <c r="I145" s="24"/>
      <c r="J145" s="22">
        <v>-3633872.48</v>
      </c>
      <c r="K145" s="20">
        <v>-564858.68999999994</v>
      </c>
      <c r="L145" s="20"/>
      <c r="M145" s="21">
        <f t="shared" si="15"/>
        <v>-4198731.17</v>
      </c>
      <c r="N145" s="23">
        <f t="shared" si="16"/>
        <v>27526295.219999999</v>
      </c>
      <c r="Q145" s="45"/>
    </row>
    <row r="146" spans="1:17" x14ac:dyDescent="0.25">
      <c r="A146" s="17">
        <v>47</v>
      </c>
      <c r="B146" s="17">
        <v>1840</v>
      </c>
      <c r="C146" s="18" t="s">
        <v>28</v>
      </c>
      <c r="D146" s="19">
        <v>11709172.039999999</v>
      </c>
      <c r="E146" s="20">
        <v>1182979</v>
      </c>
      <c r="F146" s="20"/>
      <c r="G146" s="21">
        <f t="shared" si="14"/>
        <v>12892151.039999999</v>
      </c>
      <c r="H146" s="21">
        <v>0</v>
      </c>
      <c r="I146" s="24"/>
      <c r="J146" s="22">
        <v>-1464203.5799999998</v>
      </c>
      <c r="K146" s="20">
        <v>-222734.48</v>
      </c>
      <c r="L146" s="20"/>
      <c r="M146" s="21">
        <f t="shared" si="15"/>
        <v>-1686938.0599999998</v>
      </c>
      <c r="N146" s="23">
        <f t="shared" si="16"/>
        <v>11205212.979999999</v>
      </c>
      <c r="Q146" s="45"/>
    </row>
    <row r="147" spans="1:17" x14ac:dyDescent="0.25">
      <c r="A147" s="17">
        <v>47</v>
      </c>
      <c r="B147" s="17">
        <v>1845</v>
      </c>
      <c r="C147" s="18" t="s">
        <v>29</v>
      </c>
      <c r="D147" s="19">
        <v>29991851.650000002</v>
      </c>
      <c r="E147" s="20">
        <v>4569969</v>
      </c>
      <c r="F147" s="20"/>
      <c r="G147" s="21">
        <f t="shared" si="14"/>
        <v>34561820.650000006</v>
      </c>
      <c r="H147" s="21">
        <v>0</v>
      </c>
      <c r="I147" s="24"/>
      <c r="J147" s="22">
        <v>-6306811.870000001</v>
      </c>
      <c r="K147" s="20">
        <v>-736016.67</v>
      </c>
      <c r="L147" s="20"/>
      <c r="M147" s="21">
        <f t="shared" si="15"/>
        <v>-7042828.540000001</v>
      </c>
      <c r="N147" s="23">
        <f t="shared" si="16"/>
        <v>27518992.110000007</v>
      </c>
      <c r="Q147" s="45"/>
    </row>
    <row r="148" spans="1:17" x14ac:dyDescent="0.25">
      <c r="A148" s="17">
        <v>47</v>
      </c>
      <c r="B148" s="17">
        <v>1850</v>
      </c>
      <c r="C148" s="18" t="s">
        <v>30</v>
      </c>
      <c r="D148" s="19">
        <v>30673471.109999999</v>
      </c>
      <c r="E148" s="20">
        <v>2522545</v>
      </c>
      <c r="F148" s="20">
        <v>-95395.42</v>
      </c>
      <c r="G148" s="21">
        <f t="shared" si="14"/>
        <v>33100620.689999998</v>
      </c>
      <c r="H148" s="21">
        <v>0</v>
      </c>
      <c r="I148" s="24"/>
      <c r="J148" s="22">
        <v>-5894003.830000001</v>
      </c>
      <c r="K148" s="20">
        <v>-719222.58</v>
      </c>
      <c r="L148" s="20">
        <v>1177.8</v>
      </c>
      <c r="M148" s="21">
        <f t="shared" si="15"/>
        <v>-6612048.6100000013</v>
      </c>
      <c r="N148" s="23">
        <f t="shared" si="16"/>
        <v>26488572.079999998</v>
      </c>
      <c r="Q148" s="45"/>
    </row>
    <row r="149" spans="1:17" x14ac:dyDescent="0.25">
      <c r="A149" s="17">
        <v>47</v>
      </c>
      <c r="B149" s="17">
        <v>1855</v>
      </c>
      <c r="C149" s="18" t="s">
        <v>31</v>
      </c>
      <c r="D149" s="19">
        <v>15623391.52</v>
      </c>
      <c r="E149" s="20">
        <v>996860</v>
      </c>
      <c r="F149" s="20"/>
      <c r="G149" s="21">
        <f t="shared" si="14"/>
        <v>16620251.52</v>
      </c>
      <c r="H149" s="21">
        <v>0</v>
      </c>
      <c r="I149" s="24"/>
      <c r="J149" s="22">
        <v>-2553256.0299999998</v>
      </c>
      <c r="K149" s="20">
        <v>-332879.06</v>
      </c>
      <c r="L149" s="20"/>
      <c r="M149" s="21">
        <f t="shared" si="15"/>
        <v>-2886135.09</v>
      </c>
      <c r="N149" s="23">
        <f t="shared" si="16"/>
        <v>13734116.43</v>
      </c>
      <c r="Q149" s="45"/>
    </row>
    <row r="150" spans="1:17" x14ac:dyDescent="0.25">
      <c r="A150" s="17">
        <v>47</v>
      </c>
      <c r="B150" s="17">
        <v>1860</v>
      </c>
      <c r="C150" s="18" t="s">
        <v>32</v>
      </c>
      <c r="D150" s="19">
        <v>0</v>
      </c>
      <c r="E150" s="20"/>
      <c r="F150" s="20"/>
      <c r="G150" s="21">
        <f t="shared" si="14"/>
        <v>0</v>
      </c>
      <c r="H150" s="21">
        <v>0</v>
      </c>
      <c r="I150" s="24"/>
      <c r="J150" s="22">
        <v>0</v>
      </c>
      <c r="K150" s="20"/>
      <c r="L150" s="20"/>
      <c r="M150" s="21">
        <f t="shared" si="15"/>
        <v>0</v>
      </c>
      <c r="N150" s="23">
        <f t="shared" si="16"/>
        <v>0</v>
      </c>
      <c r="Q150" s="45"/>
    </row>
    <row r="151" spans="1:17" x14ac:dyDescent="0.25">
      <c r="A151" s="17">
        <v>47</v>
      </c>
      <c r="B151" s="17">
        <v>1860</v>
      </c>
      <c r="C151" s="18" t="s">
        <v>33</v>
      </c>
      <c r="D151" s="19">
        <v>24347307.670000002</v>
      </c>
      <c r="E151" s="20">
        <v>2526586.0099999998</v>
      </c>
      <c r="F151" s="20">
        <v>-24338.75</v>
      </c>
      <c r="G151" s="21">
        <f t="shared" si="14"/>
        <v>26849554.93</v>
      </c>
      <c r="H151" s="21">
        <v>0</v>
      </c>
      <c r="I151" s="24"/>
      <c r="J151" s="22">
        <v>-11919973.609999999</v>
      </c>
      <c r="K151" s="20">
        <v>-1214941.82</v>
      </c>
      <c r="L151" s="20">
        <v>811.29</v>
      </c>
      <c r="M151" s="21">
        <f t="shared" si="15"/>
        <v>-13134104.140000001</v>
      </c>
      <c r="N151" s="23">
        <f t="shared" si="16"/>
        <v>13715450.789999999</v>
      </c>
      <c r="Q151" s="45"/>
    </row>
    <row r="152" spans="1:17" x14ac:dyDescent="0.25">
      <c r="A152" s="17" t="s">
        <v>19</v>
      </c>
      <c r="B152" s="17">
        <v>1905</v>
      </c>
      <c r="C152" s="18" t="s">
        <v>20</v>
      </c>
      <c r="D152" s="19">
        <v>1439712.63</v>
      </c>
      <c r="E152" s="20"/>
      <c r="F152" s="20"/>
      <c r="G152" s="21">
        <f t="shared" si="14"/>
        <v>1439712.63</v>
      </c>
      <c r="H152" s="21">
        <v>0</v>
      </c>
      <c r="I152" s="24"/>
      <c r="J152" s="22">
        <v>0</v>
      </c>
      <c r="K152" s="20"/>
      <c r="L152" s="20"/>
      <c r="M152" s="21">
        <f t="shared" si="15"/>
        <v>0</v>
      </c>
      <c r="N152" s="23">
        <f t="shared" si="16"/>
        <v>1439712.63</v>
      </c>
      <c r="Q152" s="45"/>
    </row>
    <row r="153" spans="1:17" x14ac:dyDescent="0.25">
      <c r="A153" s="17">
        <v>47</v>
      </c>
      <c r="B153" s="17">
        <v>1908</v>
      </c>
      <c r="C153" s="18" t="s">
        <v>34</v>
      </c>
      <c r="D153" s="19">
        <v>8480790.209999999</v>
      </c>
      <c r="E153" s="20">
        <v>542499.78</v>
      </c>
      <c r="F153" s="20"/>
      <c r="G153" s="21">
        <f t="shared" si="14"/>
        <v>9023289.9899999984</v>
      </c>
      <c r="H153" s="21">
        <v>0</v>
      </c>
      <c r="I153" s="24"/>
      <c r="J153" s="22">
        <v>-2879190.48</v>
      </c>
      <c r="K153" s="20">
        <v>-236351.58</v>
      </c>
      <c r="L153" s="20"/>
      <c r="M153" s="21">
        <f t="shared" si="15"/>
        <v>-3115542.06</v>
      </c>
      <c r="N153" s="23">
        <f t="shared" si="16"/>
        <v>5907747.9299999978</v>
      </c>
      <c r="Q153" s="45"/>
    </row>
    <row r="154" spans="1:17" x14ac:dyDescent="0.25">
      <c r="A154" s="17">
        <v>13</v>
      </c>
      <c r="B154" s="17">
        <v>1910</v>
      </c>
      <c r="C154" s="18" t="s">
        <v>22</v>
      </c>
      <c r="D154" s="19">
        <v>0</v>
      </c>
      <c r="E154" s="20"/>
      <c r="F154" s="20"/>
      <c r="G154" s="21">
        <f t="shared" si="14"/>
        <v>0</v>
      </c>
      <c r="H154" s="21">
        <v>0</v>
      </c>
      <c r="I154" s="24"/>
      <c r="J154" s="22">
        <v>0</v>
      </c>
      <c r="K154" s="20"/>
      <c r="L154" s="20"/>
      <c r="M154" s="21">
        <f t="shared" si="15"/>
        <v>0</v>
      </c>
      <c r="N154" s="23">
        <f t="shared" si="16"/>
        <v>0</v>
      </c>
      <c r="Q154" s="45"/>
    </row>
    <row r="155" spans="1:17" ht="25.5" x14ac:dyDescent="0.25">
      <c r="A155" s="17">
        <v>8</v>
      </c>
      <c r="B155" s="17">
        <v>1915</v>
      </c>
      <c r="C155" s="18" t="s">
        <v>35</v>
      </c>
      <c r="D155" s="19">
        <v>985124.40999999992</v>
      </c>
      <c r="E155" s="20">
        <v>27898.760000000002</v>
      </c>
      <c r="F155" s="20"/>
      <c r="G155" s="21">
        <f t="shared" si="14"/>
        <v>1013023.1699999999</v>
      </c>
      <c r="H155" s="21">
        <v>0</v>
      </c>
      <c r="I155" s="24"/>
      <c r="J155" s="22">
        <v>-600381.67999999993</v>
      </c>
      <c r="K155" s="20">
        <v>-54143.41</v>
      </c>
      <c r="L155" s="20"/>
      <c r="M155" s="21">
        <f t="shared" si="15"/>
        <v>-654525.09</v>
      </c>
      <c r="N155" s="23">
        <f t="shared" si="16"/>
        <v>358498.07999999996</v>
      </c>
      <c r="Q155" s="45"/>
    </row>
    <row r="156" spans="1:17" x14ac:dyDescent="0.25">
      <c r="A156" s="17">
        <v>8</v>
      </c>
      <c r="B156" s="17">
        <v>1915</v>
      </c>
      <c r="C156" s="18" t="s">
        <v>36</v>
      </c>
      <c r="D156" s="19">
        <v>0</v>
      </c>
      <c r="E156" s="20"/>
      <c r="F156" s="20"/>
      <c r="G156" s="21">
        <f t="shared" si="14"/>
        <v>0</v>
      </c>
      <c r="H156" s="21">
        <v>0</v>
      </c>
      <c r="I156" s="24"/>
      <c r="J156" s="22">
        <v>0</v>
      </c>
      <c r="K156" s="20"/>
      <c r="L156" s="20"/>
      <c r="M156" s="21">
        <f t="shared" si="15"/>
        <v>0</v>
      </c>
      <c r="N156" s="23">
        <f t="shared" si="16"/>
        <v>0</v>
      </c>
      <c r="Q156" s="45"/>
    </row>
    <row r="157" spans="1:17" x14ac:dyDescent="0.25">
      <c r="A157" s="17">
        <v>10</v>
      </c>
      <c r="B157" s="17">
        <v>1920</v>
      </c>
      <c r="C157" s="18" t="s">
        <v>37</v>
      </c>
      <c r="D157" s="19">
        <v>0</v>
      </c>
      <c r="E157" s="20"/>
      <c r="F157" s="20"/>
      <c r="G157" s="21">
        <f t="shared" si="14"/>
        <v>0</v>
      </c>
      <c r="H157" s="21">
        <v>0</v>
      </c>
      <c r="I157" s="24"/>
      <c r="J157" s="22">
        <v>0</v>
      </c>
      <c r="K157" s="20"/>
      <c r="L157" s="20"/>
      <c r="M157" s="21">
        <f t="shared" si="15"/>
        <v>0</v>
      </c>
      <c r="N157" s="23">
        <f t="shared" si="16"/>
        <v>0</v>
      </c>
      <c r="Q157" s="45"/>
    </row>
    <row r="158" spans="1:17" ht="25.5" x14ac:dyDescent="0.25">
      <c r="A158" s="17">
        <v>45</v>
      </c>
      <c r="B158" s="17">
        <v>1920</v>
      </c>
      <c r="C158" s="18" t="s">
        <v>38</v>
      </c>
      <c r="D158" s="19">
        <v>0</v>
      </c>
      <c r="E158" s="20"/>
      <c r="F158" s="20"/>
      <c r="G158" s="21">
        <f t="shared" si="14"/>
        <v>0</v>
      </c>
      <c r="H158" s="21">
        <v>0</v>
      </c>
      <c r="I158" s="24"/>
      <c r="J158" s="22">
        <v>0</v>
      </c>
      <c r="K158" s="20"/>
      <c r="L158" s="20"/>
      <c r="M158" s="21">
        <f t="shared" si="15"/>
        <v>0</v>
      </c>
      <c r="N158" s="23">
        <f t="shared" si="16"/>
        <v>0</v>
      </c>
      <c r="Q158" s="45"/>
    </row>
    <row r="159" spans="1:17" ht="25.5" x14ac:dyDescent="0.25">
      <c r="A159" s="17">
        <v>50</v>
      </c>
      <c r="B159" s="17">
        <v>1920</v>
      </c>
      <c r="C159" s="18" t="s">
        <v>39</v>
      </c>
      <c r="D159" s="19">
        <v>3379105.81</v>
      </c>
      <c r="E159" s="20">
        <v>101839.59</v>
      </c>
      <c r="F159" s="20">
        <v>-36568.400000000001</v>
      </c>
      <c r="G159" s="21">
        <f t="shared" si="14"/>
        <v>3444377</v>
      </c>
      <c r="H159" s="21">
        <v>0</v>
      </c>
      <c r="I159" s="24"/>
      <c r="J159" s="22">
        <v>-2715410.44</v>
      </c>
      <c r="K159" s="20">
        <v>-185979.08</v>
      </c>
      <c r="L159" s="20">
        <v>30473.66</v>
      </c>
      <c r="M159" s="21">
        <f t="shared" si="15"/>
        <v>-2870915.86</v>
      </c>
      <c r="N159" s="23">
        <f t="shared" si="16"/>
        <v>573461.14000000013</v>
      </c>
      <c r="Q159" s="45"/>
    </row>
    <row r="160" spans="1:17" x14ac:dyDescent="0.25">
      <c r="A160" s="17">
        <v>10</v>
      </c>
      <c r="B160" s="17">
        <v>1930</v>
      </c>
      <c r="C160" s="18" t="s">
        <v>40</v>
      </c>
      <c r="D160" s="19">
        <v>8301581.2199999997</v>
      </c>
      <c r="E160" s="20">
        <v>1267363</v>
      </c>
      <c r="F160" s="20">
        <v>-292683.18</v>
      </c>
      <c r="G160" s="21">
        <f t="shared" si="14"/>
        <v>9276261.0399999991</v>
      </c>
      <c r="H160" s="21">
        <v>0</v>
      </c>
      <c r="I160" s="24"/>
      <c r="J160" s="22">
        <v>-3523372.09</v>
      </c>
      <c r="K160" s="20">
        <v>-512745.18</v>
      </c>
      <c r="L160" s="20">
        <v>173978.25</v>
      </c>
      <c r="M160" s="21">
        <f t="shared" si="15"/>
        <v>-3862139.02</v>
      </c>
      <c r="N160" s="23">
        <f t="shared" si="16"/>
        <v>5414122.0199999996</v>
      </c>
      <c r="Q160" s="45"/>
    </row>
    <row r="161" spans="1:17" x14ac:dyDescent="0.25">
      <c r="A161" s="17">
        <v>8</v>
      </c>
      <c r="B161" s="17">
        <v>1935</v>
      </c>
      <c r="C161" s="18" t="s">
        <v>41</v>
      </c>
      <c r="D161" s="19">
        <v>0</v>
      </c>
      <c r="E161" s="20"/>
      <c r="F161" s="20"/>
      <c r="G161" s="21">
        <f t="shared" si="14"/>
        <v>0</v>
      </c>
      <c r="H161" s="21">
        <v>0</v>
      </c>
      <c r="I161" s="24"/>
      <c r="J161" s="22">
        <v>0</v>
      </c>
      <c r="K161" s="20"/>
      <c r="L161" s="20"/>
      <c r="M161" s="21">
        <f t="shared" si="15"/>
        <v>0</v>
      </c>
      <c r="N161" s="23">
        <f t="shared" si="16"/>
        <v>0</v>
      </c>
      <c r="Q161" s="45"/>
    </row>
    <row r="162" spans="1:17" x14ac:dyDescent="0.25">
      <c r="A162" s="17">
        <v>8</v>
      </c>
      <c r="B162" s="17">
        <v>1940</v>
      </c>
      <c r="C162" s="18" t="s">
        <v>42</v>
      </c>
      <c r="D162" s="19">
        <v>1647885.64</v>
      </c>
      <c r="E162" s="20">
        <v>57287.65</v>
      </c>
      <c r="F162" s="20"/>
      <c r="G162" s="21">
        <f t="shared" si="14"/>
        <v>1705173.2899999998</v>
      </c>
      <c r="H162" s="21">
        <v>0</v>
      </c>
      <c r="I162" s="24"/>
      <c r="J162" s="22">
        <v>-1138946.3799999999</v>
      </c>
      <c r="K162" s="20">
        <v>-87965.23</v>
      </c>
      <c r="L162" s="20"/>
      <c r="M162" s="21">
        <f t="shared" si="15"/>
        <v>-1226911.6099999999</v>
      </c>
      <c r="N162" s="23">
        <f t="shared" si="16"/>
        <v>478261.67999999993</v>
      </c>
      <c r="Q162" s="45"/>
    </row>
    <row r="163" spans="1:17" x14ac:dyDescent="0.25">
      <c r="A163" s="17">
        <v>8</v>
      </c>
      <c r="B163" s="17">
        <v>1945</v>
      </c>
      <c r="C163" s="18" t="s">
        <v>43</v>
      </c>
      <c r="D163" s="19">
        <v>0</v>
      </c>
      <c r="E163" s="20"/>
      <c r="F163" s="20"/>
      <c r="G163" s="21">
        <f t="shared" si="14"/>
        <v>0</v>
      </c>
      <c r="H163" s="21">
        <v>0</v>
      </c>
      <c r="I163" s="24"/>
      <c r="J163" s="22">
        <v>0</v>
      </c>
      <c r="K163" s="20"/>
      <c r="L163" s="20"/>
      <c r="M163" s="21">
        <f t="shared" si="15"/>
        <v>0</v>
      </c>
      <c r="N163" s="23">
        <f t="shared" si="16"/>
        <v>0</v>
      </c>
      <c r="Q163" s="45"/>
    </row>
    <row r="164" spans="1:17" x14ac:dyDescent="0.25">
      <c r="A164" s="17">
        <v>8</v>
      </c>
      <c r="B164" s="17">
        <v>1950</v>
      </c>
      <c r="C164" s="18" t="s">
        <v>44</v>
      </c>
      <c r="D164" s="19">
        <v>0</v>
      </c>
      <c r="E164" s="20"/>
      <c r="F164" s="20"/>
      <c r="G164" s="21">
        <f t="shared" si="14"/>
        <v>0</v>
      </c>
      <c r="H164" s="21">
        <v>0</v>
      </c>
      <c r="I164" s="24"/>
      <c r="J164" s="22">
        <v>0</v>
      </c>
      <c r="K164" s="20"/>
      <c r="L164" s="20"/>
      <c r="M164" s="21">
        <f t="shared" si="15"/>
        <v>0</v>
      </c>
      <c r="N164" s="23">
        <f t="shared" si="16"/>
        <v>0</v>
      </c>
      <c r="Q164" s="45"/>
    </row>
    <row r="165" spans="1:17" x14ac:dyDescent="0.25">
      <c r="A165" s="17">
        <v>8</v>
      </c>
      <c r="B165" s="17">
        <v>1955</v>
      </c>
      <c r="C165" s="18" t="s">
        <v>45</v>
      </c>
      <c r="D165" s="19">
        <v>0</v>
      </c>
      <c r="E165" s="20"/>
      <c r="F165" s="20"/>
      <c r="G165" s="21">
        <f t="shared" si="14"/>
        <v>0</v>
      </c>
      <c r="H165" s="21">
        <v>0</v>
      </c>
      <c r="I165" s="24"/>
      <c r="J165" s="22">
        <v>0</v>
      </c>
      <c r="K165" s="20"/>
      <c r="L165" s="20"/>
      <c r="M165" s="21">
        <f t="shared" si="15"/>
        <v>0</v>
      </c>
      <c r="N165" s="23">
        <f t="shared" si="16"/>
        <v>0</v>
      </c>
      <c r="Q165" s="45"/>
    </row>
    <row r="166" spans="1:17" ht="25.5" x14ac:dyDescent="0.25">
      <c r="A166" s="17">
        <v>8</v>
      </c>
      <c r="B166" s="17">
        <v>1955</v>
      </c>
      <c r="C166" s="18" t="s">
        <v>46</v>
      </c>
      <c r="D166" s="19">
        <v>0</v>
      </c>
      <c r="E166" s="20"/>
      <c r="F166" s="20"/>
      <c r="G166" s="21">
        <f t="shared" si="14"/>
        <v>0</v>
      </c>
      <c r="H166" s="21">
        <v>0</v>
      </c>
      <c r="I166" s="24"/>
      <c r="J166" s="22">
        <v>0</v>
      </c>
      <c r="K166" s="20"/>
      <c r="L166" s="20"/>
      <c r="M166" s="21">
        <f t="shared" si="15"/>
        <v>0</v>
      </c>
      <c r="N166" s="23">
        <f t="shared" si="16"/>
        <v>0</v>
      </c>
      <c r="Q166" s="45"/>
    </row>
    <row r="167" spans="1:17" x14ac:dyDescent="0.25">
      <c r="A167" s="17">
        <v>8</v>
      </c>
      <c r="B167" s="17">
        <v>1960</v>
      </c>
      <c r="C167" s="18" t="s">
        <v>47</v>
      </c>
      <c r="D167" s="19">
        <v>0</v>
      </c>
      <c r="E167" s="20"/>
      <c r="F167" s="20"/>
      <c r="G167" s="21">
        <f t="shared" si="14"/>
        <v>0</v>
      </c>
      <c r="H167" s="21">
        <v>0</v>
      </c>
      <c r="I167" s="24"/>
      <c r="J167" s="22">
        <v>0</v>
      </c>
      <c r="K167" s="20"/>
      <c r="L167" s="20"/>
      <c r="M167" s="21">
        <f t="shared" si="15"/>
        <v>0</v>
      </c>
      <c r="N167" s="23">
        <f t="shared" si="16"/>
        <v>0</v>
      </c>
      <c r="Q167" s="45"/>
    </row>
    <row r="168" spans="1:17" ht="25.5" x14ac:dyDescent="0.25">
      <c r="A168" s="1">
        <v>47</v>
      </c>
      <c r="B168" s="17">
        <v>1970</v>
      </c>
      <c r="C168" s="18" t="s">
        <v>48</v>
      </c>
      <c r="D168" s="19">
        <v>0</v>
      </c>
      <c r="E168" s="20"/>
      <c r="F168" s="20"/>
      <c r="G168" s="21">
        <f t="shared" si="14"/>
        <v>0</v>
      </c>
      <c r="H168" s="21">
        <v>0</v>
      </c>
      <c r="I168" s="24"/>
      <c r="J168" s="22">
        <v>0</v>
      </c>
      <c r="K168" s="20"/>
      <c r="L168" s="20"/>
      <c r="M168" s="21">
        <f t="shared" si="15"/>
        <v>0</v>
      </c>
      <c r="N168" s="23">
        <f t="shared" si="16"/>
        <v>0</v>
      </c>
      <c r="Q168" s="45"/>
    </row>
    <row r="169" spans="1:17" ht="25.5" x14ac:dyDescent="0.25">
      <c r="A169" s="17">
        <v>47</v>
      </c>
      <c r="B169" s="17">
        <v>1975</v>
      </c>
      <c r="C169" s="18" t="s">
        <v>49</v>
      </c>
      <c r="D169" s="19">
        <v>0</v>
      </c>
      <c r="E169" s="20"/>
      <c r="F169" s="20"/>
      <c r="G169" s="21">
        <f t="shared" si="14"/>
        <v>0</v>
      </c>
      <c r="H169" s="21">
        <v>0</v>
      </c>
      <c r="I169" s="24"/>
      <c r="J169" s="22">
        <v>0</v>
      </c>
      <c r="K169" s="20"/>
      <c r="L169" s="20"/>
      <c r="M169" s="21">
        <f t="shared" si="15"/>
        <v>0</v>
      </c>
      <c r="N169" s="23">
        <f t="shared" si="16"/>
        <v>0</v>
      </c>
      <c r="Q169" s="45"/>
    </row>
    <row r="170" spans="1:17" x14ac:dyDescent="0.25">
      <c r="A170" s="17">
        <v>47</v>
      </c>
      <c r="B170" s="17">
        <v>1980</v>
      </c>
      <c r="C170" s="18" t="s">
        <v>50</v>
      </c>
      <c r="D170" s="19">
        <v>1412216.6400000001</v>
      </c>
      <c r="E170" s="20">
        <v>122296.8</v>
      </c>
      <c r="F170" s="20"/>
      <c r="G170" s="21">
        <f t="shared" si="14"/>
        <v>1534513.4400000002</v>
      </c>
      <c r="H170" s="21">
        <v>0</v>
      </c>
      <c r="I170" s="24"/>
      <c r="J170" s="22">
        <v>-671293.70000000007</v>
      </c>
      <c r="K170" s="20">
        <v>-66161.77</v>
      </c>
      <c r="L170" s="20"/>
      <c r="M170" s="21">
        <f t="shared" si="15"/>
        <v>-737455.47000000009</v>
      </c>
      <c r="N170" s="23">
        <f t="shared" si="16"/>
        <v>797057.97000000009</v>
      </c>
      <c r="Q170" s="45"/>
    </row>
    <row r="171" spans="1:17" x14ac:dyDescent="0.25">
      <c r="A171" s="17">
        <v>47</v>
      </c>
      <c r="B171" s="17">
        <v>1985</v>
      </c>
      <c r="C171" s="18" t="s">
        <v>51</v>
      </c>
      <c r="D171" s="19">
        <v>0</v>
      </c>
      <c r="E171" s="20"/>
      <c r="F171" s="20"/>
      <c r="G171" s="21">
        <f t="shared" si="14"/>
        <v>0</v>
      </c>
      <c r="H171" s="21">
        <v>0</v>
      </c>
      <c r="I171" s="24"/>
      <c r="J171" s="22">
        <v>0</v>
      </c>
      <c r="K171" s="20"/>
      <c r="L171" s="20"/>
      <c r="M171" s="21">
        <f t="shared" si="15"/>
        <v>0</v>
      </c>
      <c r="N171" s="23">
        <f t="shared" si="16"/>
        <v>0</v>
      </c>
      <c r="Q171" s="45"/>
    </row>
    <row r="172" spans="1:17" x14ac:dyDescent="0.25">
      <c r="A172" s="1">
        <v>47</v>
      </c>
      <c r="B172" s="17">
        <v>1990</v>
      </c>
      <c r="C172" s="25" t="s">
        <v>52</v>
      </c>
      <c r="D172" s="19">
        <v>4007343.6300000004</v>
      </c>
      <c r="E172" s="20">
        <v>13542</v>
      </c>
      <c r="F172" s="20"/>
      <c r="G172" s="21">
        <f t="shared" si="14"/>
        <v>4020885.6300000004</v>
      </c>
      <c r="H172" s="21">
        <v>0</v>
      </c>
      <c r="I172" s="24"/>
      <c r="J172" s="22">
        <v>-2211920.8200000003</v>
      </c>
      <c r="K172" s="20">
        <v>-193186.6</v>
      </c>
      <c r="L172" s="20"/>
      <c r="M172" s="21">
        <f t="shared" si="15"/>
        <v>-2405107.4200000004</v>
      </c>
      <c r="N172" s="23">
        <f t="shared" si="16"/>
        <v>1615778.21</v>
      </c>
      <c r="Q172" s="45"/>
    </row>
    <row r="173" spans="1:17" x14ac:dyDescent="0.25">
      <c r="A173" s="17">
        <v>47</v>
      </c>
      <c r="B173" s="17">
        <v>1995</v>
      </c>
      <c r="C173" s="18" t="s">
        <v>53</v>
      </c>
      <c r="D173" s="19">
        <v>0</v>
      </c>
      <c r="E173" s="20"/>
      <c r="F173" s="20"/>
      <c r="G173" s="21">
        <f t="shared" si="14"/>
        <v>0</v>
      </c>
      <c r="H173" s="21">
        <v>0</v>
      </c>
      <c r="I173" s="24"/>
      <c r="J173" s="22">
        <v>0</v>
      </c>
      <c r="K173" s="20"/>
      <c r="L173" s="20"/>
      <c r="M173" s="21">
        <f t="shared" si="15"/>
        <v>0</v>
      </c>
      <c r="N173" s="23">
        <f t="shared" si="16"/>
        <v>0</v>
      </c>
      <c r="Q173" s="45"/>
    </row>
    <row r="174" spans="1:17" x14ac:dyDescent="0.25">
      <c r="A174" s="17">
        <v>47</v>
      </c>
      <c r="B174" s="17">
        <v>2440</v>
      </c>
      <c r="C174" s="18" t="s">
        <v>54</v>
      </c>
      <c r="D174" s="19">
        <v>-25404295.989999998</v>
      </c>
      <c r="E174" s="20">
        <v>-2524525</v>
      </c>
      <c r="F174" s="20"/>
      <c r="G174" s="21">
        <f t="shared" si="14"/>
        <v>-27928820.989999998</v>
      </c>
      <c r="H174" s="21">
        <v>0</v>
      </c>
      <c r="I174" s="2"/>
      <c r="J174" s="22">
        <v>2613269.83</v>
      </c>
      <c r="K174" s="20">
        <v>-546959.44999999995</v>
      </c>
      <c r="L174" s="20"/>
      <c r="M174" s="21">
        <f t="shared" si="15"/>
        <v>2066310.3800000001</v>
      </c>
      <c r="N174" s="23">
        <f t="shared" si="16"/>
        <v>-25862510.609999999</v>
      </c>
      <c r="Q174" s="45"/>
    </row>
    <row r="175" spans="1:17" x14ac:dyDescent="0.25">
      <c r="A175" s="26"/>
      <c r="B175" s="26">
        <v>2005</v>
      </c>
      <c r="C175" s="27" t="s">
        <v>55</v>
      </c>
      <c r="D175" s="19">
        <v>400849</v>
      </c>
      <c r="E175" s="28"/>
      <c r="F175" s="28"/>
      <c r="G175" s="21">
        <f t="shared" si="14"/>
        <v>400849</v>
      </c>
      <c r="H175" s="21">
        <v>0</v>
      </c>
      <c r="I175" s="2"/>
      <c r="J175" s="22">
        <v>-400849</v>
      </c>
      <c r="K175" s="28"/>
      <c r="L175" s="28"/>
      <c r="M175" s="21">
        <f t="shared" si="15"/>
        <v>-400849</v>
      </c>
      <c r="N175" s="23">
        <f t="shared" si="16"/>
        <v>0</v>
      </c>
    </row>
    <row r="176" spans="1:17" x14ac:dyDescent="0.25">
      <c r="A176" s="26"/>
      <c r="B176" s="26"/>
      <c r="C176" s="29" t="s">
        <v>56</v>
      </c>
      <c r="D176" s="30">
        <f>SUM(D135:D175)</f>
        <v>218741772.75999996</v>
      </c>
      <c r="E176" s="30">
        <f>SUM(E135:E175)</f>
        <v>18948314.779999997</v>
      </c>
      <c r="F176" s="30">
        <f>SUM(F135:F175)</f>
        <v>-448985.75</v>
      </c>
      <c r="G176" s="30">
        <f>SUM(G135:G175)</f>
        <v>237241101.78999999</v>
      </c>
      <c r="H176" s="30">
        <f>SUM(H135:H175)</f>
        <v>0</v>
      </c>
      <c r="I176" s="31"/>
      <c r="J176" s="30">
        <f>SUM(J135:J175)</f>
        <v>-60902185.040000007</v>
      </c>
      <c r="K176" s="30">
        <f>SUM(K135:K175)</f>
        <v>-7511537.3300000001</v>
      </c>
      <c r="L176" s="30">
        <f>SUM(L135:L175)</f>
        <v>206441</v>
      </c>
      <c r="M176" s="30">
        <f>SUM(M135:M175)</f>
        <v>-68207281.37000002</v>
      </c>
      <c r="N176" s="30">
        <f>SUM(N135:N175)</f>
        <v>169033820.42000002</v>
      </c>
    </row>
    <row r="177" spans="1:14" ht="37.5" x14ac:dyDescent="0.25">
      <c r="A177" s="26"/>
      <c r="B177" s="26"/>
      <c r="C177" s="32" t="s">
        <v>57</v>
      </c>
      <c r="D177" s="28"/>
      <c r="E177" s="28"/>
      <c r="F177" s="28"/>
      <c r="G177" s="21">
        <f>D177+E177+F177</f>
        <v>0</v>
      </c>
      <c r="H177" s="21"/>
      <c r="I177" s="2"/>
      <c r="J177" s="28"/>
      <c r="K177" s="28"/>
      <c r="L177" s="28"/>
      <c r="M177" s="21">
        <f>J177+K177+L177</f>
        <v>0</v>
      </c>
      <c r="N177" s="23">
        <f>G177+M177</f>
        <v>0</v>
      </c>
    </row>
    <row r="178" spans="1:14" ht="25.5" x14ac:dyDescent="0.25">
      <c r="A178" s="26"/>
      <c r="B178" s="26"/>
      <c r="C178" s="33" t="s">
        <v>58</v>
      </c>
      <c r="D178" s="28"/>
      <c r="E178" s="28"/>
      <c r="F178" s="28"/>
      <c r="G178" s="21">
        <f>D178+E178+F178</f>
        <v>0</v>
      </c>
      <c r="H178" s="21"/>
      <c r="I178" s="2"/>
      <c r="J178" s="28"/>
      <c r="K178" s="28"/>
      <c r="L178" s="28"/>
      <c r="M178" s="21">
        <f>J178+K178+L178</f>
        <v>0</v>
      </c>
      <c r="N178" s="23">
        <f>G178+M178</f>
        <v>0</v>
      </c>
    </row>
    <row r="179" spans="1:14" x14ac:dyDescent="0.25">
      <c r="A179" s="26"/>
      <c r="B179" s="26"/>
      <c r="C179" s="29" t="s">
        <v>59</v>
      </c>
      <c r="D179" s="30">
        <f>SUM(D176:D178)</f>
        <v>218741772.75999996</v>
      </c>
      <c r="E179" s="30">
        <f>SUM(E176:E178)</f>
        <v>18948314.779999997</v>
      </c>
      <c r="F179" s="30">
        <f>SUM(F176:F178)</f>
        <v>-448985.75</v>
      </c>
      <c r="G179" s="30">
        <f>SUM(G176:G178)</f>
        <v>237241101.78999999</v>
      </c>
      <c r="H179" s="21"/>
      <c r="I179" s="31"/>
      <c r="J179" s="30">
        <f>SUM(J176:J178)</f>
        <v>-60902185.040000007</v>
      </c>
      <c r="K179" s="30">
        <f>SUM(K176:K178)</f>
        <v>-7511537.3300000001</v>
      </c>
      <c r="L179" s="30">
        <f>SUM(L176:L178)</f>
        <v>206441</v>
      </c>
      <c r="M179" s="30">
        <f>SUM(M176:M178)</f>
        <v>-68207281.37000002</v>
      </c>
      <c r="N179" s="30">
        <f>SUM(N176:N178)</f>
        <v>169033820.42000002</v>
      </c>
    </row>
    <row r="180" spans="1:14" x14ac:dyDescent="0.25">
      <c r="A180" s="26"/>
      <c r="B180" s="26"/>
      <c r="C180" s="34" t="s">
        <v>60</v>
      </c>
      <c r="D180" s="20">
        <v>1120516</v>
      </c>
      <c r="E180" s="20">
        <v>550000</v>
      </c>
      <c r="F180" s="20">
        <v>-1120516</v>
      </c>
      <c r="G180" s="21">
        <f t="shared" ref="G180" si="17">D180+E180+F180</f>
        <v>550000</v>
      </c>
      <c r="H180" s="21">
        <v>0</v>
      </c>
      <c r="I180" s="24"/>
      <c r="J180" s="2"/>
      <c r="K180" s="2"/>
      <c r="L180" s="2"/>
      <c r="M180" s="21">
        <f t="shared" ref="M180" si="18">J180+K180+L180</f>
        <v>0</v>
      </c>
      <c r="N180" s="23">
        <f t="shared" ref="N180" si="19">G180+M180</f>
        <v>550000</v>
      </c>
    </row>
    <row r="181" spans="1:14" x14ac:dyDescent="0.25">
      <c r="A181" s="26"/>
      <c r="B181" s="26"/>
      <c r="C181" s="34" t="s">
        <v>61</v>
      </c>
      <c r="D181" s="30">
        <f>SUM(D179:D180)</f>
        <v>219862288.75999996</v>
      </c>
      <c r="E181" s="30">
        <f t="shared" ref="E181:N181" si="20">SUM(E179:E180)</f>
        <v>19498314.779999997</v>
      </c>
      <c r="F181" s="30">
        <f t="shared" si="20"/>
        <v>-1569501.75</v>
      </c>
      <c r="G181" s="30">
        <f t="shared" si="20"/>
        <v>237791101.78999999</v>
      </c>
      <c r="H181" s="30">
        <f t="shared" si="20"/>
        <v>0</v>
      </c>
      <c r="I181" s="30">
        <f t="shared" si="20"/>
        <v>0</v>
      </c>
      <c r="J181" s="30">
        <f t="shared" si="20"/>
        <v>-60902185.040000007</v>
      </c>
      <c r="K181" s="30">
        <f t="shared" si="20"/>
        <v>-7511537.3300000001</v>
      </c>
      <c r="L181" s="30">
        <f t="shared" si="20"/>
        <v>206441</v>
      </c>
      <c r="M181" s="30">
        <f t="shared" si="20"/>
        <v>-68207281.37000002</v>
      </c>
      <c r="N181" s="30">
        <f t="shared" si="20"/>
        <v>169583820.42000002</v>
      </c>
    </row>
    <row r="182" spans="1:14" x14ac:dyDescent="0.25">
      <c r="A182" s="26"/>
      <c r="B182" s="26"/>
      <c r="C182" s="326" t="s">
        <v>62</v>
      </c>
      <c r="D182" s="327"/>
      <c r="E182" s="327"/>
      <c r="F182" s="327"/>
      <c r="G182" s="327"/>
      <c r="H182" s="327"/>
      <c r="I182" s="327"/>
      <c r="J182" s="328"/>
      <c r="K182" s="28"/>
      <c r="L182" s="2"/>
      <c r="M182" s="35"/>
      <c r="N182" s="36"/>
    </row>
    <row r="183" spans="1:14" x14ac:dyDescent="0.25">
      <c r="A183" s="26"/>
      <c r="B183" s="26"/>
      <c r="C183" s="326" t="s">
        <v>63</v>
      </c>
      <c r="D183" s="327"/>
      <c r="E183" s="327"/>
      <c r="F183" s="327"/>
      <c r="G183" s="327"/>
      <c r="H183" s="327"/>
      <c r="I183" s="327"/>
      <c r="J183" s="328"/>
      <c r="K183" s="30">
        <f>K181+K182</f>
        <v>-7511537.3300000001</v>
      </c>
      <c r="L183" s="2"/>
      <c r="M183" s="35"/>
      <c r="N183" s="36"/>
    </row>
    <row r="184" spans="1:14" hidden="1" x14ac:dyDescent="0.25">
      <c r="A184" s="1"/>
      <c r="B184" s="1"/>
      <c r="C184" s="2"/>
      <c r="D184" s="334" t="s">
        <v>64</v>
      </c>
      <c r="E184" s="334"/>
      <c r="F184" s="334"/>
      <c r="G184" s="36">
        <f>AVERAGE(D179,G179)</f>
        <v>227991437.27499998</v>
      </c>
      <c r="H184" s="2"/>
      <c r="I184" s="2"/>
      <c r="J184" s="37" t="s">
        <v>65</v>
      </c>
      <c r="K184" s="2"/>
      <c r="L184" s="2"/>
      <c r="M184" s="36">
        <f>AVERAGE(J179,M179)</f>
        <v>-64554733.205000013</v>
      </c>
      <c r="N184" s="2"/>
    </row>
    <row r="185" spans="1:14" hidden="1" x14ac:dyDescent="0.25">
      <c r="A185" s="1"/>
      <c r="B185" s="1"/>
      <c r="C185" s="2"/>
      <c r="D185" s="37"/>
      <c r="E185" s="2"/>
      <c r="F185" s="2"/>
      <c r="G185" s="36"/>
      <c r="H185" s="2"/>
      <c r="I185" s="2"/>
      <c r="J185" s="37" t="s">
        <v>66</v>
      </c>
      <c r="K185" s="2"/>
      <c r="L185" s="2"/>
      <c r="M185" s="36">
        <f>G184+M184</f>
        <v>163436704.06999996</v>
      </c>
      <c r="N185" s="2"/>
    </row>
    <row r="186" spans="1:14" hidden="1" x14ac:dyDescent="0.25">
      <c r="A186" s="1"/>
      <c r="B186" s="1"/>
      <c r="C186" s="2"/>
      <c r="D186" s="2"/>
      <c r="E186" s="2"/>
      <c r="F186" s="2"/>
      <c r="G186" s="2"/>
      <c r="H186" s="2"/>
      <c r="I186" s="2"/>
      <c r="J186" s="2" t="s">
        <v>67</v>
      </c>
      <c r="K186" s="2"/>
      <c r="L186" s="2"/>
      <c r="M186" s="2"/>
      <c r="N186" s="2"/>
    </row>
    <row r="187" spans="1:14" hidden="1" x14ac:dyDescent="0.25">
      <c r="A187" s="26">
        <v>10</v>
      </c>
      <c r="B187" s="26"/>
      <c r="C187" s="38" t="s">
        <v>68</v>
      </c>
      <c r="D187" s="39"/>
      <c r="E187" s="39"/>
      <c r="F187" s="39"/>
      <c r="G187" s="39"/>
      <c r="H187" s="39"/>
      <c r="I187" s="39"/>
      <c r="J187" s="39" t="s">
        <v>68</v>
      </c>
      <c r="K187" s="39"/>
      <c r="L187" s="40">
        <v>-479929.48379999999</v>
      </c>
      <c r="M187" s="2"/>
      <c r="N187" s="2"/>
    </row>
    <row r="188" spans="1:14" hidden="1" x14ac:dyDescent="0.25">
      <c r="A188" s="26">
        <v>8</v>
      </c>
      <c r="B188" s="26"/>
      <c r="C188" s="38" t="s">
        <v>69</v>
      </c>
      <c r="D188" s="39"/>
      <c r="E188" s="39"/>
      <c r="F188" s="39"/>
      <c r="G188" s="39"/>
      <c r="H188" s="39"/>
      <c r="I188" s="39"/>
      <c r="J188" s="39" t="s">
        <v>69</v>
      </c>
      <c r="K188" s="39"/>
      <c r="L188" s="40">
        <v>-222012</v>
      </c>
      <c r="M188" s="2"/>
      <c r="N188" s="2"/>
    </row>
    <row r="189" spans="1:14" hidden="1" x14ac:dyDescent="0.25">
      <c r="A189" s="26">
        <v>47</v>
      </c>
      <c r="B189" s="26"/>
      <c r="C189" s="38" t="s">
        <v>70</v>
      </c>
      <c r="D189" s="39"/>
      <c r="E189" s="39"/>
      <c r="F189" s="39"/>
      <c r="G189" s="39"/>
      <c r="H189" s="39"/>
      <c r="I189" s="39"/>
      <c r="J189" s="39" t="s">
        <v>70</v>
      </c>
      <c r="K189" s="39"/>
      <c r="L189" s="40">
        <f>K174</f>
        <v>-546959.44999999995</v>
      </c>
      <c r="M189" s="2"/>
      <c r="N189" s="2"/>
    </row>
    <row r="190" spans="1:14" hidden="1" x14ac:dyDescent="0.25">
      <c r="A190" s="1"/>
      <c r="B190" s="1"/>
      <c r="C190" s="2"/>
      <c r="D190" s="2"/>
      <c r="E190" s="2"/>
      <c r="F190" s="2"/>
      <c r="G190" s="2"/>
      <c r="H190" s="2"/>
      <c r="I190" s="2"/>
      <c r="J190" s="332" t="s">
        <v>71</v>
      </c>
      <c r="K190" s="333"/>
      <c r="L190" s="41">
        <f>K183-L187-L188-L189</f>
        <v>-6262636.3962000003</v>
      </c>
      <c r="M190" s="2"/>
      <c r="N190" s="2"/>
    </row>
    <row r="191" spans="1:14" hidden="1" x14ac:dyDescent="0.25"/>
    <row r="194" spans="1:18" ht="15.75" thickBot="1" x14ac:dyDescent="0.3">
      <c r="A194" s="1"/>
      <c r="B194" s="1"/>
      <c r="C194" s="2"/>
      <c r="D194" s="2"/>
      <c r="E194" s="3" t="s">
        <v>0</v>
      </c>
      <c r="F194" s="4" t="s">
        <v>1</v>
      </c>
      <c r="G194" s="2"/>
      <c r="H194" s="2"/>
      <c r="I194" s="2"/>
      <c r="J194" s="2"/>
      <c r="K194" s="2"/>
      <c r="L194" s="2"/>
      <c r="M194" s="2"/>
      <c r="N194" s="2"/>
    </row>
    <row r="195" spans="1:18" ht="15.75" thickBot="1" x14ac:dyDescent="0.3">
      <c r="A195" s="1"/>
      <c r="B195" s="1"/>
      <c r="C195" s="2"/>
      <c r="D195" s="2"/>
      <c r="E195" s="3" t="s">
        <v>2</v>
      </c>
      <c r="F195" s="5">
        <v>2026</v>
      </c>
      <c r="G195" s="6"/>
      <c r="H195" s="7" t="b">
        <f>IF(F195=2014,4,IF(F195=2015,5,IF(F195=2016,6,IF(F195=2017,7,IF(F195=2018,8,IF(F195=2019,9,IF(F195=2020,10)))))))</f>
        <v>0</v>
      </c>
      <c r="I195" s="2"/>
      <c r="J195" s="2"/>
      <c r="K195" s="2"/>
      <c r="L195" s="2"/>
      <c r="M195" s="2"/>
      <c r="N195" s="2"/>
    </row>
    <row r="196" spans="1:18" x14ac:dyDescent="0.25">
      <c r="A196" s="1"/>
      <c r="B196" s="1"/>
      <c r="C196" s="2"/>
      <c r="D196" s="2"/>
      <c r="E196" s="2"/>
      <c r="F196" s="2"/>
      <c r="G196" s="2"/>
      <c r="H196" s="2"/>
      <c r="I196" s="2"/>
      <c r="J196" s="2"/>
      <c r="K196" s="2"/>
      <c r="L196" s="2"/>
      <c r="M196" s="2"/>
      <c r="N196" s="2"/>
    </row>
    <row r="197" spans="1:18" x14ac:dyDescent="0.25">
      <c r="A197" s="1"/>
      <c r="B197" s="1"/>
      <c r="C197" s="2"/>
      <c r="D197" s="329" t="s">
        <v>3</v>
      </c>
      <c r="E197" s="330"/>
      <c r="F197" s="330"/>
      <c r="G197" s="330"/>
      <c r="H197" s="331"/>
      <c r="I197" s="2"/>
      <c r="J197" s="8"/>
      <c r="K197" s="9" t="s">
        <v>4</v>
      </c>
      <c r="L197" s="9"/>
      <c r="M197" s="10"/>
      <c r="N197" s="2"/>
    </row>
    <row r="198" spans="1:18" ht="90" x14ac:dyDescent="0.25">
      <c r="A198" s="11" t="s">
        <v>5</v>
      </c>
      <c r="B198" s="11" t="s">
        <v>6</v>
      </c>
      <c r="C198" s="12" t="s">
        <v>7</v>
      </c>
      <c r="D198" s="11" t="s">
        <v>8</v>
      </c>
      <c r="E198" s="13" t="s">
        <v>9</v>
      </c>
      <c r="F198" s="13" t="s">
        <v>10</v>
      </c>
      <c r="G198" s="11" t="s">
        <v>11</v>
      </c>
      <c r="H198" s="11" t="s">
        <v>12</v>
      </c>
      <c r="I198" s="14"/>
      <c r="J198" s="11" t="s">
        <v>8</v>
      </c>
      <c r="K198" s="15" t="s">
        <v>13</v>
      </c>
      <c r="L198" s="15" t="s">
        <v>10</v>
      </c>
      <c r="M198" s="16" t="s">
        <v>11</v>
      </c>
      <c r="N198" s="11" t="s">
        <v>14</v>
      </c>
    </row>
    <row r="199" spans="1:18" x14ac:dyDescent="0.25">
      <c r="A199" s="11"/>
      <c r="B199" s="17">
        <v>1609</v>
      </c>
      <c r="C199" s="18" t="s">
        <v>15</v>
      </c>
      <c r="D199" s="19">
        <f t="shared" ref="D199" si="21">G135</f>
        <v>0</v>
      </c>
      <c r="E199" s="20"/>
      <c r="F199" s="20"/>
      <c r="G199" s="21">
        <f>D199+E199+F199</f>
        <v>0</v>
      </c>
      <c r="H199" s="21">
        <v>0</v>
      </c>
      <c r="I199" s="14"/>
      <c r="J199" s="22">
        <f t="shared" ref="J199" si="22">M135</f>
        <v>0</v>
      </c>
      <c r="K199" s="20"/>
      <c r="L199" s="20"/>
      <c r="M199" s="21">
        <f>J199+K199+L199</f>
        <v>0</v>
      </c>
      <c r="N199" s="23">
        <f>G199+M199</f>
        <v>0</v>
      </c>
    </row>
    <row r="200" spans="1:18" ht="25.5" x14ac:dyDescent="0.25">
      <c r="A200" s="17">
        <v>12</v>
      </c>
      <c r="B200" s="17">
        <v>1611</v>
      </c>
      <c r="C200" s="18" t="s">
        <v>16</v>
      </c>
      <c r="D200" s="19">
        <v>8969221.6899999995</v>
      </c>
      <c r="E200" s="20">
        <v>914500</v>
      </c>
      <c r="F200" s="20"/>
      <c r="G200" s="21">
        <f>D200+E200+F200</f>
        <v>9883721.6899999995</v>
      </c>
      <c r="H200" s="21">
        <v>0</v>
      </c>
      <c r="I200" s="24"/>
      <c r="J200" s="22">
        <v>-7154160.3799999999</v>
      </c>
      <c r="K200" s="20">
        <v>-628522</v>
      </c>
      <c r="L200" s="20"/>
      <c r="M200" s="21">
        <f>J200+K200+L200</f>
        <v>-7782682.3799999999</v>
      </c>
      <c r="N200" s="23">
        <f>G200+M200</f>
        <v>2101039.3099999996</v>
      </c>
      <c r="Q200" s="44"/>
      <c r="R200" s="43"/>
    </row>
    <row r="201" spans="1:18" ht="25.5" x14ac:dyDescent="0.25">
      <c r="A201" s="17" t="s">
        <v>17</v>
      </c>
      <c r="B201" s="17">
        <v>1612</v>
      </c>
      <c r="C201" s="18" t="s">
        <v>18</v>
      </c>
      <c r="D201" s="19">
        <v>0</v>
      </c>
      <c r="E201" s="20"/>
      <c r="F201" s="20"/>
      <c r="G201" s="21">
        <f>D201+E201+F201</f>
        <v>0</v>
      </c>
      <c r="H201" s="21">
        <v>0</v>
      </c>
      <c r="I201" s="24"/>
      <c r="J201" s="22">
        <v>0</v>
      </c>
      <c r="K201" s="20"/>
      <c r="L201" s="20"/>
      <c r="M201" s="21">
        <f>J201+K201+L201</f>
        <v>0</v>
      </c>
      <c r="N201" s="23">
        <f>G201+M201</f>
        <v>0</v>
      </c>
      <c r="Q201" s="44"/>
      <c r="R201" s="43"/>
    </row>
    <row r="202" spans="1:18" x14ac:dyDescent="0.25">
      <c r="A202" s="17" t="s">
        <v>19</v>
      </c>
      <c r="B202" s="17">
        <v>1805</v>
      </c>
      <c r="C202" s="18" t="s">
        <v>20</v>
      </c>
      <c r="D202" s="19">
        <v>271707.54000000004</v>
      </c>
      <c r="E202" s="20">
        <v>90000</v>
      </c>
      <c r="F202" s="20"/>
      <c r="G202" s="21">
        <f>D202+E202+F202</f>
        <v>361707.54000000004</v>
      </c>
      <c r="H202" s="21">
        <v>0</v>
      </c>
      <c r="I202" s="24"/>
      <c r="J202" s="22">
        <v>0</v>
      </c>
      <c r="K202" s="20"/>
      <c r="L202" s="20"/>
      <c r="M202" s="21">
        <f>J202+K202+L202</f>
        <v>0</v>
      </c>
      <c r="N202" s="23">
        <f>G202+M202</f>
        <v>361707.54000000004</v>
      </c>
      <c r="Q202" s="44"/>
      <c r="R202" s="43"/>
    </row>
    <row r="203" spans="1:18" x14ac:dyDescent="0.25">
      <c r="A203" s="17">
        <v>47</v>
      </c>
      <c r="B203" s="17">
        <v>1808</v>
      </c>
      <c r="C203" s="18" t="s">
        <v>21</v>
      </c>
      <c r="D203" s="19">
        <v>682915.66</v>
      </c>
      <c r="E203" s="20"/>
      <c r="F203" s="20"/>
      <c r="G203" s="21">
        <f t="shared" ref="G203:G239" si="23">D203+E203+F203</f>
        <v>682915.66</v>
      </c>
      <c r="H203" s="21">
        <v>0</v>
      </c>
      <c r="I203" s="24"/>
      <c r="J203" s="22">
        <v>-206887.90000000002</v>
      </c>
      <c r="K203" s="20">
        <v>-62576.91</v>
      </c>
      <c r="L203" s="20"/>
      <c r="M203" s="21">
        <f t="shared" ref="M203:M239" si="24">J203+K203+L203</f>
        <v>-269464.81000000006</v>
      </c>
      <c r="N203" s="23">
        <f t="shared" ref="N203:N239" si="25">G203+M203</f>
        <v>413450.85</v>
      </c>
      <c r="Q203" s="44"/>
      <c r="R203" s="43"/>
    </row>
    <row r="204" spans="1:18" x14ac:dyDescent="0.25">
      <c r="A204" s="17">
        <v>13</v>
      </c>
      <c r="B204" s="17">
        <v>1810</v>
      </c>
      <c r="C204" s="18" t="s">
        <v>22</v>
      </c>
      <c r="D204" s="19">
        <v>0</v>
      </c>
      <c r="E204" s="20"/>
      <c r="F204" s="20"/>
      <c r="G204" s="21">
        <f t="shared" si="23"/>
        <v>0</v>
      </c>
      <c r="H204" s="21">
        <v>0</v>
      </c>
      <c r="I204" s="24"/>
      <c r="J204" s="22">
        <v>0</v>
      </c>
      <c r="K204" s="20"/>
      <c r="L204" s="20"/>
      <c r="M204" s="21">
        <f t="shared" si="24"/>
        <v>0</v>
      </c>
      <c r="N204" s="23">
        <f t="shared" si="25"/>
        <v>0</v>
      </c>
      <c r="Q204" s="44"/>
      <c r="R204" s="43"/>
    </row>
    <row r="205" spans="1:18" ht="25.5" x14ac:dyDescent="0.25">
      <c r="A205" s="17">
        <v>47</v>
      </c>
      <c r="B205" s="17">
        <v>1815</v>
      </c>
      <c r="C205" s="18" t="s">
        <v>23</v>
      </c>
      <c r="D205" s="19">
        <v>0</v>
      </c>
      <c r="E205" s="20"/>
      <c r="F205" s="20"/>
      <c r="G205" s="21">
        <f t="shared" si="23"/>
        <v>0</v>
      </c>
      <c r="H205" s="21">
        <v>0</v>
      </c>
      <c r="I205" s="24"/>
      <c r="J205" s="22">
        <v>0</v>
      </c>
      <c r="K205" s="20"/>
      <c r="L205" s="20"/>
      <c r="M205" s="21">
        <f t="shared" si="24"/>
        <v>0</v>
      </c>
      <c r="N205" s="23">
        <f t="shared" si="25"/>
        <v>0</v>
      </c>
      <c r="Q205" s="44"/>
      <c r="R205" s="43"/>
    </row>
    <row r="206" spans="1:18" x14ac:dyDescent="0.25">
      <c r="A206" s="17">
        <v>47</v>
      </c>
      <c r="B206" s="17">
        <v>1820</v>
      </c>
      <c r="C206" s="18" t="s">
        <v>24</v>
      </c>
      <c r="D206" s="19">
        <v>2191827.88</v>
      </c>
      <c r="E206" s="20">
        <v>59873.599999999999</v>
      </c>
      <c r="F206" s="20"/>
      <c r="G206" s="21">
        <f t="shared" si="23"/>
        <v>2251701.48</v>
      </c>
      <c r="H206" s="21">
        <v>0</v>
      </c>
      <c r="I206" s="24"/>
      <c r="J206" s="22">
        <v>-1129803.7000000002</v>
      </c>
      <c r="K206" s="20">
        <v>-47455.48</v>
      </c>
      <c r="L206" s="20"/>
      <c r="M206" s="21">
        <f t="shared" si="24"/>
        <v>-1177259.1800000002</v>
      </c>
      <c r="N206" s="23">
        <f t="shared" si="25"/>
        <v>1074442.2999999998</v>
      </c>
      <c r="Q206" s="44"/>
      <c r="R206" s="43"/>
    </row>
    <row r="207" spans="1:18" x14ac:dyDescent="0.25">
      <c r="A207" s="17">
        <v>47</v>
      </c>
      <c r="B207" s="17">
        <v>1825</v>
      </c>
      <c r="C207" s="18" t="s">
        <v>25</v>
      </c>
      <c r="D207" s="19">
        <v>0</v>
      </c>
      <c r="E207" s="20"/>
      <c r="F207" s="20"/>
      <c r="G207" s="21">
        <f t="shared" si="23"/>
        <v>0</v>
      </c>
      <c r="H207" s="21">
        <v>0</v>
      </c>
      <c r="I207" s="24"/>
      <c r="J207" s="22">
        <v>0</v>
      </c>
      <c r="K207" s="20"/>
      <c r="L207" s="20"/>
      <c r="M207" s="21">
        <f t="shared" si="24"/>
        <v>0</v>
      </c>
      <c r="N207" s="23">
        <f t="shared" si="25"/>
        <v>0</v>
      </c>
      <c r="Q207" s="44"/>
      <c r="R207" s="43"/>
    </row>
    <row r="208" spans="1:18" x14ac:dyDescent="0.25">
      <c r="A208" s="17">
        <v>47</v>
      </c>
      <c r="B208" s="17">
        <v>1830</v>
      </c>
      <c r="C208" s="18" t="s">
        <v>26</v>
      </c>
      <c r="D208" s="19">
        <v>66219709.410000004</v>
      </c>
      <c r="E208" s="20">
        <v>3200558.25</v>
      </c>
      <c r="F208" s="20"/>
      <c r="G208" s="21">
        <f t="shared" si="23"/>
        <v>69420267.659999996</v>
      </c>
      <c r="H208" s="21">
        <v>0</v>
      </c>
      <c r="I208" s="24"/>
      <c r="J208" s="22">
        <v>-10948508.629999999</v>
      </c>
      <c r="K208" s="20">
        <v>-1529301.28</v>
      </c>
      <c r="L208" s="20"/>
      <c r="M208" s="21">
        <f t="shared" si="24"/>
        <v>-12477809.909999998</v>
      </c>
      <c r="N208" s="23">
        <f t="shared" si="25"/>
        <v>56942457.75</v>
      </c>
      <c r="Q208" s="44"/>
      <c r="R208" s="43"/>
    </row>
    <row r="209" spans="1:18" x14ac:dyDescent="0.25">
      <c r="A209" s="17">
        <v>47</v>
      </c>
      <c r="B209" s="17">
        <v>1835</v>
      </c>
      <c r="C209" s="18" t="s">
        <v>27</v>
      </c>
      <c r="D209" s="19">
        <v>33164296.390000001</v>
      </c>
      <c r="E209" s="20">
        <v>2624448.88</v>
      </c>
      <c r="F209" s="20"/>
      <c r="G209" s="21">
        <f t="shared" si="23"/>
        <v>35788745.270000003</v>
      </c>
      <c r="H209" s="21">
        <v>0</v>
      </c>
      <c r="I209" s="24"/>
      <c r="J209" s="22">
        <v>-4198731.17</v>
      </c>
      <c r="K209" s="20">
        <v>-785643.79</v>
      </c>
      <c r="L209" s="20"/>
      <c r="M209" s="21">
        <f t="shared" si="24"/>
        <v>-4984374.96</v>
      </c>
      <c r="N209" s="23">
        <f t="shared" si="25"/>
        <v>30804370.310000002</v>
      </c>
      <c r="Q209" s="44"/>
      <c r="R209" s="43"/>
    </row>
    <row r="210" spans="1:18" x14ac:dyDescent="0.25">
      <c r="A210" s="17">
        <v>47</v>
      </c>
      <c r="B210" s="17">
        <v>1840</v>
      </c>
      <c r="C210" s="18" t="s">
        <v>28</v>
      </c>
      <c r="D210" s="19">
        <v>12892151.039999999</v>
      </c>
      <c r="E210" s="20">
        <v>906112.22</v>
      </c>
      <c r="F210" s="20"/>
      <c r="G210" s="21">
        <f t="shared" si="23"/>
        <v>13798263.26</v>
      </c>
      <c r="H210" s="21">
        <v>0</v>
      </c>
      <c r="I210" s="24"/>
      <c r="J210" s="22">
        <v>-1686938.0599999998</v>
      </c>
      <c r="K210" s="20">
        <v>-284973.21000000002</v>
      </c>
      <c r="L210" s="20"/>
      <c r="M210" s="21">
        <f t="shared" si="24"/>
        <v>-1971911.2699999998</v>
      </c>
      <c r="N210" s="23">
        <f t="shared" si="25"/>
        <v>11826351.99</v>
      </c>
      <c r="Q210" s="44"/>
      <c r="R210" s="43"/>
    </row>
    <row r="211" spans="1:18" x14ac:dyDescent="0.25">
      <c r="A211" s="17">
        <v>47</v>
      </c>
      <c r="B211" s="17">
        <v>1845</v>
      </c>
      <c r="C211" s="18" t="s">
        <v>29</v>
      </c>
      <c r="D211" s="19">
        <v>34561820.650000006</v>
      </c>
      <c r="E211" s="20">
        <v>2200558.25</v>
      </c>
      <c r="F211" s="20"/>
      <c r="G211" s="21">
        <f t="shared" si="23"/>
        <v>36762378.900000006</v>
      </c>
      <c r="H211" s="21">
        <v>0</v>
      </c>
      <c r="I211" s="24"/>
      <c r="J211" s="22">
        <v>-7042828.540000001</v>
      </c>
      <c r="K211" s="20">
        <v>-946365.94</v>
      </c>
      <c r="L211" s="20"/>
      <c r="M211" s="21">
        <f t="shared" si="24"/>
        <v>-7989194.4800000004</v>
      </c>
      <c r="N211" s="23">
        <f t="shared" si="25"/>
        <v>28773184.420000006</v>
      </c>
      <c r="Q211" s="44"/>
      <c r="R211" s="43"/>
    </row>
    <row r="212" spans="1:18" x14ac:dyDescent="0.25">
      <c r="A212" s="17">
        <v>47</v>
      </c>
      <c r="B212" s="17">
        <v>1850</v>
      </c>
      <c r="C212" s="18" t="s">
        <v>30</v>
      </c>
      <c r="D212" s="19">
        <v>33426620.109999999</v>
      </c>
      <c r="E212" s="20">
        <v>3287736.33</v>
      </c>
      <c r="F212" s="20"/>
      <c r="G212" s="21">
        <f t="shared" si="23"/>
        <v>36714356.439999998</v>
      </c>
      <c r="H212" s="21">
        <v>0</v>
      </c>
      <c r="I212" s="24"/>
      <c r="J212" s="22">
        <v>-6612048.6100000013</v>
      </c>
      <c r="K212" s="20">
        <v>-932145.13</v>
      </c>
      <c r="L212" s="20"/>
      <c r="M212" s="21">
        <f t="shared" si="24"/>
        <v>-7544193.7400000012</v>
      </c>
      <c r="N212" s="23">
        <f t="shared" si="25"/>
        <v>29170162.699999996</v>
      </c>
      <c r="Q212" s="44"/>
      <c r="R212" s="43"/>
    </row>
    <row r="213" spans="1:18" x14ac:dyDescent="0.25">
      <c r="A213" s="17">
        <v>47</v>
      </c>
      <c r="B213" s="17">
        <v>1855</v>
      </c>
      <c r="C213" s="18" t="s">
        <v>31</v>
      </c>
      <c r="D213" s="19">
        <v>16970628.52</v>
      </c>
      <c r="E213" s="20">
        <v>1423890.63</v>
      </c>
      <c r="F213" s="20"/>
      <c r="G213" s="21">
        <f t="shared" si="23"/>
        <v>18394519.149999999</v>
      </c>
      <c r="H213" s="21">
        <v>0</v>
      </c>
      <c r="I213" s="24"/>
      <c r="J213" s="22">
        <v>-2886135.09</v>
      </c>
      <c r="K213" s="20">
        <v>-431567.46</v>
      </c>
      <c r="L213" s="20"/>
      <c r="M213" s="21">
        <f t="shared" si="24"/>
        <v>-3317702.55</v>
      </c>
      <c r="N213" s="23">
        <f t="shared" si="25"/>
        <v>15076816.599999998</v>
      </c>
      <c r="Q213" s="44"/>
      <c r="R213" s="43"/>
    </row>
    <row r="214" spans="1:18" x14ac:dyDescent="0.25">
      <c r="A214" s="17">
        <v>47</v>
      </c>
      <c r="B214" s="17">
        <v>1860</v>
      </c>
      <c r="C214" s="18" t="s">
        <v>32</v>
      </c>
      <c r="D214" s="19">
        <v>0</v>
      </c>
      <c r="E214" s="20"/>
      <c r="F214" s="20"/>
      <c r="G214" s="21">
        <f t="shared" si="23"/>
        <v>0</v>
      </c>
      <c r="H214" s="21">
        <v>0</v>
      </c>
      <c r="I214" s="24"/>
      <c r="J214" s="22">
        <v>0</v>
      </c>
      <c r="K214" s="20"/>
      <c r="L214" s="20"/>
      <c r="M214" s="21">
        <f t="shared" si="24"/>
        <v>0</v>
      </c>
      <c r="N214" s="23">
        <f t="shared" si="25"/>
        <v>0</v>
      </c>
      <c r="Q214" s="44"/>
      <c r="R214" s="43"/>
    </row>
    <row r="215" spans="1:18" x14ac:dyDescent="0.25">
      <c r="A215" s="17">
        <v>47</v>
      </c>
      <c r="B215" s="17">
        <v>1860</v>
      </c>
      <c r="C215" s="18" t="s">
        <v>33</v>
      </c>
      <c r="D215" s="19">
        <v>26891101.68</v>
      </c>
      <c r="E215" s="20">
        <v>3043179.75</v>
      </c>
      <c r="F215" s="20"/>
      <c r="G215" s="21">
        <f t="shared" si="23"/>
        <v>29934281.43</v>
      </c>
      <c r="H215" s="21">
        <v>0</v>
      </c>
      <c r="I215" s="24"/>
      <c r="J215" s="22">
        <v>-13134104.140000001</v>
      </c>
      <c r="K215" s="20">
        <v>-1500208.36</v>
      </c>
      <c r="L215" s="20"/>
      <c r="M215" s="21">
        <f t="shared" si="24"/>
        <v>-14634312.5</v>
      </c>
      <c r="N215" s="23">
        <f t="shared" si="25"/>
        <v>15299968.93</v>
      </c>
      <c r="Q215" s="44"/>
      <c r="R215" s="43"/>
    </row>
    <row r="216" spans="1:18" x14ac:dyDescent="0.25">
      <c r="A216" s="17" t="s">
        <v>19</v>
      </c>
      <c r="B216" s="17">
        <v>1905</v>
      </c>
      <c r="C216" s="18" t="s">
        <v>20</v>
      </c>
      <c r="D216" s="19">
        <v>1439712.63</v>
      </c>
      <c r="E216" s="20"/>
      <c r="F216" s="20"/>
      <c r="G216" s="21">
        <f t="shared" si="23"/>
        <v>1439712.63</v>
      </c>
      <c r="H216" s="21">
        <v>0</v>
      </c>
      <c r="I216" s="24"/>
      <c r="J216" s="22">
        <v>0</v>
      </c>
      <c r="K216" s="20"/>
      <c r="L216" s="20"/>
      <c r="M216" s="21">
        <f t="shared" si="24"/>
        <v>0</v>
      </c>
      <c r="N216" s="23">
        <f t="shared" si="25"/>
        <v>1439712.63</v>
      </c>
      <c r="Q216" s="44"/>
      <c r="R216" s="43"/>
    </row>
    <row r="217" spans="1:18" x14ac:dyDescent="0.25">
      <c r="A217" s="17">
        <v>47</v>
      </c>
      <c r="B217" s="17">
        <v>1908</v>
      </c>
      <c r="C217" s="18" t="s">
        <v>34</v>
      </c>
      <c r="D217" s="19">
        <v>9920314.209999999</v>
      </c>
      <c r="E217" s="20">
        <v>890991.33</v>
      </c>
      <c r="F217" s="20"/>
      <c r="G217" s="21">
        <f t="shared" si="23"/>
        <v>10811305.539999999</v>
      </c>
      <c r="H217" s="21">
        <v>0</v>
      </c>
      <c r="I217" s="24"/>
      <c r="J217" s="22">
        <v>-3115542.06</v>
      </c>
      <c r="K217" s="20">
        <v>-274236.46000000002</v>
      </c>
      <c r="L217" s="20"/>
      <c r="M217" s="21">
        <f t="shared" si="24"/>
        <v>-3389778.52</v>
      </c>
      <c r="N217" s="23">
        <f t="shared" si="25"/>
        <v>7421527.0199999996</v>
      </c>
      <c r="Q217" s="44"/>
      <c r="R217" s="43"/>
    </row>
    <row r="218" spans="1:18" x14ac:dyDescent="0.25">
      <c r="A218" s="17">
        <v>13</v>
      </c>
      <c r="B218" s="17">
        <v>1910</v>
      </c>
      <c r="C218" s="18" t="s">
        <v>22</v>
      </c>
      <c r="D218" s="19">
        <v>0</v>
      </c>
      <c r="E218" s="20"/>
      <c r="F218" s="20"/>
      <c r="G218" s="21">
        <f t="shared" si="23"/>
        <v>0</v>
      </c>
      <c r="H218" s="21">
        <v>0</v>
      </c>
      <c r="I218" s="24"/>
      <c r="J218" s="22">
        <v>0</v>
      </c>
      <c r="K218" s="20"/>
      <c r="L218" s="20"/>
      <c r="M218" s="21">
        <f t="shared" si="24"/>
        <v>0</v>
      </c>
      <c r="N218" s="23">
        <f t="shared" si="25"/>
        <v>0</v>
      </c>
      <c r="Q218" s="44"/>
      <c r="R218" s="43"/>
    </row>
    <row r="219" spans="1:18" ht="25.5" x14ac:dyDescent="0.25">
      <c r="A219" s="17">
        <v>8</v>
      </c>
      <c r="B219" s="17">
        <v>1915</v>
      </c>
      <c r="C219" s="18" t="s">
        <v>35</v>
      </c>
      <c r="D219" s="19">
        <v>1013023.1699999999</v>
      </c>
      <c r="E219" s="20">
        <v>11000</v>
      </c>
      <c r="F219" s="20"/>
      <c r="G219" s="21">
        <f t="shared" si="23"/>
        <v>1024023.1699999999</v>
      </c>
      <c r="H219" s="21">
        <v>0</v>
      </c>
      <c r="I219" s="24"/>
      <c r="J219" s="22">
        <v>-654525.09</v>
      </c>
      <c r="K219" s="20">
        <v>-55081.39</v>
      </c>
      <c r="L219" s="20"/>
      <c r="M219" s="21">
        <f t="shared" si="24"/>
        <v>-709606.48</v>
      </c>
      <c r="N219" s="23">
        <f t="shared" si="25"/>
        <v>314416.68999999994</v>
      </c>
      <c r="Q219" s="44"/>
      <c r="R219" s="43"/>
    </row>
    <row r="220" spans="1:18" x14ac:dyDescent="0.25">
      <c r="A220" s="17">
        <v>8</v>
      </c>
      <c r="B220" s="17">
        <v>1915</v>
      </c>
      <c r="C220" s="18" t="s">
        <v>36</v>
      </c>
      <c r="D220" s="19">
        <v>0</v>
      </c>
      <c r="E220" s="20"/>
      <c r="F220" s="20"/>
      <c r="G220" s="21">
        <f t="shared" si="23"/>
        <v>0</v>
      </c>
      <c r="H220" s="21">
        <v>0</v>
      </c>
      <c r="I220" s="24"/>
      <c r="J220" s="22">
        <v>0</v>
      </c>
      <c r="K220" s="20"/>
      <c r="L220" s="20"/>
      <c r="M220" s="21">
        <f t="shared" si="24"/>
        <v>0</v>
      </c>
      <c r="N220" s="23">
        <f t="shared" si="25"/>
        <v>0</v>
      </c>
      <c r="Q220" s="44"/>
      <c r="R220" s="43"/>
    </row>
    <row r="221" spans="1:18" x14ac:dyDescent="0.25">
      <c r="A221" s="17">
        <v>10</v>
      </c>
      <c r="B221" s="17">
        <v>1920</v>
      </c>
      <c r="C221" s="18" t="s">
        <v>37</v>
      </c>
      <c r="D221" s="19">
        <v>0</v>
      </c>
      <c r="E221" s="20"/>
      <c r="F221" s="20"/>
      <c r="G221" s="21">
        <f t="shared" si="23"/>
        <v>0</v>
      </c>
      <c r="H221" s="21">
        <v>0</v>
      </c>
      <c r="I221" s="24"/>
      <c r="J221" s="22">
        <v>0</v>
      </c>
      <c r="K221" s="20"/>
      <c r="L221" s="20"/>
      <c r="M221" s="21">
        <f t="shared" si="24"/>
        <v>0</v>
      </c>
      <c r="N221" s="23">
        <f t="shared" si="25"/>
        <v>0</v>
      </c>
      <c r="Q221" s="44"/>
      <c r="R221" s="43"/>
    </row>
    <row r="222" spans="1:18" ht="25.5" x14ac:dyDescent="0.25">
      <c r="A222" s="17">
        <v>45</v>
      </c>
      <c r="B222" s="17">
        <v>1920</v>
      </c>
      <c r="C222" s="18" t="s">
        <v>38</v>
      </c>
      <c r="D222" s="19">
        <v>0</v>
      </c>
      <c r="E222" s="20"/>
      <c r="F222" s="20"/>
      <c r="G222" s="21">
        <f t="shared" si="23"/>
        <v>0</v>
      </c>
      <c r="H222" s="21">
        <v>0</v>
      </c>
      <c r="I222" s="24"/>
      <c r="J222" s="22">
        <v>0</v>
      </c>
      <c r="K222" s="20"/>
      <c r="L222" s="20"/>
      <c r="M222" s="21">
        <f t="shared" si="24"/>
        <v>0</v>
      </c>
      <c r="N222" s="23">
        <f t="shared" si="25"/>
        <v>0</v>
      </c>
      <c r="Q222" s="44"/>
      <c r="R222" s="43"/>
    </row>
    <row r="223" spans="1:18" ht="25.5" x14ac:dyDescent="0.25">
      <c r="A223" s="17">
        <v>50</v>
      </c>
      <c r="B223" s="17">
        <v>1920</v>
      </c>
      <c r="C223" s="18" t="s">
        <v>39</v>
      </c>
      <c r="D223" s="19">
        <v>3669105.81</v>
      </c>
      <c r="E223" s="20">
        <v>430000</v>
      </c>
      <c r="F223" s="20"/>
      <c r="G223" s="21">
        <f t="shared" si="23"/>
        <v>4099105.81</v>
      </c>
      <c r="H223" s="21">
        <v>0</v>
      </c>
      <c r="I223" s="24"/>
      <c r="J223" s="22">
        <v>-2870915.86</v>
      </c>
      <c r="K223" s="20">
        <v>-231346.31</v>
      </c>
      <c r="L223" s="20"/>
      <c r="M223" s="21">
        <f t="shared" si="24"/>
        <v>-3102262.17</v>
      </c>
      <c r="N223" s="23">
        <f t="shared" si="25"/>
        <v>996843.64000000013</v>
      </c>
      <c r="Q223" s="44"/>
      <c r="R223" s="43"/>
    </row>
    <row r="224" spans="1:18" x14ac:dyDescent="0.25">
      <c r="A224" s="17">
        <v>10</v>
      </c>
      <c r="B224" s="17">
        <v>1930</v>
      </c>
      <c r="C224" s="18" t="s">
        <v>40</v>
      </c>
      <c r="D224" s="19">
        <v>9749434.2199999988</v>
      </c>
      <c r="E224" s="20">
        <v>957075</v>
      </c>
      <c r="F224" s="20"/>
      <c r="G224" s="21">
        <f t="shared" si="23"/>
        <v>10706509.219999999</v>
      </c>
      <c r="H224" s="21">
        <v>0</v>
      </c>
      <c r="I224" s="24"/>
      <c r="J224" s="22">
        <v>-3862139.02</v>
      </c>
      <c r="K224" s="20">
        <v>-662375.06000000006</v>
      </c>
      <c r="L224" s="20"/>
      <c r="M224" s="21">
        <f t="shared" si="24"/>
        <v>-4524514.08</v>
      </c>
      <c r="N224" s="23">
        <f t="shared" si="25"/>
        <v>6181995.1399999987</v>
      </c>
      <c r="Q224" s="44"/>
      <c r="R224" s="43"/>
    </row>
    <row r="225" spans="1:18" x14ac:dyDescent="0.25">
      <c r="A225" s="17">
        <v>8</v>
      </c>
      <c r="B225" s="17">
        <v>1935</v>
      </c>
      <c r="C225" s="18" t="s">
        <v>41</v>
      </c>
      <c r="D225" s="19">
        <v>0</v>
      </c>
      <c r="E225" s="20"/>
      <c r="F225" s="20"/>
      <c r="G225" s="21">
        <f t="shared" si="23"/>
        <v>0</v>
      </c>
      <c r="H225" s="21">
        <v>0</v>
      </c>
      <c r="I225" s="24"/>
      <c r="J225" s="22">
        <v>0</v>
      </c>
      <c r="K225" s="20"/>
      <c r="L225" s="20"/>
      <c r="M225" s="21">
        <f t="shared" si="24"/>
        <v>0</v>
      </c>
      <c r="N225" s="23">
        <f t="shared" si="25"/>
        <v>0</v>
      </c>
      <c r="Q225" s="44"/>
      <c r="R225" s="43"/>
    </row>
    <row r="226" spans="1:18" x14ac:dyDescent="0.25">
      <c r="A226" s="17">
        <v>8</v>
      </c>
      <c r="B226" s="17">
        <v>1940</v>
      </c>
      <c r="C226" s="18" t="s">
        <v>42</v>
      </c>
      <c r="D226" s="19">
        <v>1736826.64</v>
      </c>
      <c r="E226" s="20">
        <v>119125.81</v>
      </c>
      <c r="F226" s="20"/>
      <c r="G226" s="21">
        <f t="shared" si="23"/>
        <v>1855952.45</v>
      </c>
      <c r="H226" s="21">
        <v>0</v>
      </c>
      <c r="I226" s="24"/>
      <c r="J226" s="22">
        <v>-1226911.6099999999</v>
      </c>
      <c r="K226" s="20">
        <v>-81008.600000000006</v>
      </c>
      <c r="L226" s="20"/>
      <c r="M226" s="21">
        <f t="shared" si="24"/>
        <v>-1307920.21</v>
      </c>
      <c r="N226" s="23">
        <f t="shared" si="25"/>
        <v>548032.24</v>
      </c>
      <c r="Q226" s="44"/>
      <c r="R226" s="43"/>
    </row>
    <row r="227" spans="1:18" x14ac:dyDescent="0.25">
      <c r="A227" s="17">
        <v>8</v>
      </c>
      <c r="B227" s="17">
        <v>1945</v>
      </c>
      <c r="C227" s="18" t="s">
        <v>43</v>
      </c>
      <c r="D227" s="19">
        <v>0</v>
      </c>
      <c r="E227" s="20"/>
      <c r="F227" s="20"/>
      <c r="G227" s="21">
        <f t="shared" si="23"/>
        <v>0</v>
      </c>
      <c r="H227" s="21">
        <v>0</v>
      </c>
      <c r="I227" s="24"/>
      <c r="J227" s="22">
        <v>0</v>
      </c>
      <c r="K227" s="20"/>
      <c r="L227" s="20"/>
      <c r="M227" s="21">
        <f t="shared" si="24"/>
        <v>0</v>
      </c>
      <c r="N227" s="23">
        <f t="shared" si="25"/>
        <v>0</v>
      </c>
      <c r="Q227" s="44"/>
      <c r="R227" s="43"/>
    </row>
    <row r="228" spans="1:18" x14ac:dyDescent="0.25">
      <c r="A228" s="17">
        <v>8</v>
      </c>
      <c r="B228" s="17">
        <v>1950</v>
      </c>
      <c r="C228" s="18" t="s">
        <v>44</v>
      </c>
      <c r="D228" s="19">
        <v>0</v>
      </c>
      <c r="E228" s="20"/>
      <c r="F228" s="20"/>
      <c r="G228" s="21">
        <f t="shared" si="23"/>
        <v>0</v>
      </c>
      <c r="H228" s="21">
        <v>0</v>
      </c>
      <c r="I228" s="24"/>
      <c r="J228" s="22">
        <v>0</v>
      </c>
      <c r="K228" s="20"/>
      <c r="L228" s="20"/>
      <c r="M228" s="21">
        <f t="shared" si="24"/>
        <v>0</v>
      </c>
      <c r="N228" s="23">
        <f t="shared" si="25"/>
        <v>0</v>
      </c>
      <c r="Q228" s="44"/>
      <c r="R228" s="43"/>
    </row>
    <row r="229" spans="1:18" x14ac:dyDescent="0.25">
      <c r="A229" s="17">
        <v>8</v>
      </c>
      <c r="B229" s="17">
        <v>1955</v>
      </c>
      <c r="C229" s="18" t="s">
        <v>45</v>
      </c>
      <c r="D229" s="19">
        <v>0</v>
      </c>
      <c r="E229" s="20"/>
      <c r="F229" s="20"/>
      <c r="G229" s="21">
        <f t="shared" si="23"/>
        <v>0</v>
      </c>
      <c r="H229" s="21">
        <v>0</v>
      </c>
      <c r="I229" s="24"/>
      <c r="J229" s="22">
        <v>0</v>
      </c>
      <c r="K229" s="20"/>
      <c r="L229" s="20"/>
      <c r="M229" s="21">
        <f t="shared" si="24"/>
        <v>0</v>
      </c>
      <c r="N229" s="23">
        <f t="shared" si="25"/>
        <v>0</v>
      </c>
      <c r="Q229" s="44"/>
      <c r="R229" s="43"/>
    </row>
    <row r="230" spans="1:18" ht="25.5" x14ac:dyDescent="0.25">
      <c r="A230" s="17">
        <v>8</v>
      </c>
      <c r="B230" s="17">
        <v>1955</v>
      </c>
      <c r="C230" s="18" t="s">
        <v>46</v>
      </c>
      <c r="D230" s="19">
        <v>0</v>
      </c>
      <c r="E230" s="20"/>
      <c r="F230" s="20"/>
      <c r="G230" s="21">
        <f t="shared" si="23"/>
        <v>0</v>
      </c>
      <c r="H230" s="21">
        <v>0</v>
      </c>
      <c r="I230" s="24"/>
      <c r="J230" s="22">
        <v>0</v>
      </c>
      <c r="K230" s="20"/>
      <c r="L230" s="20"/>
      <c r="M230" s="21">
        <f t="shared" si="24"/>
        <v>0</v>
      </c>
      <c r="N230" s="23">
        <f t="shared" si="25"/>
        <v>0</v>
      </c>
      <c r="Q230" s="44"/>
      <c r="R230" s="43"/>
    </row>
    <row r="231" spans="1:18" x14ac:dyDescent="0.25">
      <c r="A231" s="17">
        <v>8</v>
      </c>
      <c r="B231" s="17">
        <v>1960</v>
      </c>
      <c r="C231" s="18" t="s">
        <v>47</v>
      </c>
      <c r="D231" s="19">
        <v>0</v>
      </c>
      <c r="E231" s="20"/>
      <c r="F231" s="20"/>
      <c r="G231" s="21">
        <f t="shared" si="23"/>
        <v>0</v>
      </c>
      <c r="H231" s="21">
        <v>0</v>
      </c>
      <c r="I231" s="24"/>
      <c r="J231" s="22">
        <v>0</v>
      </c>
      <c r="K231" s="20"/>
      <c r="L231" s="20"/>
      <c r="M231" s="21">
        <f t="shared" si="24"/>
        <v>0</v>
      </c>
      <c r="N231" s="23">
        <f t="shared" si="25"/>
        <v>0</v>
      </c>
      <c r="Q231" s="44"/>
      <c r="R231" s="43"/>
    </row>
    <row r="232" spans="1:18" ht="25.5" x14ac:dyDescent="0.25">
      <c r="A232" s="1">
        <v>47</v>
      </c>
      <c r="B232" s="17">
        <v>1970</v>
      </c>
      <c r="C232" s="18" t="s">
        <v>48</v>
      </c>
      <c r="D232" s="19">
        <v>0</v>
      </c>
      <c r="E232" s="20"/>
      <c r="F232" s="20"/>
      <c r="G232" s="21">
        <f t="shared" si="23"/>
        <v>0</v>
      </c>
      <c r="H232" s="21">
        <v>0</v>
      </c>
      <c r="I232" s="24"/>
      <c r="J232" s="22">
        <v>0</v>
      </c>
      <c r="K232" s="20"/>
      <c r="L232" s="20"/>
      <c r="M232" s="21">
        <f t="shared" si="24"/>
        <v>0</v>
      </c>
      <c r="N232" s="23">
        <f t="shared" si="25"/>
        <v>0</v>
      </c>
      <c r="Q232" s="44"/>
      <c r="R232" s="43"/>
    </row>
    <row r="233" spans="1:18" ht="25.5" x14ac:dyDescent="0.25">
      <c r="A233" s="17">
        <v>47</v>
      </c>
      <c r="B233" s="17">
        <v>1975</v>
      </c>
      <c r="C233" s="18" t="s">
        <v>49</v>
      </c>
      <c r="D233" s="19">
        <v>0</v>
      </c>
      <c r="E233" s="20"/>
      <c r="F233" s="20"/>
      <c r="G233" s="21">
        <f t="shared" si="23"/>
        <v>0</v>
      </c>
      <c r="H233" s="21">
        <v>0</v>
      </c>
      <c r="I233" s="24"/>
      <c r="J233" s="22">
        <v>0</v>
      </c>
      <c r="K233" s="20"/>
      <c r="L233" s="20"/>
      <c r="M233" s="21">
        <f t="shared" si="24"/>
        <v>0</v>
      </c>
      <c r="N233" s="23">
        <f t="shared" si="25"/>
        <v>0</v>
      </c>
      <c r="Q233" s="44"/>
      <c r="R233" s="43"/>
    </row>
    <row r="234" spans="1:18" x14ac:dyDescent="0.25">
      <c r="A234" s="17">
        <v>47</v>
      </c>
      <c r="B234" s="17">
        <v>1980</v>
      </c>
      <c r="C234" s="18" t="s">
        <v>50</v>
      </c>
      <c r="D234" s="19">
        <v>1483101.6400000001</v>
      </c>
      <c r="E234" s="20">
        <v>64995.53</v>
      </c>
      <c r="F234" s="20"/>
      <c r="G234" s="21">
        <f t="shared" si="23"/>
        <v>1548097.1700000002</v>
      </c>
      <c r="H234" s="21">
        <v>0</v>
      </c>
      <c r="I234" s="24"/>
      <c r="J234" s="22">
        <v>-737455.47000000009</v>
      </c>
      <c r="K234" s="20">
        <v>-81247.97</v>
      </c>
      <c r="L234" s="20"/>
      <c r="M234" s="21">
        <f t="shared" si="24"/>
        <v>-818703.44000000006</v>
      </c>
      <c r="N234" s="23">
        <f t="shared" si="25"/>
        <v>729393.7300000001</v>
      </c>
      <c r="Q234" s="44"/>
      <c r="R234" s="43"/>
    </row>
    <row r="235" spans="1:18" x14ac:dyDescent="0.25">
      <c r="A235" s="17">
        <v>47</v>
      </c>
      <c r="B235" s="17">
        <v>1985</v>
      </c>
      <c r="C235" s="18" t="s">
        <v>51</v>
      </c>
      <c r="D235" s="19">
        <v>0</v>
      </c>
      <c r="E235" s="20"/>
      <c r="F235" s="20"/>
      <c r="G235" s="21">
        <f t="shared" si="23"/>
        <v>0</v>
      </c>
      <c r="H235" s="21">
        <v>0</v>
      </c>
      <c r="I235" s="24"/>
      <c r="J235" s="22">
        <v>0</v>
      </c>
      <c r="K235" s="20"/>
      <c r="L235" s="20"/>
      <c r="M235" s="21">
        <f t="shared" si="24"/>
        <v>0</v>
      </c>
      <c r="N235" s="23">
        <f t="shared" si="25"/>
        <v>0</v>
      </c>
      <c r="Q235" s="44"/>
      <c r="R235" s="43"/>
    </row>
    <row r="236" spans="1:18" x14ac:dyDescent="0.25">
      <c r="A236" s="1">
        <v>47</v>
      </c>
      <c r="B236" s="17">
        <v>1990</v>
      </c>
      <c r="C236" s="25" t="s">
        <v>52</v>
      </c>
      <c r="D236" s="19">
        <v>4089743.6300000004</v>
      </c>
      <c r="E236" s="20">
        <v>0</v>
      </c>
      <c r="F236" s="20"/>
      <c r="G236" s="21">
        <f t="shared" si="23"/>
        <v>4089743.6300000004</v>
      </c>
      <c r="H236" s="21">
        <v>0</v>
      </c>
      <c r="I236" s="24"/>
      <c r="J236" s="22">
        <v>-2405107.4200000004</v>
      </c>
      <c r="K236" s="20">
        <v>-266135.65999999997</v>
      </c>
      <c r="L236" s="20"/>
      <c r="M236" s="21">
        <f t="shared" si="24"/>
        <v>-2671243.0800000005</v>
      </c>
      <c r="N236" s="23">
        <f t="shared" si="25"/>
        <v>1418500.5499999998</v>
      </c>
      <c r="Q236" s="44"/>
      <c r="R236" s="43"/>
    </row>
    <row r="237" spans="1:18" x14ac:dyDescent="0.25">
      <c r="A237" s="17">
        <v>47</v>
      </c>
      <c r="B237" s="17">
        <v>1995</v>
      </c>
      <c r="C237" s="18" t="s">
        <v>53</v>
      </c>
      <c r="D237" s="19">
        <v>0</v>
      </c>
      <c r="E237" s="20"/>
      <c r="F237" s="20"/>
      <c r="G237" s="21">
        <f t="shared" si="23"/>
        <v>0</v>
      </c>
      <c r="H237" s="21">
        <v>0</v>
      </c>
      <c r="I237" s="24"/>
      <c r="J237" s="22">
        <v>0</v>
      </c>
      <c r="K237" s="20"/>
      <c r="L237" s="20"/>
      <c r="M237" s="21">
        <f t="shared" si="24"/>
        <v>0</v>
      </c>
      <c r="N237" s="23">
        <f t="shared" si="25"/>
        <v>0</v>
      </c>
      <c r="Q237" s="44"/>
      <c r="R237" s="43"/>
    </row>
    <row r="238" spans="1:18" x14ac:dyDescent="0.25">
      <c r="A238" s="17">
        <v>47</v>
      </c>
      <c r="B238" s="17">
        <v>2440</v>
      </c>
      <c r="C238" s="18" t="s">
        <v>54</v>
      </c>
      <c r="D238" s="19">
        <v>-28428820.989999998</v>
      </c>
      <c r="E238" s="20">
        <v>-1671045.59</v>
      </c>
      <c r="F238" s="20"/>
      <c r="G238" s="21">
        <f t="shared" si="23"/>
        <v>-30099866.579999998</v>
      </c>
      <c r="H238" s="21">
        <v>0</v>
      </c>
      <c r="I238" s="2"/>
      <c r="J238" s="22">
        <v>2066310.3800000001</v>
      </c>
      <c r="K238" s="20">
        <v>698339.42</v>
      </c>
      <c r="L238" s="20"/>
      <c r="M238" s="21">
        <f t="shared" si="24"/>
        <v>2764649.8000000003</v>
      </c>
      <c r="N238" s="23">
        <f t="shared" si="25"/>
        <v>-27335216.779999997</v>
      </c>
      <c r="Q238" s="44"/>
      <c r="R238" s="43"/>
    </row>
    <row r="239" spans="1:18" x14ac:dyDescent="0.25">
      <c r="A239" s="26"/>
      <c r="B239" s="26">
        <v>2005</v>
      </c>
      <c r="C239" s="27" t="s">
        <v>55</v>
      </c>
      <c r="D239" s="19">
        <v>400849</v>
      </c>
      <c r="E239" s="28"/>
      <c r="F239" s="28"/>
      <c r="G239" s="21">
        <f t="shared" si="23"/>
        <v>400849</v>
      </c>
      <c r="H239" s="21">
        <v>0</v>
      </c>
      <c r="I239" s="2"/>
      <c r="J239" s="22">
        <v>-400849</v>
      </c>
      <c r="K239" s="28"/>
      <c r="L239" s="28"/>
      <c r="M239" s="21">
        <f t="shared" si="24"/>
        <v>-400849</v>
      </c>
      <c r="N239" s="23">
        <f t="shared" si="25"/>
        <v>0</v>
      </c>
      <c r="Q239" s="44"/>
      <c r="R239" s="43"/>
    </row>
    <row r="240" spans="1:18" x14ac:dyDescent="0.25">
      <c r="A240" s="26"/>
      <c r="B240" s="26"/>
      <c r="C240" s="29" t="s">
        <v>56</v>
      </c>
      <c r="D240" s="30">
        <f>SUM(D199:D239)</f>
        <v>241315290.52999997</v>
      </c>
      <c r="E240" s="30">
        <f>SUM(E199:E239)</f>
        <v>18552999.989999998</v>
      </c>
      <c r="F240" s="30">
        <f>SUM(F199:F239)</f>
        <v>0</v>
      </c>
      <c r="G240" s="30">
        <f>SUM(G199:G239)</f>
        <v>259868290.52000004</v>
      </c>
      <c r="H240" s="30">
        <f>SUM(H199:H239)</f>
        <v>0</v>
      </c>
      <c r="I240" s="31"/>
      <c r="J240" s="30">
        <f>SUM(J199:J239)</f>
        <v>-68207281.37000002</v>
      </c>
      <c r="K240" s="30">
        <f>SUM(K199:K239)</f>
        <v>-8101851.5899999999</v>
      </c>
      <c r="L240" s="30">
        <f>SUM(L199:L239)</f>
        <v>0</v>
      </c>
      <c r="M240" s="30">
        <f>SUM(M199:M239)</f>
        <v>-76309132.959999979</v>
      </c>
      <c r="N240" s="30">
        <f>SUM(N199:N239)</f>
        <v>183559157.55999997</v>
      </c>
    </row>
    <row r="241" spans="1:14" ht="37.5" x14ac:dyDescent="0.25">
      <c r="A241" s="26"/>
      <c r="B241" s="26"/>
      <c r="C241" s="32" t="s">
        <v>57</v>
      </c>
      <c r="D241" s="28"/>
      <c r="E241" s="28"/>
      <c r="F241" s="28"/>
      <c r="G241" s="21">
        <f>D241+E241+F241</f>
        <v>0</v>
      </c>
      <c r="H241" s="21"/>
      <c r="I241" s="2"/>
      <c r="J241" s="28"/>
      <c r="K241" s="28"/>
      <c r="L241" s="28"/>
      <c r="M241" s="21">
        <f>J241+K241+L241</f>
        <v>0</v>
      </c>
      <c r="N241" s="23">
        <f>G241+M241</f>
        <v>0</v>
      </c>
    </row>
    <row r="242" spans="1:14" ht="25.5" x14ac:dyDescent="0.25">
      <c r="A242" s="26"/>
      <c r="B242" s="26"/>
      <c r="C242" s="33" t="s">
        <v>58</v>
      </c>
      <c r="D242" s="28"/>
      <c r="E242" s="28"/>
      <c r="F242" s="28"/>
      <c r="G242" s="21">
        <f>D242+E242+F242</f>
        <v>0</v>
      </c>
      <c r="H242" s="21"/>
      <c r="I242" s="2"/>
      <c r="J242" s="28"/>
      <c r="K242" s="28"/>
      <c r="L242" s="28"/>
      <c r="M242" s="21">
        <f>J242+K242+L242</f>
        <v>0</v>
      </c>
      <c r="N242" s="23">
        <f>G242+M242</f>
        <v>0</v>
      </c>
    </row>
    <row r="243" spans="1:14" x14ac:dyDescent="0.25">
      <c r="A243" s="26"/>
      <c r="B243" s="26"/>
      <c r="C243" s="29" t="s">
        <v>59</v>
      </c>
      <c r="D243" s="30">
        <f>SUM(D240:D242)</f>
        <v>241315290.52999997</v>
      </c>
      <c r="E243" s="30">
        <f>SUM(E240:E242)</f>
        <v>18552999.989999998</v>
      </c>
      <c r="F243" s="30">
        <f>SUM(F240:F242)</f>
        <v>0</v>
      </c>
      <c r="G243" s="30">
        <f>SUM(G240:G242)</f>
        <v>259868290.52000004</v>
      </c>
      <c r="H243" s="21"/>
      <c r="I243" s="31"/>
      <c r="J243" s="30">
        <f>SUM(J240:J242)</f>
        <v>-68207281.37000002</v>
      </c>
      <c r="K243" s="30">
        <f>SUM(K240:K242)</f>
        <v>-8101851.5899999999</v>
      </c>
      <c r="L243" s="30">
        <f>SUM(L240:L242)</f>
        <v>0</v>
      </c>
      <c r="M243" s="30">
        <f>SUM(M240:M242)</f>
        <v>-76309132.959999979</v>
      </c>
      <c r="N243" s="30">
        <f>SUM(N240:N242)</f>
        <v>183559157.55999997</v>
      </c>
    </row>
    <row r="244" spans="1:14" x14ac:dyDescent="0.25">
      <c r="A244" s="26"/>
      <c r="B244" s="26"/>
      <c r="C244" s="34" t="s">
        <v>60</v>
      </c>
      <c r="D244" s="20">
        <f>G180</f>
        <v>550000</v>
      </c>
      <c r="E244" s="20">
        <v>550000</v>
      </c>
      <c r="F244" s="20">
        <v>-550000</v>
      </c>
      <c r="G244" s="21">
        <f t="shared" ref="G244" si="26">D244+E244+F244</f>
        <v>550000</v>
      </c>
      <c r="H244" s="21">
        <v>0</v>
      </c>
      <c r="I244" s="24"/>
      <c r="J244" s="2"/>
      <c r="K244" s="2"/>
      <c r="L244" s="2"/>
      <c r="M244" s="21">
        <f t="shared" ref="M244" si="27">J244+K244+L244</f>
        <v>0</v>
      </c>
      <c r="N244" s="23">
        <f t="shared" ref="N244" si="28">G244+M244</f>
        <v>550000</v>
      </c>
    </row>
    <row r="245" spans="1:14" x14ac:dyDescent="0.25">
      <c r="A245" s="26"/>
      <c r="B245" s="26"/>
      <c r="C245" s="34" t="s">
        <v>61</v>
      </c>
      <c r="D245" s="30">
        <f>SUM(D243:D244)</f>
        <v>241865290.52999997</v>
      </c>
      <c r="E245" s="30">
        <f t="shared" ref="E245:N245" si="29">SUM(E243:E244)</f>
        <v>19102999.989999998</v>
      </c>
      <c r="F245" s="30">
        <f t="shared" si="29"/>
        <v>-550000</v>
      </c>
      <c r="G245" s="30">
        <f t="shared" si="29"/>
        <v>260418290.52000004</v>
      </c>
      <c r="H245" s="30">
        <f t="shared" si="29"/>
        <v>0</v>
      </c>
      <c r="I245" s="30">
        <f t="shared" si="29"/>
        <v>0</v>
      </c>
      <c r="J245" s="30">
        <f t="shared" si="29"/>
        <v>-68207281.37000002</v>
      </c>
      <c r="K245" s="30">
        <f t="shared" si="29"/>
        <v>-8101851.5899999999</v>
      </c>
      <c r="L245" s="30">
        <f t="shared" si="29"/>
        <v>0</v>
      </c>
      <c r="M245" s="30">
        <f t="shared" si="29"/>
        <v>-76309132.959999979</v>
      </c>
      <c r="N245" s="30">
        <f t="shared" si="29"/>
        <v>184109157.55999997</v>
      </c>
    </row>
    <row r="246" spans="1:14" x14ac:dyDescent="0.25">
      <c r="A246" s="26"/>
      <c r="B246" s="26"/>
      <c r="C246" s="326" t="s">
        <v>62</v>
      </c>
      <c r="D246" s="327"/>
      <c r="E246" s="327"/>
      <c r="F246" s="327"/>
      <c r="G246" s="327"/>
      <c r="H246" s="327"/>
      <c r="I246" s="327"/>
      <c r="J246" s="328"/>
      <c r="K246" s="28"/>
      <c r="L246" s="2"/>
      <c r="M246" s="35"/>
      <c r="N246" s="36"/>
    </row>
    <row r="247" spans="1:14" x14ac:dyDescent="0.25">
      <c r="A247" s="26"/>
      <c r="B247" s="26"/>
      <c r="C247" s="326" t="s">
        <v>63</v>
      </c>
      <c r="D247" s="327"/>
      <c r="E247" s="327"/>
      <c r="F247" s="327"/>
      <c r="G247" s="327"/>
      <c r="H247" s="327"/>
      <c r="I247" s="327"/>
      <c r="J247" s="328"/>
      <c r="K247" s="30">
        <f>K245+K246</f>
        <v>-8101851.5899999999</v>
      </c>
      <c r="L247" s="2"/>
      <c r="M247" s="35"/>
      <c r="N247" s="36"/>
    </row>
    <row r="248" spans="1:14" x14ac:dyDescent="0.25">
      <c r="A248" s="1"/>
      <c r="B248" s="1"/>
      <c r="C248" s="2"/>
      <c r="D248" s="37" t="s">
        <v>72</v>
      </c>
      <c r="E248" s="2"/>
      <c r="F248" s="2"/>
      <c r="G248" s="36">
        <f>AVERAGE(D243,G243)</f>
        <v>250591790.52500001</v>
      </c>
      <c r="H248" s="2"/>
      <c r="I248" s="2"/>
      <c r="J248" s="37" t="s">
        <v>73</v>
      </c>
      <c r="K248" s="2"/>
      <c r="L248" s="2"/>
      <c r="M248" s="36">
        <f>AVERAGE(J243,M243)</f>
        <v>-72258207.164999992</v>
      </c>
      <c r="N248" s="2"/>
    </row>
    <row r="249" spans="1:14" x14ac:dyDescent="0.25">
      <c r="A249" s="1"/>
      <c r="B249" s="1"/>
      <c r="C249" s="2"/>
      <c r="D249" s="37"/>
      <c r="E249" s="2"/>
      <c r="F249" s="2"/>
      <c r="G249" s="36"/>
      <c r="H249" s="2"/>
      <c r="I249" s="2"/>
      <c r="J249" s="37" t="s">
        <v>74</v>
      </c>
      <c r="K249" s="2"/>
      <c r="L249" s="2"/>
      <c r="M249" s="36">
        <f>G248+M248</f>
        <v>178333583.36000001</v>
      </c>
      <c r="N249" s="2"/>
    </row>
    <row r="250" spans="1:14" x14ac:dyDescent="0.25">
      <c r="A250" s="1"/>
      <c r="B250" s="1"/>
      <c r="C250" s="2"/>
      <c r="D250" s="2"/>
      <c r="E250" s="2"/>
      <c r="F250" s="2"/>
      <c r="G250" s="2"/>
      <c r="H250" s="2"/>
      <c r="I250" s="2"/>
      <c r="J250" s="2" t="s">
        <v>67</v>
      </c>
      <c r="K250" s="2"/>
      <c r="L250" s="2"/>
      <c r="M250" s="2"/>
      <c r="N250" s="2"/>
    </row>
    <row r="251" spans="1:14" x14ac:dyDescent="0.25">
      <c r="A251" s="26">
        <v>10</v>
      </c>
      <c r="B251" s="26"/>
      <c r="C251" s="38" t="s">
        <v>68</v>
      </c>
      <c r="D251" s="39"/>
      <c r="E251" s="39"/>
      <c r="F251" s="39"/>
      <c r="G251" s="39"/>
      <c r="H251" s="39"/>
      <c r="I251" s="39"/>
      <c r="J251" s="39" t="s">
        <v>68</v>
      </c>
      <c r="K251" s="39"/>
      <c r="L251" s="40">
        <v>-516652.54680000007</v>
      </c>
      <c r="M251" s="2"/>
      <c r="N251" s="2"/>
    </row>
    <row r="252" spans="1:14" x14ac:dyDescent="0.25">
      <c r="A252" s="26">
        <v>8</v>
      </c>
      <c r="B252" s="26"/>
      <c r="C252" s="38" t="s">
        <v>69</v>
      </c>
      <c r="D252" s="39"/>
      <c r="E252" s="39"/>
      <c r="F252" s="39"/>
      <c r="G252" s="39"/>
      <c r="H252" s="39"/>
      <c r="I252" s="39"/>
      <c r="J252" s="39" t="s">
        <v>69</v>
      </c>
      <c r="K252" s="39"/>
      <c r="L252" s="40">
        <v>-228659</v>
      </c>
      <c r="M252" s="2"/>
      <c r="N252" s="2"/>
    </row>
    <row r="253" spans="1:14" x14ac:dyDescent="0.25">
      <c r="A253" s="26">
        <v>47</v>
      </c>
      <c r="B253" s="26"/>
      <c r="C253" s="38" t="s">
        <v>70</v>
      </c>
      <c r="D253" s="39"/>
      <c r="E253" s="39"/>
      <c r="F253" s="39"/>
      <c r="G253" s="39"/>
      <c r="H253" s="39"/>
      <c r="I253" s="39"/>
      <c r="J253" s="39" t="s">
        <v>70</v>
      </c>
      <c r="K253" s="39"/>
      <c r="L253" s="40">
        <f>K238</f>
        <v>698339.42</v>
      </c>
      <c r="M253" s="2"/>
      <c r="N253" s="2"/>
    </row>
    <row r="254" spans="1:14" x14ac:dyDescent="0.25">
      <c r="A254" s="1"/>
      <c r="B254" s="1"/>
      <c r="C254" s="2"/>
      <c r="D254" s="2"/>
      <c r="E254" s="2"/>
      <c r="F254" s="2"/>
      <c r="G254" s="2"/>
      <c r="H254" s="2"/>
      <c r="I254" s="2"/>
      <c r="J254" s="332" t="s">
        <v>71</v>
      </c>
      <c r="K254" s="333"/>
      <c r="L254" s="41">
        <f>K247-L251-L252-L253</f>
        <v>-8054879.4632000001</v>
      </c>
      <c r="M254" s="2"/>
      <c r="N254" s="2"/>
    </row>
  </sheetData>
  <mergeCells count="18">
    <mergeCell ref="D197:H197"/>
    <mergeCell ref="C246:J246"/>
    <mergeCell ref="C247:J247"/>
    <mergeCell ref="J254:K254"/>
    <mergeCell ref="C183:J183"/>
    <mergeCell ref="D184:F184"/>
    <mergeCell ref="J190:K190"/>
    <mergeCell ref="C182:J182"/>
    <mergeCell ref="D69:H69"/>
    <mergeCell ref="D5:H5"/>
    <mergeCell ref="C54:J54"/>
    <mergeCell ref="C55:J55"/>
    <mergeCell ref="J62:K62"/>
    <mergeCell ref="C118:J118"/>
    <mergeCell ref="C119:J119"/>
    <mergeCell ref="D120:F120"/>
    <mergeCell ref="J126:K126"/>
    <mergeCell ref="D133:H133"/>
  </mergeCells>
  <dataValidations disablePrompts="1" count="1">
    <dataValidation type="list" allowBlank="1" showErrorMessage="1" error="Use the following date format when inserting a date:_x000a__x000a_Eg:  &quot;January 1, 2013&quot;" prompt="Use the following format eg: January 1, 2013" sqref="F2 F66 F130 F194" xr:uid="{AF7509C7-3319-4E37-8A29-F18AF282FB47}">
      <formula1>"CGAAP, MIFRS,USGAAP, ASPE"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A68F-6920-4007-9D9A-669DD3010E47}">
  <sheetPr codeName="Sheet2">
    <pageSetUpPr fitToPage="1"/>
  </sheetPr>
  <dimension ref="A1:R20"/>
  <sheetViews>
    <sheetView workbookViewId="0"/>
  </sheetViews>
  <sheetFormatPr defaultRowHeight="15" x14ac:dyDescent="0.25"/>
  <cols>
    <col min="1" max="1" width="5.42578125" customWidth="1"/>
    <col min="2" max="2" width="37.7109375" customWidth="1"/>
    <col min="3" max="3" width="11.5703125" customWidth="1"/>
    <col min="4" max="18" width="12" customWidth="1"/>
  </cols>
  <sheetData>
    <row r="1" spans="1:18" ht="60" x14ac:dyDescent="0.25">
      <c r="A1" s="46" t="s">
        <v>75</v>
      </c>
      <c r="B1" s="47" t="s">
        <v>76</v>
      </c>
      <c r="C1" s="48"/>
      <c r="D1" s="49" t="s">
        <v>77</v>
      </c>
      <c r="E1" s="49" t="s">
        <v>78</v>
      </c>
      <c r="F1" s="49" t="s">
        <v>79</v>
      </c>
      <c r="G1" s="49" t="s">
        <v>80</v>
      </c>
      <c r="H1" s="50" t="s">
        <v>81</v>
      </c>
      <c r="I1" s="50" t="s">
        <v>82</v>
      </c>
      <c r="J1" s="50" t="s">
        <v>83</v>
      </c>
      <c r="K1" s="50" t="s">
        <v>84</v>
      </c>
      <c r="L1" s="51" t="s">
        <v>272</v>
      </c>
      <c r="M1" s="50" t="s">
        <v>85</v>
      </c>
      <c r="N1" s="51" t="s">
        <v>273</v>
      </c>
      <c r="O1" s="50" t="s">
        <v>86</v>
      </c>
      <c r="P1" s="51" t="s">
        <v>274</v>
      </c>
      <c r="Q1" s="50" t="s">
        <v>87</v>
      </c>
      <c r="R1" s="52" t="s">
        <v>88</v>
      </c>
    </row>
    <row r="2" spans="1:18" x14ac:dyDescent="0.25">
      <c r="A2" s="53">
        <v>1</v>
      </c>
      <c r="B2" s="54" t="s">
        <v>89</v>
      </c>
      <c r="C2" s="54"/>
      <c r="D2" s="54"/>
      <c r="E2" s="54"/>
      <c r="F2" s="54"/>
      <c r="G2" s="54"/>
      <c r="H2" s="55"/>
      <c r="I2" s="55"/>
      <c r="J2" s="55"/>
      <c r="K2" s="55"/>
      <c r="L2" s="56"/>
      <c r="M2" s="55"/>
      <c r="N2" s="57"/>
      <c r="O2" s="58"/>
      <c r="P2" s="57"/>
      <c r="Q2" s="58"/>
      <c r="R2" s="59"/>
    </row>
    <row r="3" spans="1:18" x14ac:dyDescent="0.25">
      <c r="A3" s="60">
        <v>2</v>
      </c>
      <c r="B3" s="61" t="s">
        <v>90</v>
      </c>
      <c r="C3" s="61" t="s">
        <v>91</v>
      </c>
      <c r="D3" s="62">
        <v>24.1</v>
      </c>
      <c r="E3" s="62">
        <v>25.88333333333334</v>
      </c>
      <c r="F3" s="62">
        <v>27.493333333333336</v>
      </c>
      <c r="G3" s="62">
        <v>26.336111111111112</v>
      </c>
      <c r="H3" s="63">
        <v>24.93333333333333</v>
      </c>
      <c r="I3" s="63">
        <v>25.493333333333336</v>
      </c>
      <c r="J3" s="63">
        <v>26.876666666666669</v>
      </c>
      <c r="K3" s="63">
        <v>29.127499999999998</v>
      </c>
      <c r="L3" s="64">
        <v>29.236666666666668</v>
      </c>
      <c r="M3" s="63">
        <v>29.236666666666668</v>
      </c>
      <c r="N3" s="64">
        <v>32.736666666666672</v>
      </c>
      <c r="O3" s="63">
        <v>32.736666666666672</v>
      </c>
      <c r="P3" s="64">
        <v>33.436666666666667</v>
      </c>
      <c r="Q3" s="63">
        <v>33.936666666666667</v>
      </c>
      <c r="R3" s="65">
        <v>33.97</v>
      </c>
    </row>
    <row r="4" spans="1:18" x14ac:dyDescent="0.25">
      <c r="A4" s="60">
        <v>3</v>
      </c>
      <c r="B4" s="61" t="s">
        <v>92</v>
      </c>
      <c r="C4" s="61" t="s">
        <v>93</v>
      </c>
      <c r="D4" s="62">
        <v>81.09</v>
      </c>
      <c r="E4" s="62">
        <v>81.69000000000004</v>
      </c>
      <c r="F4" s="62">
        <v>80.786666666666662</v>
      </c>
      <c r="G4" s="62">
        <v>79.476666666666645</v>
      </c>
      <c r="H4" s="63">
        <v>83.28083333333332</v>
      </c>
      <c r="I4" s="63">
        <v>84.026666666666671</v>
      </c>
      <c r="J4" s="63">
        <v>78.416666666666657</v>
      </c>
      <c r="K4" s="63">
        <v>81.123333333333349</v>
      </c>
      <c r="L4" s="64">
        <v>83.01</v>
      </c>
      <c r="M4" s="63">
        <v>83.135000000000005</v>
      </c>
      <c r="N4" s="64">
        <v>88.643333333333345</v>
      </c>
      <c r="O4" s="63">
        <v>88.643333333333345</v>
      </c>
      <c r="P4" s="64">
        <v>93.629166666666663</v>
      </c>
      <c r="Q4" s="63">
        <v>93.629166666666663</v>
      </c>
      <c r="R4" s="65">
        <v>94.23333333333332</v>
      </c>
    </row>
    <row r="5" spans="1:18" x14ac:dyDescent="0.25">
      <c r="A5" s="66">
        <v>4</v>
      </c>
      <c r="B5" s="67" t="s">
        <v>63</v>
      </c>
      <c r="C5" s="67"/>
      <c r="D5" s="68">
        <f t="shared" ref="D5:K5" si="0">SUM(D3:D4)</f>
        <v>105.19</v>
      </c>
      <c r="E5" s="68">
        <f t="shared" si="0"/>
        <v>107.57333333333338</v>
      </c>
      <c r="F5" s="68">
        <f t="shared" si="0"/>
        <v>108.28</v>
      </c>
      <c r="G5" s="68">
        <f t="shared" si="0"/>
        <v>105.81277777777775</v>
      </c>
      <c r="H5" s="68">
        <f t="shared" si="0"/>
        <v>108.21416666666664</v>
      </c>
      <c r="I5" s="68">
        <f t="shared" si="0"/>
        <v>109.52000000000001</v>
      </c>
      <c r="J5" s="68">
        <f t="shared" si="0"/>
        <v>105.29333333333332</v>
      </c>
      <c r="K5" s="68">
        <f t="shared" si="0"/>
        <v>110.25083333333335</v>
      </c>
      <c r="L5" s="68">
        <f t="shared" ref="L5:R5" si="1">SUM(L3:L4)</f>
        <v>112.24666666666667</v>
      </c>
      <c r="M5" s="68">
        <f t="shared" si="1"/>
        <v>112.37166666666667</v>
      </c>
      <c r="N5" s="68">
        <f t="shared" si="1"/>
        <v>121.38000000000002</v>
      </c>
      <c r="O5" s="68">
        <f t="shared" si="1"/>
        <v>121.38000000000002</v>
      </c>
      <c r="P5" s="68">
        <f t="shared" si="1"/>
        <v>127.06583333333333</v>
      </c>
      <c r="Q5" s="68">
        <f t="shared" si="1"/>
        <v>127.56583333333333</v>
      </c>
      <c r="R5" s="69">
        <f t="shared" si="1"/>
        <v>128.20333333333332</v>
      </c>
    </row>
    <row r="6" spans="1:18" x14ac:dyDescent="0.25">
      <c r="A6" s="70">
        <v>5</v>
      </c>
      <c r="B6" s="71" t="s">
        <v>94</v>
      </c>
      <c r="C6" s="71"/>
      <c r="D6" s="71"/>
      <c r="E6" s="71"/>
      <c r="F6" s="71"/>
      <c r="G6" s="71"/>
      <c r="H6" s="72"/>
      <c r="I6" s="72"/>
      <c r="J6" s="72"/>
      <c r="K6" s="72"/>
      <c r="L6" s="73"/>
      <c r="M6" s="72"/>
      <c r="N6" s="73"/>
      <c r="O6" s="72"/>
      <c r="P6" s="73"/>
      <c r="Q6" s="72"/>
      <c r="R6" s="74"/>
    </row>
    <row r="7" spans="1:18" x14ac:dyDescent="0.25">
      <c r="A7" s="60">
        <v>6</v>
      </c>
      <c r="B7" s="61" t="s">
        <v>90</v>
      </c>
      <c r="C7" s="61" t="s">
        <v>91</v>
      </c>
      <c r="D7" s="75">
        <v>2838586.852</v>
      </c>
      <c r="E7" s="75">
        <v>3398159.6354999999</v>
      </c>
      <c r="F7" s="75">
        <v>3682875.1790999998</v>
      </c>
      <c r="G7" s="75">
        <v>3600853.8103583343</v>
      </c>
      <c r="H7" s="76">
        <v>3597763.3227870371</v>
      </c>
      <c r="I7" s="76">
        <v>3789285.9570833351</v>
      </c>
      <c r="J7" s="76">
        <v>3913966.635100001</v>
      </c>
      <c r="K7" s="76">
        <v>4389401.8810000001</v>
      </c>
      <c r="L7" s="77">
        <v>3983099.7203333336</v>
      </c>
      <c r="M7" s="76">
        <v>4779719.6644000001</v>
      </c>
      <c r="N7" s="77">
        <v>4429660.8233333332</v>
      </c>
      <c r="O7" s="76">
        <v>5315592.9879999999</v>
      </c>
      <c r="P7" s="77">
        <v>4859661.5017999988</v>
      </c>
      <c r="Q7" s="76">
        <v>5705405.5611899989</v>
      </c>
      <c r="R7" s="78">
        <v>5877482.9871256994</v>
      </c>
    </row>
    <row r="8" spans="1:18" x14ac:dyDescent="0.25">
      <c r="A8" s="60">
        <v>7</v>
      </c>
      <c r="B8" s="61" t="s">
        <v>92</v>
      </c>
      <c r="C8" s="61" t="s">
        <v>93</v>
      </c>
      <c r="D8" s="75">
        <v>5817024.7319999998</v>
      </c>
      <c r="E8" s="75">
        <v>6233641.6369500039</v>
      </c>
      <c r="F8" s="75">
        <v>6089239.526300001</v>
      </c>
      <c r="G8" s="75">
        <v>6365444.7113500005</v>
      </c>
      <c r="H8" s="76">
        <v>6838811.2455425924</v>
      </c>
      <c r="I8" s="76">
        <v>7548023.3867870383</v>
      </c>
      <c r="J8" s="76">
        <v>7020000.2396000018</v>
      </c>
      <c r="K8" s="76">
        <v>7428060.6232000012</v>
      </c>
      <c r="L8" s="77">
        <v>6492698.6417500032</v>
      </c>
      <c r="M8" s="76">
        <v>7793017.9101000028</v>
      </c>
      <c r="N8" s="77">
        <v>6918839.0391666656</v>
      </c>
      <c r="O8" s="76">
        <v>8302606.8469999982</v>
      </c>
      <c r="P8" s="77">
        <v>8035648.7648999998</v>
      </c>
      <c r="Q8" s="76">
        <v>9306905.3980384953</v>
      </c>
      <c r="R8" s="78">
        <v>9574190.8632851373</v>
      </c>
    </row>
    <row r="9" spans="1:18" x14ac:dyDescent="0.25">
      <c r="A9" s="66">
        <v>8</v>
      </c>
      <c r="B9" s="67" t="s">
        <v>63</v>
      </c>
      <c r="C9" s="67"/>
      <c r="D9" s="79">
        <f>SUM(D7:D8)</f>
        <v>8655611.5839999989</v>
      </c>
      <c r="E9" s="79">
        <f t="shared" ref="E9:R9" si="2">SUM(E7:E8)</f>
        <v>9631801.2724500038</v>
      </c>
      <c r="F9" s="79">
        <f t="shared" si="2"/>
        <v>9772114.7054000013</v>
      </c>
      <c r="G9" s="79">
        <f t="shared" si="2"/>
        <v>9966298.5217083357</v>
      </c>
      <c r="H9" s="79">
        <f t="shared" si="2"/>
        <v>10436574.568329629</v>
      </c>
      <c r="I9" s="79">
        <f t="shared" si="2"/>
        <v>11337309.343870373</v>
      </c>
      <c r="J9" s="79">
        <f t="shared" si="2"/>
        <v>10933966.874700002</v>
      </c>
      <c r="K9" s="79">
        <f t="shared" si="2"/>
        <v>11817462.5042</v>
      </c>
      <c r="L9" s="79">
        <f t="shared" si="2"/>
        <v>10475798.362083336</v>
      </c>
      <c r="M9" s="79">
        <f t="shared" si="2"/>
        <v>12572737.574500002</v>
      </c>
      <c r="N9" s="79">
        <f t="shared" si="2"/>
        <v>11348499.862499999</v>
      </c>
      <c r="O9" s="79">
        <f t="shared" si="2"/>
        <v>13618199.834999997</v>
      </c>
      <c r="P9" s="79">
        <f t="shared" si="2"/>
        <v>12895310.2667</v>
      </c>
      <c r="Q9" s="79">
        <f t="shared" si="2"/>
        <v>15012310.959228493</v>
      </c>
      <c r="R9" s="80">
        <f t="shared" si="2"/>
        <v>15451673.850410838</v>
      </c>
    </row>
    <row r="10" spans="1:18" x14ac:dyDescent="0.25">
      <c r="A10" s="70">
        <v>9</v>
      </c>
      <c r="B10" s="71" t="s">
        <v>95</v>
      </c>
      <c r="C10" s="71"/>
      <c r="D10" s="81"/>
      <c r="E10" s="81"/>
      <c r="F10" s="81"/>
      <c r="G10" s="81"/>
      <c r="H10" s="82"/>
      <c r="I10" s="82"/>
      <c r="J10" s="82"/>
      <c r="K10" s="82"/>
      <c r="L10" s="83"/>
      <c r="M10" s="82"/>
      <c r="N10" s="83"/>
      <c r="O10" s="82"/>
      <c r="P10" s="83"/>
      <c r="Q10" s="82"/>
      <c r="R10" s="84"/>
    </row>
    <row r="11" spans="1:18" x14ac:dyDescent="0.25">
      <c r="A11" s="60">
        <v>10</v>
      </c>
      <c r="B11" s="61" t="s">
        <v>90</v>
      </c>
      <c r="C11" s="61" t="s">
        <v>91</v>
      </c>
      <c r="D11" s="75">
        <v>641943.44400000002</v>
      </c>
      <c r="E11" s="75">
        <v>791702.58063159313</v>
      </c>
      <c r="F11" s="75">
        <v>874775.82844178821</v>
      </c>
      <c r="G11" s="75">
        <v>891843.26790740527</v>
      </c>
      <c r="H11" s="76">
        <v>834578.85893831402</v>
      </c>
      <c r="I11" s="76">
        <v>795920.86809668085</v>
      </c>
      <c r="J11" s="76">
        <v>875450.13675720023</v>
      </c>
      <c r="K11" s="76">
        <v>998916.81624801073</v>
      </c>
      <c r="L11" s="77">
        <v>895927.58206894749</v>
      </c>
      <c r="M11" s="76">
        <v>1075113.0984827369</v>
      </c>
      <c r="N11" s="77">
        <v>1027886.847275536</v>
      </c>
      <c r="O11" s="76">
        <v>1233464.2167306433</v>
      </c>
      <c r="P11" s="77">
        <v>1290876.7443846359</v>
      </c>
      <c r="Q11" s="76">
        <v>1426965.2919358842</v>
      </c>
      <c r="R11" s="78">
        <v>1517948.7314183179</v>
      </c>
    </row>
    <row r="12" spans="1:18" x14ac:dyDescent="0.25">
      <c r="A12" s="60">
        <v>11</v>
      </c>
      <c r="B12" s="61" t="s">
        <v>92</v>
      </c>
      <c r="C12" s="61" t="s">
        <v>93</v>
      </c>
      <c r="D12" s="75">
        <v>1355325.746</v>
      </c>
      <c r="E12" s="75">
        <v>1464398.5387703816</v>
      </c>
      <c r="F12" s="75">
        <v>1446762.8965771974</v>
      </c>
      <c r="G12" s="75">
        <v>1576564.7016059665</v>
      </c>
      <c r="H12" s="76">
        <v>1607947.111939894</v>
      </c>
      <c r="I12" s="76">
        <v>1653381.1907830352</v>
      </c>
      <c r="J12" s="76">
        <v>1586173.9681377888</v>
      </c>
      <c r="K12" s="76">
        <v>1690438.6679065526</v>
      </c>
      <c r="L12" s="77">
        <v>1448771.1290252407</v>
      </c>
      <c r="M12" s="76">
        <v>1738925.6307664539</v>
      </c>
      <c r="N12" s="77">
        <v>1605491.6912180847</v>
      </c>
      <c r="O12" s="76">
        <v>1926590.0294617016</v>
      </c>
      <c r="P12" s="77">
        <v>2125474.5754681816</v>
      </c>
      <c r="Q12" s="76">
        <v>2327727.7725304537</v>
      </c>
      <c r="R12" s="78">
        <v>2472679.3607254233</v>
      </c>
    </row>
    <row r="13" spans="1:18" x14ac:dyDescent="0.25">
      <c r="A13" s="66">
        <v>12</v>
      </c>
      <c r="B13" s="67" t="s">
        <v>63</v>
      </c>
      <c r="C13" s="67"/>
      <c r="D13" s="79">
        <f>SUM(D11:D12)</f>
        <v>1997269.19</v>
      </c>
      <c r="E13" s="79">
        <f t="shared" ref="E13:R13" si="3">SUM(E11:E12)</f>
        <v>2256101.1194019746</v>
      </c>
      <c r="F13" s="79">
        <f t="shared" si="3"/>
        <v>2321538.7250189856</v>
      </c>
      <c r="G13" s="79">
        <f t="shared" si="3"/>
        <v>2468407.9695133716</v>
      </c>
      <c r="H13" s="79">
        <f t="shared" si="3"/>
        <v>2442525.9708782081</v>
      </c>
      <c r="I13" s="79">
        <f t="shared" si="3"/>
        <v>2449302.0588797163</v>
      </c>
      <c r="J13" s="79">
        <f t="shared" si="3"/>
        <v>2461624.1048949892</v>
      </c>
      <c r="K13" s="79">
        <f t="shared" si="3"/>
        <v>2689355.4841545634</v>
      </c>
      <c r="L13" s="79">
        <f t="shared" si="3"/>
        <v>2344698.711094188</v>
      </c>
      <c r="M13" s="79">
        <f t="shared" si="3"/>
        <v>2814038.7292491905</v>
      </c>
      <c r="N13" s="79">
        <f t="shared" si="3"/>
        <v>2633378.5384936207</v>
      </c>
      <c r="O13" s="79">
        <f t="shared" si="3"/>
        <v>3160054.2461923449</v>
      </c>
      <c r="P13" s="79">
        <f t="shared" si="3"/>
        <v>3416351.3198528178</v>
      </c>
      <c r="Q13" s="79">
        <f t="shared" si="3"/>
        <v>3754693.0644663377</v>
      </c>
      <c r="R13" s="80">
        <f t="shared" si="3"/>
        <v>3990628.0921437414</v>
      </c>
    </row>
    <row r="14" spans="1:18" x14ac:dyDescent="0.25">
      <c r="A14" s="70">
        <v>13</v>
      </c>
      <c r="B14" s="71" t="s">
        <v>96</v>
      </c>
      <c r="C14" s="71"/>
      <c r="D14" s="81"/>
      <c r="E14" s="81"/>
      <c r="F14" s="81"/>
      <c r="G14" s="81"/>
      <c r="H14" s="82"/>
      <c r="I14" s="82"/>
      <c r="J14" s="82"/>
      <c r="K14" s="82"/>
      <c r="L14" s="83"/>
      <c r="M14" s="82"/>
      <c r="N14" s="83"/>
      <c r="O14" s="82"/>
      <c r="P14" s="83"/>
      <c r="Q14" s="82"/>
      <c r="R14" s="84"/>
    </row>
    <row r="15" spans="1:18" x14ac:dyDescent="0.25">
      <c r="A15" s="60">
        <v>14</v>
      </c>
      <c r="B15" s="61" t="s">
        <v>90</v>
      </c>
      <c r="C15" s="61" t="s">
        <v>91</v>
      </c>
      <c r="D15" s="75">
        <v>3480530.2960000001</v>
      </c>
      <c r="E15" s="75">
        <v>4189862.2161315931</v>
      </c>
      <c r="F15" s="75">
        <v>4557651.0075417878</v>
      </c>
      <c r="G15" s="75">
        <v>4492697.0782657396</v>
      </c>
      <c r="H15" s="76">
        <v>4432342.1817253511</v>
      </c>
      <c r="I15" s="76">
        <v>4585206.8251800165</v>
      </c>
      <c r="J15" s="76">
        <v>4789416.7718572011</v>
      </c>
      <c r="K15" s="76">
        <v>5388318.6972480109</v>
      </c>
      <c r="L15" s="77">
        <v>4879027.3024022812</v>
      </c>
      <c r="M15" s="76">
        <v>5854832.7628827374</v>
      </c>
      <c r="N15" s="77">
        <v>5457547.6706088688</v>
      </c>
      <c r="O15" s="76">
        <v>6549057.204730643</v>
      </c>
      <c r="P15" s="77">
        <v>6150538.246184635</v>
      </c>
      <c r="Q15" s="76">
        <v>7132370.8531258833</v>
      </c>
      <c r="R15" s="78">
        <v>7395431.7185440175</v>
      </c>
    </row>
    <row r="16" spans="1:18" x14ac:dyDescent="0.25">
      <c r="A16" s="60">
        <v>15</v>
      </c>
      <c r="B16" s="61" t="s">
        <v>92</v>
      </c>
      <c r="C16" s="61" t="s">
        <v>93</v>
      </c>
      <c r="D16" s="75">
        <v>7172350.4780000001</v>
      </c>
      <c r="E16" s="75">
        <v>7698040.1757203853</v>
      </c>
      <c r="F16" s="75">
        <v>7536002.4228771981</v>
      </c>
      <c r="G16" s="75">
        <v>7942009.4129559668</v>
      </c>
      <c r="H16" s="76">
        <v>8446758.3574824855</v>
      </c>
      <c r="I16" s="76">
        <v>9201404.5775700733</v>
      </c>
      <c r="J16" s="76">
        <v>8606174.2077377904</v>
      </c>
      <c r="K16" s="76">
        <v>9118499.2911065537</v>
      </c>
      <c r="L16" s="77">
        <v>7941469.7707752436</v>
      </c>
      <c r="M16" s="76">
        <v>9531943.5408664569</v>
      </c>
      <c r="N16" s="77">
        <v>8524330.7303847503</v>
      </c>
      <c r="O16" s="76">
        <v>10229196.8764617</v>
      </c>
      <c r="P16" s="77">
        <v>10161123.340368181</v>
      </c>
      <c r="Q16" s="76">
        <v>11634633.170568949</v>
      </c>
      <c r="R16" s="78">
        <v>12046870.224010561</v>
      </c>
    </row>
    <row r="17" spans="1:18" x14ac:dyDescent="0.25">
      <c r="A17" s="85">
        <v>16</v>
      </c>
      <c r="B17" s="86" t="s">
        <v>97</v>
      </c>
      <c r="C17" s="87"/>
      <c r="D17" s="88">
        <f>SUM(D15:D16)</f>
        <v>10652880.774</v>
      </c>
      <c r="E17" s="88">
        <f t="shared" ref="E17:R17" si="4">SUM(E15:E16)</f>
        <v>11887902.391851978</v>
      </c>
      <c r="F17" s="88">
        <f t="shared" si="4"/>
        <v>12093653.430418987</v>
      </c>
      <c r="G17" s="88">
        <f t="shared" si="4"/>
        <v>12434706.491221707</v>
      </c>
      <c r="H17" s="88">
        <f t="shared" si="4"/>
        <v>12879100.539207837</v>
      </c>
      <c r="I17" s="88">
        <f t="shared" si="4"/>
        <v>13786611.40275009</v>
      </c>
      <c r="J17" s="88">
        <f t="shared" si="4"/>
        <v>13395590.979594991</v>
      </c>
      <c r="K17" s="88">
        <f t="shared" si="4"/>
        <v>14506817.988354564</v>
      </c>
      <c r="L17" s="88">
        <f t="shared" si="4"/>
        <v>12820497.073177524</v>
      </c>
      <c r="M17" s="88">
        <f t="shared" si="4"/>
        <v>15386776.303749194</v>
      </c>
      <c r="N17" s="88">
        <f t="shared" si="4"/>
        <v>13981878.400993619</v>
      </c>
      <c r="O17" s="88">
        <f t="shared" si="4"/>
        <v>16778254.081192344</v>
      </c>
      <c r="P17" s="88">
        <f t="shared" si="4"/>
        <v>16311661.586552817</v>
      </c>
      <c r="Q17" s="88">
        <f t="shared" si="4"/>
        <v>18767004.023694832</v>
      </c>
      <c r="R17" s="89">
        <f t="shared" si="4"/>
        <v>19442301.942554578</v>
      </c>
    </row>
    <row r="18" spans="1:18" x14ac:dyDescent="0.25">
      <c r="A18" s="60">
        <v>17</v>
      </c>
      <c r="B18" s="61" t="s">
        <v>98</v>
      </c>
      <c r="C18" s="61"/>
      <c r="D18" s="90">
        <v>5912348.829570001</v>
      </c>
      <c r="E18" s="90">
        <v>6609673.729869701</v>
      </c>
      <c r="F18" s="76">
        <v>6578947.4661479294</v>
      </c>
      <c r="G18" s="76">
        <v>6876392.6896456052</v>
      </c>
      <c r="H18" s="76">
        <v>7173659.0003387658</v>
      </c>
      <c r="I18" s="76">
        <v>7706715.7741373004</v>
      </c>
      <c r="J18" s="76">
        <v>7876607.4960018536</v>
      </c>
      <c r="K18" s="76">
        <v>8413954.4332456458</v>
      </c>
      <c r="L18" s="77">
        <v>7641016.2556138039</v>
      </c>
      <c r="M18" s="76">
        <v>9170518.6770345196</v>
      </c>
      <c r="N18" s="77">
        <v>8542927.703007102</v>
      </c>
      <c r="O18" s="76">
        <v>10251513.243608523</v>
      </c>
      <c r="P18" s="77">
        <v>9966425.2293837704</v>
      </c>
      <c r="Q18" s="76">
        <v>11466639.458477542</v>
      </c>
      <c r="R18" s="91">
        <v>11879246.486900847</v>
      </c>
    </row>
    <row r="19" spans="1:18" x14ac:dyDescent="0.25">
      <c r="A19" s="60">
        <v>18</v>
      </c>
      <c r="B19" s="61" t="s">
        <v>99</v>
      </c>
      <c r="C19" s="61"/>
      <c r="D19" s="90">
        <v>4740531.9444299992</v>
      </c>
      <c r="E19" s="90">
        <v>5278228.6619822774</v>
      </c>
      <c r="F19" s="76">
        <v>5514705.9642710574</v>
      </c>
      <c r="G19" s="76">
        <v>5558313.8015761022</v>
      </c>
      <c r="H19" s="76">
        <v>5705441.5388690708</v>
      </c>
      <c r="I19" s="76">
        <v>6079895.6286127893</v>
      </c>
      <c r="J19" s="76">
        <v>5518983.483593137</v>
      </c>
      <c r="K19" s="76">
        <v>6092863.5551089179</v>
      </c>
      <c r="L19" s="77">
        <v>5179480.81756372</v>
      </c>
      <c r="M19" s="76">
        <v>6216257.6267146748</v>
      </c>
      <c r="N19" s="77">
        <v>5438950.6979865171</v>
      </c>
      <c r="O19" s="76">
        <v>6526740.8375838213</v>
      </c>
      <c r="P19" s="92">
        <v>6345236.357169047</v>
      </c>
      <c r="Q19" s="90">
        <v>7300364.5652172901</v>
      </c>
      <c r="R19" s="93">
        <v>7563055.4556537308</v>
      </c>
    </row>
    <row r="20" spans="1:18" x14ac:dyDescent="0.25">
      <c r="A20" s="85">
        <v>19</v>
      </c>
      <c r="B20" s="86" t="s">
        <v>97</v>
      </c>
      <c r="C20" s="87"/>
      <c r="D20" s="88">
        <f>SUM(D18:D19)</f>
        <v>10652880.774</v>
      </c>
      <c r="E20" s="88">
        <f t="shared" ref="E20:K20" si="5">SUM(E18:E19)</f>
        <v>11887902.391851978</v>
      </c>
      <c r="F20" s="88">
        <f t="shared" si="5"/>
        <v>12093653.430418987</v>
      </c>
      <c r="G20" s="88">
        <f t="shared" si="5"/>
        <v>12434706.491221707</v>
      </c>
      <c r="H20" s="88">
        <f t="shared" si="5"/>
        <v>12879100.539207837</v>
      </c>
      <c r="I20" s="88">
        <f t="shared" si="5"/>
        <v>13786611.40275009</v>
      </c>
      <c r="J20" s="88">
        <f t="shared" si="5"/>
        <v>13395590.979594991</v>
      </c>
      <c r="K20" s="88">
        <f t="shared" si="5"/>
        <v>14506817.988354564</v>
      </c>
      <c r="L20" s="94">
        <v>12820497.073177524</v>
      </c>
      <c r="M20" s="88">
        <f t="shared" ref="M20" si="6">SUM(M18:M19)</f>
        <v>15386776.303749194</v>
      </c>
      <c r="N20" s="94">
        <v>13981878.400993619</v>
      </c>
      <c r="O20" s="88">
        <f t="shared" ref="O20" si="7">SUM(O18:O19)</f>
        <v>16778254.081192344</v>
      </c>
      <c r="P20" s="94">
        <f>SUM(P18:P19)</f>
        <v>16311661.586552817</v>
      </c>
      <c r="Q20" s="88">
        <f t="shared" ref="Q20:R20" si="8">SUM(Q18:Q19)</f>
        <v>18767004.023694832</v>
      </c>
      <c r="R20" s="89">
        <f t="shared" si="8"/>
        <v>19442301.942554578</v>
      </c>
    </row>
  </sheetData>
  <printOptions horizontalCentered="1"/>
  <pageMargins left="0.2" right="0.2"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31A3B-D8C0-4132-BC7F-E6530536B531}">
  <sheetPr codeName="Sheet3"/>
  <dimension ref="A1:Y61"/>
  <sheetViews>
    <sheetView tabSelected="1" workbookViewId="0">
      <selection activeCell="W8" sqref="W8:Y15"/>
    </sheetView>
  </sheetViews>
  <sheetFormatPr defaultColWidth="9.42578125" defaultRowHeight="15" x14ac:dyDescent="0.25"/>
  <cols>
    <col min="1" max="1" width="41.7109375" style="154" bestFit="1" customWidth="1"/>
    <col min="2" max="6" width="12.140625" style="154" hidden="1" customWidth="1"/>
    <col min="7" max="7" width="13" style="154" hidden="1" customWidth="1"/>
    <col min="8" max="13" width="13.5703125" style="154" hidden="1" customWidth="1"/>
    <col min="14" max="16" width="13.5703125" style="154" customWidth="1"/>
    <col min="17" max="21" width="13.5703125" style="154" hidden="1" customWidth="1"/>
    <col min="22" max="22" width="9.42578125" style="154"/>
    <col min="23" max="23" width="13.28515625" style="154" bestFit="1" customWidth="1"/>
    <col min="24" max="24" width="9.42578125" style="154"/>
    <col min="25" max="25" width="11.5703125" style="154" bestFit="1" customWidth="1"/>
    <col min="26" max="16384" width="9.42578125" style="154"/>
  </cols>
  <sheetData>
    <row r="1" spans="1:25" ht="18" x14ac:dyDescent="0.25">
      <c r="A1" s="336" t="s">
        <v>130</v>
      </c>
      <c r="B1" s="336"/>
      <c r="C1" s="336"/>
      <c r="D1" s="336"/>
      <c r="E1" s="336"/>
      <c r="F1" s="336"/>
      <c r="G1" s="336"/>
      <c r="H1" s="336"/>
      <c r="I1" s="336"/>
      <c r="J1" s="336"/>
      <c r="K1" s="336"/>
      <c r="L1" s="336"/>
      <c r="M1" s="336"/>
      <c r="N1" s="336"/>
      <c r="O1" s="336"/>
      <c r="P1" s="336"/>
      <c r="Q1" s="336"/>
      <c r="R1" s="336"/>
      <c r="S1" s="156"/>
    </row>
    <row r="2" spans="1:25" ht="18.75" thickBot="1" x14ac:dyDescent="0.3">
      <c r="A2" s="336" t="s">
        <v>131</v>
      </c>
      <c r="B2" s="336"/>
      <c r="C2" s="336"/>
      <c r="D2" s="336"/>
      <c r="E2" s="336"/>
      <c r="F2" s="336"/>
      <c r="G2" s="336"/>
      <c r="H2" s="336"/>
      <c r="I2" s="336"/>
      <c r="J2" s="336"/>
      <c r="K2" s="336"/>
      <c r="L2" s="336"/>
      <c r="M2" s="336"/>
      <c r="N2" s="336"/>
      <c r="O2" s="336"/>
      <c r="P2" s="336"/>
      <c r="Q2" s="336"/>
      <c r="R2" s="336"/>
      <c r="S2" s="156"/>
    </row>
    <row r="3" spans="1:25" ht="15.75" hidden="1" thickBot="1" x14ac:dyDescent="0.3"/>
    <row r="4" spans="1:25" ht="15.75" hidden="1" thickBot="1" x14ac:dyDescent="0.3">
      <c r="A4" s="157"/>
      <c r="B4" s="157"/>
      <c r="C4" s="157"/>
      <c r="D4" s="157"/>
      <c r="E4" s="157"/>
      <c r="F4" s="157"/>
      <c r="G4" s="157"/>
      <c r="H4" s="157"/>
      <c r="I4" s="157"/>
      <c r="J4" s="157"/>
      <c r="K4" s="157"/>
      <c r="L4" s="157"/>
      <c r="M4" s="157"/>
      <c r="N4" s="157"/>
      <c r="O4" s="157"/>
      <c r="P4" s="157"/>
      <c r="Q4" s="157"/>
      <c r="R4" s="157"/>
    </row>
    <row r="5" spans="1:25" ht="25.5" x14ac:dyDescent="0.25">
      <c r="A5" s="158" t="s">
        <v>132</v>
      </c>
      <c r="B5" s="159" t="e">
        <f t="shared" ref="B5:M5" si="0">C5-1</f>
        <v>#VALUE!</v>
      </c>
      <c r="C5" s="159" t="e">
        <f t="shared" si="0"/>
        <v>#VALUE!</v>
      </c>
      <c r="D5" s="159" t="e">
        <f t="shared" si="0"/>
        <v>#VALUE!</v>
      </c>
      <c r="E5" s="159" t="e">
        <f t="shared" si="0"/>
        <v>#VALUE!</v>
      </c>
      <c r="F5" s="159" t="e">
        <f t="shared" si="0"/>
        <v>#VALUE!</v>
      </c>
      <c r="G5" s="159" t="e">
        <f t="shared" si="0"/>
        <v>#VALUE!</v>
      </c>
      <c r="H5" s="159" t="e">
        <f t="shared" si="0"/>
        <v>#VALUE!</v>
      </c>
      <c r="I5" s="159" t="e">
        <f t="shared" si="0"/>
        <v>#VALUE!</v>
      </c>
      <c r="J5" s="159" t="e">
        <f t="shared" si="0"/>
        <v>#VALUE!</v>
      </c>
      <c r="K5" s="159" t="e">
        <f t="shared" si="0"/>
        <v>#VALUE!</v>
      </c>
      <c r="L5" s="159" t="e">
        <f t="shared" si="0"/>
        <v>#VALUE!</v>
      </c>
      <c r="M5" s="159" t="e">
        <f t="shared" si="0"/>
        <v>#VALUE!</v>
      </c>
      <c r="N5" s="159" t="s">
        <v>133</v>
      </c>
      <c r="O5" s="159" t="s">
        <v>134</v>
      </c>
      <c r="P5" s="160" t="s">
        <v>135</v>
      </c>
      <c r="Q5" s="161" t="e">
        <f>TestYear &amp; CHAR(10) &amp; "Test Year"</f>
        <v>#REF!</v>
      </c>
      <c r="R5" s="162" t="e">
        <f>TestYear +1</f>
        <v>#REF!</v>
      </c>
      <c r="S5" s="162" t="e">
        <f>TestYear +2</f>
        <v>#REF!</v>
      </c>
      <c r="T5" s="162" t="e">
        <f>TestYear +3</f>
        <v>#REF!</v>
      </c>
      <c r="U5" s="162" t="e">
        <f>TestYear +4</f>
        <v>#REF!</v>
      </c>
    </row>
    <row r="6" spans="1:25" x14ac:dyDescent="0.25">
      <c r="A6" s="163" t="s">
        <v>136</v>
      </c>
      <c r="B6" s="164"/>
      <c r="C6" s="164"/>
      <c r="D6" s="164"/>
      <c r="E6" s="164"/>
      <c r="F6" s="164"/>
      <c r="G6" s="164" t="s">
        <v>1</v>
      </c>
      <c r="H6" s="164" t="s">
        <v>1</v>
      </c>
      <c r="I6" s="164" t="s">
        <v>1</v>
      </c>
      <c r="J6" s="164" t="s">
        <v>1</v>
      </c>
      <c r="K6" s="164" t="s">
        <v>1</v>
      </c>
      <c r="L6" s="164" t="s">
        <v>1</v>
      </c>
      <c r="M6" s="164" t="s">
        <v>1</v>
      </c>
      <c r="N6" s="164" t="s">
        <v>1</v>
      </c>
      <c r="O6" s="164" t="s">
        <v>1</v>
      </c>
      <c r="P6" s="165" t="s">
        <v>1</v>
      </c>
      <c r="Q6" s="166" t="s">
        <v>1</v>
      </c>
      <c r="R6" s="164" t="s">
        <v>1</v>
      </c>
      <c r="S6" s="164" t="s">
        <v>1</v>
      </c>
      <c r="T6" s="164" t="s">
        <v>1</v>
      </c>
      <c r="U6" s="164" t="s">
        <v>1</v>
      </c>
    </row>
    <row r="7" spans="1:25" x14ac:dyDescent="0.25">
      <c r="A7" s="167" t="s">
        <v>110</v>
      </c>
      <c r="B7" s="168"/>
      <c r="C7" s="168"/>
      <c r="D7" s="168"/>
      <c r="E7" s="168"/>
      <c r="F7" s="168"/>
      <c r="G7" s="168"/>
      <c r="H7" s="168"/>
      <c r="I7" s="168"/>
      <c r="J7" s="168"/>
      <c r="K7" s="168"/>
      <c r="L7" s="168"/>
      <c r="M7" s="168"/>
      <c r="N7" s="168"/>
      <c r="O7" s="168"/>
      <c r="P7" s="169"/>
      <c r="Q7" s="170"/>
      <c r="R7" s="168"/>
      <c r="S7" s="168"/>
      <c r="T7" s="168"/>
      <c r="U7" s="168"/>
    </row>
    <row r="8" spans="1:25" x14ac:dyDescent="0.25">
      <c r="A8" s="167" t="s">
        <v>137</v>
      </c>
      <c r="B8" s="171"/>
      <c r="C8" s="171"/>
      <c r="D8" s="171"/>
      <c r="E8" s="171"/>
      <c r="F8" s="171"/>
      <c r="G8" s="172">
        <v>621070.33836035442</v>
      </c>
      <c r="H8" s="173">
        <v>1010460.8999999999</v>
      </c>
      <c r="I8" s="173">
        <v>1053820.5100000002</v>
      </c>
      <c r="J8" s="173">
        <v>1378653.969999999</v>
      </c>
      <c r="K8" s="173">
        <v>1088088.2099999997</v>
      </c>
      <c r="L8" s="173">
        <v>1622101.1</v>
      </c>
      <c r="M8" s="173">
        <v>2025220.940000006</v>
      </c>
      <c r="N8" s="173">
        <v>1376704.9799999788</v>
      </c>
      <c r="O8" s="173">
        <v>1449975.2900000149</v>
      </c>
      <c r="P8" s="174">
        <v>1829560.290000001</v>
      </c>
      <c r="Q8" s="175">
        <v>1436959.87</v>
      </c>
      <c r="R8" s="173">
        <v>1476858.1800000002</v>
      </c>
      <c r="S8" s="173">
        <v>1520032.57</v>
      </c>
      <c r="T8" s="173">
        <v>1556951.01</v>
      </c>
      <c r="U8" s="173">
        <v>1594974.49</v>
      </c>
      <c r="W8" s="325"/>
      <c r="Y8" s="325"/>
    </row>
    <row r="9" spans="1:25" x14ac:dyDescent="0.25">
      <c r="A9" s="167" t="s">
        <v>138</v>
      </c>
      <c r="B9" s="176"/>
      <c r="C9" s="176"/>
      <c r="D9" s="176"/>
      <c r="E9" s="176"/>
      <c r="F9" s="176"/>
      <c r="G9" s="177">
        <v>1143696.3899999999</v>
      </c>
      <c r="H9" s="178">
        <v>1637808.13</v>
      </c>
      <c r="I9" s="178">
        <v>1817773.29</v>
      </c>
      <c r="J9" s="178">
        <v>2221355.4899999988</v>
      </c>
      <c r="K9" s="178">
        <v>2914559.3599999994</v>
      </c>
      <c r="L9" s="178">
        <v>2893552.75000004</v>
      </c>
      <c r="M9" s="178">
        <v>5919770.2300000237</v>
      </c>
      <c r="N9" s="178">
        <v>1012098.7599999995</v>
      </c>
      <c r="O9" s="178">
        <v>1250937.3100000275</v>
      </c>
      <c r="P9" s="179">
        <v>2012035.0500000005</v>
      </c>
      <c r="Q9" s="180">
        <v>1903050.13</v>
      </c>
      <c r="R9" s="178">
        <v>1952656.97</v>
      </c>
      <c r="S9" s="178">
        <v>2009003.73</v>
      </c>
      <c r="T9" s="178">
        <v>2040469.26</v>
      </c>
      <c r="U9" s="178">
        <v>2072856.71</v>
      </c>
      <c r="W9" s="325"/>
      <c r="Y9" s="325"/>
    </row>
    <row r="10" spans="1:25" x14ac:dyDescent="0.25">
      <c r="A10" s="167" t="s">
        <v>139</v>
      </c>
      <c r="B10" s="181"/>
      <c r="C10" s="181"/>
      <c r="D10" s="181"/>
      <c r="E10" s="181"/>
      <c r="F10" s="181"/>
      <c r="G10" s="182">
        <v>649446.75000000105</v>
      </c>
      <c r="H10" s="183">
        <v>860102.44999999902</v>
      </c>
      <c r="I10" s="183">
        <v>665669.49999999942</v>
      </c>
      <c r="J10" s="183">
        <v>782063.93999999925</v>
      </c>
      <c r="K10" s="183">
        <v>1028074.5699999977</v>
      </c>
      <c r="L10" s="183">
        <v>915968.89999999315</v>
      </c>
      <c r="M10" s="183">
        <v>958404.38999996823</v>
      </c>
      <c r="N10" s="183">
        <v>774092.89000001713</v>
      </c>
      <c r="O10" s="183">
        <v>907051.23999999336</v>
      </c>
      <c r="P10" s="184">
        <v>719284.77000000805</v>
      </c>
      <c r="Q10" s="185">
        <v>699829.48</v>
      </c>
      <c r="R10" s="183">
        <v>720824.37</v>
      </c>
      <c r="S10" s="183">
        <v>742449.09</v>
      </c>
      <c r="T10" s="183">
        <v>764722.57</v>
      </c>
      <c r="U10" s="183">
        <v>787664.25</v>
      </c>
    </row>
    <row r="11" spans="1:25" x14ac:dyDescent="0.25">
      <c r="A11" s="167" t="s">
        <v>140</v>
      </c>
      <c r="B11" s="181"/>
      <c r="C11" s="181"/>
      <c r="D11" s="181"/>
      <c r="E11" s="181"/>
      <c r="F11" s="181"/>
      <c r="G11" s="182">
        <v>554583</v>
      </c>
      <c r="H11" s="183">
        <v>405610.2</v>
      </c>
      <c r="I11" s="183">
        <v>342255.86</v>
      </c>
      <c r="J11" s="183">
        <v>378506.42</v>
      </c>
      <c r="K11" s="183">
        <v>447707.62999999983</v>
      </c>
      <c r="L11" s="183">
        <v>358409</v>
      </c>
      <c r="M11" s="183">
        <v>328041.26</v>
      </c>
      <c r="N11" s="183">
        <v>32528.650000000205</v>
      </c>
      <c r="O11" s="183">
        <v>831632.34000000264</v>
      </c>
      <c r="P11" s="184">
        <v>872239.99999999977</v>
      </c>
      <c r="Q11" s="185">
        <v>715948.42</v>
      </c>
      <c r="R11" s="183">
        <v>154132.08000000002</v>
      </c>
      <c r="S11" s="183">
        <v>158718.01999999999</v>
      </c>
      <c r="T11" s="183">
        <v>163095.03</v>
      </c>
      <c r="U11" s="183">
        <v>167588.25</v>
      </c>
    </row>
    <row r="12" spans="1:25" x14ac:dyDescent="0.25">
      <c r="A12" s="167" t="s">
        <v>141</v>
      </c>
      <c r="B12" s="181"/>
      <c r="C12" s="181"/>
      <c r="D12" s="181"/>
      <c r="E12" s="181"/>
      <c r="F12" s="181"/>
      <c r="G12" s="182">
        <v>0</v>
      </c>
      <c r="H12" s="183">
        <v>0</v>
      </c>
      <c r="I12" s="183">
        <v>289837.71999999997</v>
      </c>
      <c r="J12" s="183">
        <v>958566.13000000012</v>
      </c>
      <c r="K12" s="183">
        <v>766895.11999999953</v>
      </c>
      <c r="L12" s="183">
        <v>1076485.489999997</v>
      </c>
      <c r="M12" s="183">
        <v>678335.22999999975</v>
      </c>
      <c r="N12" s="183">
        <v>247185.9700000005</v>
      </c>
      <c r="O12" s="183">
        <v>16500.370000000003</v>
      </c>
      <c r="P12" s="184">
        <v>979.48</v>
      </c>
      <c r="Q12" s="185">
        <v>134176.96000000002</v>
      </c>
      <c r="R12" s="183">
        <v>118178.42</v>
      </c>
      <c r="S12" s="183">
        <v>121723.78</v>
      </c>
      <c r="T12" s="183">
        <v>125375.5</v>
      </c>
      <c r="U12" s="183">
        <v>129136.76</v>
      </c>
    </row>
    <row r="13" spans="1:25" s="155" customFormat="1" ht="12.75" x14ac:dyDescent="0.2">
      <c r="A13" s="186" t="s">
        <v>142</v>
      </c>
      <c r="B13" s="187">
        <f t="shared" ref="B13:E13" si="1">SUM(B8:B12)</f>
        <v>0</v>
      </c>
      <c r="C13" s="187">
        <f t="shared" si="1"/>
        <v>0</v>
      </c>
      <c r="D13" s="187">
        <f t="shared" si="1"/>
        <v>0</v>
      </c>
      <c r="E13" s="187">
        <f t="shared" si="1"/>
        <v>0</v>
      </c>
      <c r="F13" s="187">
        <f t="shared" ref="F13:U13" si="2">SUM(F8:F12)</f>
        <v>0</v>
      </c>
      <c r="G13" s="188">
        <f t="shared" si="2"/>
        <v>2968796.4783603554</v>
      </c>
      <c r="H13" s="188">
        <f t="shared" si="2"/>
        <v>3913981.6799999988</v>
      </c>
      <c r="I13" s="188">
        <f t="shared" si="2"/>
        <v>4169356.88</v>
      </c>
      <c r="J13" s="188">
        <f t="shared" si="2"/>
        <v>5719145.9499999974</v>
      </c>
      <c r="K13" s="188">
        <f t="shared" si="2"/>
        <v>6245324.8899999959</v>
      </c>
      <c r="L13" s="188">
        <f t="shared" si="2"/>
        <v>6866517.24000003</v>
      </c>
      <c r="M13" s="188">
        <f t="shared" si="2"/>
        <v>9909772.0499999989</v>
      </c>
      <c r="N13" s="188">
        <f t="shared" si="2"/>
        <v>3442611.2499999963</v>
      </c>
      <c r="O13" s="188">
        <f t="shared" si="2"/>
        <v>4456096.5500000389</v>
      </c>
      <c r="P13" s="189">
        <f t="shared" si="2"/>
        <v>5434099.5900000101</v>
      </c>
      <c r="Q13" s="190">
        <f t="shared" si="2"/>
        <v>4889964.8600000003</v>
      </c>
      <c r="R13" s="191">
        <f t="shared" si="2"/>
        <v>4422650.0200000005</v>
      </c>
      <c r="S13" s="191">
        <f t="shared" si="2"/>
        <v>4551927.1899999995</v>
      </c>
      <c r="T13" s="191">
        <f t="shared" si="2"/>
        <v>4650613.37</v>
      </c>
      <c r="U13" s="191">
        <f t="shared" si="2"/>
        <v>4752220.46</v>
      </c>
    </row>
    <row r="14" spans="1:25" x14ac:dyDescent="0.25">
      <c r="A14" s="186" t="s">
        <v>143</v>
      </c>
      <c r="B14" s="192"/>
      <c r="C14" s="192"/>
      <c r="D14" s="192"/>
      <c r="E14" s="192"/>
      <c r="F14" s="192"/>
      <c r="G14" s="173">
        <v>1454570</v>
      </c>
      <c r="H14" s="173">
        <v>1362183</v>
      </c>
      <c r="I14" s="173">
        <v>1454213.21</v>
      </c>
      <c r="J14" s="173">
        <v>3357424.12</v>
      </c>
      <c r="K14" s="173">
        <v>2726005.72</v>
      </c>
      <c r="L14" s="173">
        <v>2841844.31</v>
      </c>
      <c r="M14" s="173">
        <v>5888094</v>
      </c>
      <c r="N14" s="173">
        <v>1282106.6299999999</v>
      </c>
      <c r="O14" s="173">
        <v>1448961.61</v>
      </c>
      <c r="P14" s="174">
        <v>2524524.75</v>
      </c>
      <c r="Q14" s="175">
        <v>1671045.59</v>
      </c>
      <c r="R14" s="173">
        <v>1699313.36</v>
      </c>
      <c r="S14" s="173">
        <v>1748852.04</v>
      </c>
      <c r="T14" s="173">
        <v>1783299.22</v>
      </c>
      <c r="U14" s="173">
        <v>1818767.03</v>
      </c>
      <c r="W14" s="325"/>
    </row>
    <row r="15" spans="1:25" s="155" customFormat="1" ht="12.75" x14ac:dyDescent="0.2">
      <c r="A15" s="186" t="s">
        <v>56</v>
      </c>
      <c r="B15" s="187">
        <f t="shared" ref="B15:E15" si="3">B13-B14</f>
        <v>0</v>
      </c>
      <c r="C15" s="187">
        <f t="shared" si="3"/>
        <v>0</v>
      </c>
      <c r="D15" s="187">
        <f t="shared" si="3"/>
        <v>0</v>
      </c>
      <c r="E15" s="187">
        <f t="shared" si="3"/>
        <v>0</v>
      </c>
      <c r="F15" s="187">
        <f>F13-F14</f>
        <v>0</v>
      </c>
      <c r="G15" s="188">
        <f>G13-G14</f>
        <v>1514226.4783603554</v>
      </c>
      <c r="H15" s="188">
        <f>H13-H14</f>
        <v>2551798.6799999988</v>
      </c>
      <c r="I15" s="188">
        <f t="shared" ref="I15:U15" si="4">I13-I14</f>
        <v>2715143.67</v>
      </c>
      <c r="J15" s="188">
        <f t="shared" si="4"/>
        <v>2361721.8299999973</v>
      </c>
      <c r="K15" s="188">
        <f t="shared" si="4"/>
        <v>3519319.1699999957</v>
      </c>
      <c r="L15" s="188">
        <f t="shared" si="4"/>
        <v>4024672.93000003</v>
      </c>
      <c r="M15" s="188">
        <f t="shared" si="4"/>
        <v>4021678.0499999989</v>
      </c>
      <c r="N15" s="188">
        <f t="shared" si="4"/>
        <v>2160504.6199999964</v>
      </c>
      <c r="O15" s="188">
        <f t="shared" si="4"/>
        <v>3007134.9400000386</v>
      </c>
      <c r="P15" s="189">
        <f t="shared" si="4"/>
        <v>2909574.8400000101</v>
      </c>
      <c r="Q15" s="190">
        <f t="shared" si="4"/>
        <v>3218919.2700000005</v>
      </c>
      <c r="R15" s="188">
        <f t="shared" si="4"/>
        <v>2723336.66</v>
      </c>
      <c r="S15" s="188">
        <f t="shared" si="4"/>
        <v>2803075.1499999994</v>
      </c>
      <c r="T15" s="188">
        <f t="shared" si="4"/>
        <v>2867314.1500000004</v>
      </c>
      <c r="U15" s="188">
        <f t="shared" si="4"/>
        <v>2933453.4299999997</v>
      </c>
    </row>
    <row r="16" spans="1:25" x14ac:dyDescent="0.25">
      <c r="A16" s="193" t="s">
        <v>111</v>
      </c>
      <c r="B16" s="168"/>
      <c r="C16" s="168"/>
      <c r="D16" s="168"/>
      <c r="E16" s="168"/>
      <c r="F16" s="168"/>
      <c r="G16" s="168"/>
      <c r="H16" s="168"/>
      <c r="I16" s="168"/>
      <c r="J16" s="168"/>
      <c r="K16" s="168"/>
      <c r="L16" s="168"/>
      <c r="M16" s="168"/>
      <c r="N16" s="168"/>
      <c r="O16" s="168"/>
      <c r="P16" s="169"/>
      <c r="Q16" s="170"/>
      <c r="R16" s="168"/>
      <c r="S16" s="168"/>
      <c r="T16" s="168"/>
      <c r="U16" s="168"/>
    </row>
    <row r="17" spans="1:21" x14ac:dyDescent="0.25">
      <c r="A17" s="167" t="s">
        <v>144</v>
      </c>
      <c r="B17" s="171"/>
      <c r="C17" s="171"/>
      <c r="D17" s="171"/>
      <c r="E17" s="171"/>
      <c r="F17" s="192"/>
      <c r="G17" s="194">
        <v>523639.47</v>
      </c>
      <c r="H17" s="194">
        <v>120109.64</v>
      </c>
      <c r="I17" s="194">
        <v>168122.17</v>
      </c>
      <c r="J17" s="194">
        <v>275517.15000000002</v>
      </c>
      <c r="K17" s="194">
        <v>242816.59</v>
      </c>
      <c r="L17" s="194">
        <v>214546.62000000005</v>
      </c>
      <c r="M17" s="194">
        <v>387396.67999999865</v>
      </c>
      <c r="N17" s="194">
        <v>222662.59999999983</v>
      </c>
      <c r="O17" s="194">
        <v>499076.94000000134</v>
      </c>
      <c r="P17" s="195">
        <v>353530.17999999993</v>
      </c>
      <c r="Q17" s="196">
        <v>311698.03000000003</v>
      </c>
      <c r="R17" s="194">
        <v>320779.7</v>
      </c>
      <c r="S17" s="194">
        <v>330400.96000000002</v>
      </c>
      <c r="T17" s="194">
        <v>338613.22</v>
      </c>
      <c r="U17" s="194">
        <v>347069.68</v>
      </c>
    </row>
    <row r="18" spans="1:21" x14ac:dyDescent="0.25">
      <c r="A18" s="167" t="s">
        <v>145</v>
      </c>
      <c r="B18" s="171"/>
      <c r="C18" s="171"/>
      <c r="D18" s="171"/>
      <c r="E18" s="171"/>
      <c r="F18" s="192"/>
      <c r="G18" s="197">
        <v>184745.59999999995</v>
      </c>
      <c r="H18" s="197">
        <v>528444.5</v>
      </c>
      <c r="I18" s="197">
        <v>964488.87999999966</v>
      </c>
      <c r="J18" s="197">
        <v>497316.93999999977</v>
      </c>
      <c r="K18" s="197">
        <v>727062.33999999985</v>
      </c>
      <c r="L18" s="197">
        <v>849635.94999999972</v>
      </c>
      <c r="M18" s="197">
        <v>766747.76999999816</v>
      </c>
      <c r="N18" s="197">
        <v>1243966.3699999987</v>
      </c>
      <c r="O18" s="197">
        <v>818232.85999999929</v>
      </c>
      <c r="P18" s="198">
        <v>738402.18000000052</v>
      </c>
      <c r="Q18" s="199">
        <v>855648.40999999992</v>
      </c>
      <c r="R18" s="197">
        <v>879444.69</v>
      </c>
      <c r="S18" s="197">
        <v>904517.62</v>
      </c>
      <c r="T18" s="197">
        <v>920509.85</v>
      </c>
      <c r="U18" s="197">
        <v>936971.03</v>
      </c>
    </row>
    <row r="19" spans="1:21" x14ac:dyDescent="0.25">
      <c r="A19" s="167" t="s">
        <v>146</v>
      </c>
      <c r="B19" s="171"/>
      <c r="C19" s="171"/>
      <c r="D19" s="171"/>
      <c r="E19" s="171"/>
      <c r="F19" s="192"/>
      <c r="G19" s="197">
        <v>669187.66999999899</v>
      </c>
      <c r="H19" s="197">
        <v>1018133.9700000006</v>
      </c>
      <c r="I19" s="197">
        <v>977221.45999999985</v>
      </c>
      <c r="J19" s="197">
        <v>1210124.5600000084</v>
      </c>
      <c r="K19" s="197">
        <v>1244567.2999999975</v>
      </c>
      <c r="L19" s="197">
        <v>1358331.3599999489</v>
      </c>
      <c r="M19" s="197">
        <v>1452379.1400000022</v>
      </c>
      <c r="N19" s="197">
        <v>1363697.619999982</v>
      </c>
      <c r="O19" s="197">
        <v>2488726.5100000519</v>
      </c>
      <c r="P19" s="198">
        <v>1989205.9799999951</v>
      </c>
      <c r="Q19" s="199">
        <v>2930723.7</v>
      </c>
      <c r="R19" s="197">
        <v>3005983.0399999996</v>
      </c>
      <c r="S19" s="197">
        <v>2575572.0499999998</v>
      </c>
      <c r="T19" s="197">
        <v>2478202.7100000004</v>
      </c>
      <c r="U19" s="197">
        <v>2546086.4500000002</v>
      </c>
    </row>
    <row r="20" spans="1:21" x14ac:dyDescent="0.25">
      <c r="A20" s="167" t="s">
        <v>147</v>
      </c>
      <c r="B20" s="176"/>
      <c r="C20" s="176"/>
      <c r="D20" s="176"/>
      <c r="E20" s="176"/>
      <c r="F20" s="194"/>
      <c r="G20" s="194">
        <v>83683.170699110255</v>
      </c>
      <c r="H20" s="194">
        <v>110907.50231005643</v>
      </c>
      <c r="I20" s="194">
        <v>0</v>
      </c>
      <c r="J20" s="194">
        <v>7439.04</v>
      </c>
      <c r="K20" s="194">
        <v>134853.06</v>
      </c>
      <c r="L20" s="194">
        <v>1060.8899999999921</v>
      </c>
      <c r="M20" s="194">
        <v>147786.84000000005</v>
      </c>
      <c r="N20" s="194">
        <v>199546.51999999987</v>
      </c>
      <c r="O20" s="194">
        <v>99920.03</v>
      </c>
      <c r="P20" s="195">
        <v>83662.889999999985</v>
      </c>
      <c r="Q20" s="196">
        <v>178562.39</v>
      </c>
      <c r="R20" s="194">
        <v>182657.13</v>
      </c>
      <c r="S20" s="194">
        <v>188136.84</v>
      </c>
      <c r="T20" s="194">
        <v>193780.95</v>
      </c>
      <c r="U20" s="194">
        <v>199594.38</v>
      </c>
    </row>
    <row r="21" spans="1:21" x14ac:dyDescent="0.25">
      <c r="A21" s="167" t="s">
        <v>148</v>
      </c>
      <c r="B21" s="181"/>
      <c r="C21" s="181"/>
      <c r="D21" s="181"/>
      <c r="E21" s="181"/>
      <c r="F21" s="197"/>
      <c r="G21" s="197">
        <v>551847.40000000037</v>
      </c>
      <c r="H21" s="197">
        <v>630316.70000000007</v>
      </c>
      <c r="I21" s="197">
        <v>825057.64999999932</v>
      </c>
      <c r="J21" s="197">
        <v>1034528.2500000001</v>
      </c>
      <c r="K21" s="197">
        <v>897429.15000000014</v>
      </c>
      <c r="L21" s="197">
        <v>1061213.1899999995</v>
      </c>
      <c r="M21" s="197">
        <v>920758.23999999301</v>
      </c>
      <c r="N21" s="197">
        <v>817057.06000000564</v>
      </c>
      <c r="O21" s="197">
        <v>819981.19000000344</v>
      </c>
      <c r="P21" s="198">
        <v>592177.82999999996</v>
      </c>
      <c r="Q21" s="199">
        <v>1036654.98</v>
      </c>
      <c r="R21" s="197">
        <v>1071936.26</v>
      </c>
      <c r="S21" s="197">
        <v>1104093.76</v>
      </c>
      <c r="T21" s="197">
        <v>1137215.9100000001</v>
      </c>
      <c r="U21" s="197">
        <v>1171333.04</v>
      </c>
    </row>
    <row r="22" spans="1:21" x14ac:dyDescent="0.25">
      <c r="A22" s="167" t="s">
        <v>149</v>
      </c>
      <c r="B22" s="181"/>
      <c r="C22" s="181"/>
      <c r="D22" s="181"/>
      <c r="E22" s="181"/>
      <c r="F22" s="197"/>
      <c r="G22" s="197">
        <v>217236.6399999999</v>
      </c>
      <c r="H22" s="197">
        <v>109705.44999999998</v>
      </c>
      <c r="I22" s="197">
        <v>482520.02000000025</v>
      </c>
      <c r="J22" s="197">
        <v>401507.09999999992</v>
      </c>
      <c r="K22" s="197">
        <v>933344.81999999983</v>
      </c>
      <c r="L22" s="197">
        <v>765148.28000000317</v>
      </c>
      <c r="M22" s="197">
        <v>675023.50999999535</v>
      </c>
      <c r="N22" s="197">
        <v>424876.92000000179</v>
      </c>
      <c r="O22" s="197">
        <v>819694.88000000047</v>
      </c>
      <c r="P22" s="198">
        <v>463941.59000000008</v>
      </c>
      <c r="Q22" s="199">
        <v>589062.30000000005</v>
      </c>
      <c r="R22" s="197">
        <v>604111.21</v>
      </c>
      <c r="S22" s="197">
        <v>620686.17999999993</v>
      </c>
      <c r="T22" s="197">
        <v>631899.62</v>
      </c>
      <c r="U22" s="197">
        <v>643438.65999999992</v>
      </c>
    </row>
    <row r="23" spans="1:21" x14ac:dyDescent="0.25">
      <c r="A23" s="167" t="s">
        <v>150</v>
      </c>
      <c r="B23" s="181"/>
      <c r="C23" s="181"/>
      <c r="D23" s="181"/>
      <c r="E23" s="181"/>
      <c r="F23" s="197"/>
      <c r="G23" s="197">
        <v>352933.01999999996</v>
      </c>
      <c r="H23" s="197">
        <v>202128.56999999998</v>
      </c>
      <c r="I23" s="197">
        <v>40140.990000000063</v>
      </c>
      <c r="J23" s="197">
        <v>99575.360000000001</v>
      </c>
      <c r="K23" s="197">
        <v>146864.55999999994</v>
      </c>
      <c r="L23" s="197">
        <v>697509.49000000209</v>
      </c>
      <c r="M23" s="197">
        <v>343238.29999999964</v>
      </c>
      <c r="N23" s="197">
        <v>413997.01000000013</v>
      </c>
      <c r="O23" s="197">
        <v>851280.27999999956</v>
      </c>
      <c r="P23" s="198">
        <v>76702.919999999984</v>
      </c>
      <c r="Q23" s="199">
        <v>198844.27000000002</v>
      </c>
      <c r="R23" s="197">
        <v>204205.15999999997</v>
      </c>
      <c r="S23" s="197">
        <v>209835.56000000003</v>
      </c>
      <c r="T23" s="197">
        <v>215151.76</v>
      </c>
      <c r="U23" s="197">
        <v>220626.60000000003</v>
      </c>
    </row>
    <row r="24" spans="1:21" x14ac:dyDescent="0.25">
      <c r="A24" s="167" t="s">
        <v>151</v>
      </c>
      <c r="B24" s="181"/>
      <c r="C24" s="181"/>
      <c r="D24" s="181"/>
      <c r="E24" s="181"/>
      <c r="F24" s="197"/>
      <c r="G24" s="197">
        <v>2768871</v>
      </c>
      <c r="H24" s="197">
        <v>1729526.6535180311</v>
      </c>
      <c r="I24" s="197">
        <v>1140761.74</v>
      </c>
      <c r="J24" s="197">
        <v>1189289.350000001</v>
      </c>
      <c r="K24" s="197">
        <v>1793588.3099999991</v>
      </c>
      <c r="L24" s="197">
        <v>2135930.4599999934</v>
      </c>
      <c r="M24" s="197">
        <v>2386724.9999999874</v>
      </c>
      <c r="N24" s="197">
        <v>2607202.909999954</v>
      </c>
      <c r="O24" s="197">
        <v>2830487.3100000056</v>
      </c>
      <c r="P24" s="198">
        <v>3538361.1099999989</v>
      </c>
      <c r="Q24" s="199">
        <v>3554842.8600000003</v>
      </c>
      <c r="R24" s="197">
        <v>4396237.0199999996</v>
      </c>
      <c r="S24" s="197">
        <v>4299988.9800000004</v>
      </c>
      <c r="T24" s="197">
        <v>4933111.4899999993</v>
      </c>
      <c r="U24" s="197">
        <v>5255195.0200000005</v>
      </c>
    </row>
    <row r="25" spans="1:21" s="155" customFormat="1" ht="12.75" x14ac:dyDescent="0.2">
      <c r="A25" s="186" t="s">
        <v>152</v>
      </c>
      <c r="B25" s="187">
        <f t="shared" ref="B25:U25" si="5">SUM(B17:B24)</f>
        <v>0</v>
      </c>
      <c r="C25" s="187">
        <f t="shared" si="5"/>
        <v>0</v>
      </c>
      <c r="D25" s="187">
        <f t="shared" si="5"/>
        <v>0</v>
      </c>
      <c r="E25" s="187">
        <f t="shared" si="5"/>
        <v>0</v>
      </c>
      <c r="F25" s="187">
        <f t="shared" si="5"/>
        <v>0</v>
      </c>
      <c r="G25" s="187">
        <f>SUM(G17:G24)</f>
        <v>5352143.9706991091</v>
      </c>
      <c r="H25" s="187">
        <f t="shared" si="5"/>
        <v>4449272.9858280886</v>
      </c>
      <c r="I25" s="187">
        <f t="shared" si="5"/>
        <v>4598312.9099999992</v>
      </c>
      <c r="J25" s="187">
        <f t="shared" si="5"/>
        <v>4715297.7500000093</v>
      </c>
      <c r="K25" s="187">
        <f t="shared" si="5"/>
        <v>6120526.1299999971</v>
      </c>
      <c r="L25" s="187">
        <f t="shared" si="5"/>
        <v>7083376.2399999471</v>
      </c>
      <c r="M25" s="187">
        <f t="shared" si="5"/>
        <v>7080055.4799999744</v>
      </c>
      <c r="N25" s="187">
        <f t="shared" si="5"/>
        <v>7293007.009999942</v>
      </c>
      <c r="O25" s="187">
        <f t="shared" si="5"/>
        <v>9227400.0000000615</v>
      </c>
      <c r="P25" s="200">
        <f t="shared" si="5"/>
        <v>7835984.6799999941</v>
      </c>
      <c r="Q25" s="201">
        <f t="shared" si="5"/>
        <v>9656036.9400000013</v>
      </c>
      <c r="R25" s="202">
        <f t="shared" si="5"/>
        <v>10665354.209999999</v>
      </c>
      <c r="S25" s="202">
        <f t="shared" si="5"/>
        <v>10233231.949999999</v>
      </c>
      <c r="T25" s="202">
        <f t="shared" si="5"/>
        <v>10848485.51</v>
      </c>
      <c r="U25" s="202">
        <f t="shared" si="5"/>
        <v>11320314.859999999</v>
      </c>
    </row>
    <row r="26" spans="1:21" x14ac:dyDescent="0.25">
      <c r="A26" s="186" t="s">
        <v>153</v>
      </c>
      <c r="B26" s="197"/>
      <c r="C26" s="197"/>
      <c r="D26" s="197"/>
      <c r="E26" s="197"/>
      <c r="F26" s="197"/>
      <c r="G26" s="197"/>
      <c r="H26" s="197"/>
      <c r="I26" s="197"/>
      <c r="J26" s="197"/>
      <c r="K26" s="197"/>
      <c r="L26" s="197"/>
      <c r="M26" s="197"/>
      <c r="N26" s="197"/>
      <c r="O26" s="197"/>
      <c r="P26" s="198"/>
      <c r="Q26" s="199"/>
      <c r="R26" s="197"/>
      <c r="S26" s="197"/>
      <c r="T26" s="197"/>
      <c r="U26" s="197"/>
    </row>
    <row r="27" spans="1:21" s="155" customFormat="1" ht="12.75" x14ac:dyDescent="0.2">
      <c r="A27" s="186" t="s">
        <v>56</v>
      </c>
      <c r="B27" s="187">
        <f t="shared" ref="B27:E27" si="6">B25-B26</f>
        <v>0</v>
      </c>
      <c r="C27" s="187">
        <f t="shared" si="6"/>
        <v>0</v>
      </c>
      <c r="D27" s="187">
        <f t="shared" si="6"/>
        <v>0</v>
      </c>
      <c r="E27" s="187">
        <f t="shared" si="6"/>
        <v>0</v>
      </c>
      <c r="F27" s="187">
        <f>F25-F26</f>
        <v>0</v>
      </c>
      <c r="G27" s="187">
        <f>G25-G26</f>
        <v>5352143.9706991091</v>
      </c>
      <c r="H27" s="187">
        <f>H25-H26</f>
        <v>4449272.9858280886</v>
      </c>
      <c r="I27" s="187">
        <f t="shared" ref="I27:U27" si="7">I25-I26</f>
        <v>4598312.9099999992</v>
      </c>
      <c r="J27" s="187">
        <f t="shared" si="7"/>
        <v>4715297.7500000093</v>
      </c>
      <c r="K27" s="187">
        <f t="shared" si="7"/>
        <v>6120526.1299999971</v>
      </c>
      <c r="L27" s="187">
        <f t="shared" si="7"/>
        <v>7083376.2399999471</v>
      </c>
      <c r="M27" s="187">
        <f t="shared" si="7"/>
        <v>7080055.4799999744</v>
      </c>
      <c r="N27" s="187">
        <f t="shared" si="7"/>
        <v>7293007.009999942</v>
      </c>
      <c r="O27" s="187">
        <f t="shared" si="7"/>
        <v>9227400.0000000615</v>
      </c>
      <c r="P27" s="200">
        <f t="shared" si="7"/>
        <v>7835984.6799999941</v>
      </c>
      <c r="Q27" s="201">
        <f t="shared" si="7"/>
        <v>9656036.9400000013</v>
      </c>
      <c r="R27" s="187">
        <f t="shared" si="7"/>
        <v>10665354.209999999</v>
      </c>
      <c r="S27" s="187">
        <f t="shared" si="7"/>
        <v>10233231.949999999</v>
      </c>
      <c r="T27" s="187">
        <f t="shared" si="7"/>
        <v>10848485.51</v>
      </c>
      <c r="U27" s="187">
        <f t="shared" si="7"/>
        <v>11320314.859999999</v>
      </c>
    </row>
    <row r="28" spans="1:21" x14ac:dyDescent="0.25">
      <c r="A28" s="193" t="s">
        <v>112</v>
      </c>
      <c r="B28" s="168"/>
      <c r="C28" s="168"/>
      <c r="D28" s="168"/>
      <c r="E28" s="168"/>
      <c r="F28" s="168"/>
      <c r="G28" s="168"/>
      <c r="H28" s="168"/>
      <c r="I28" s="168"/>
      <c r="J28" s="168"/>
      <c r="K28" s="168"/>
      <c r="L28" s="168"/>
      <c r="M28" s="168"/>
      <c r="N28" s="168"/>
      <c r="O28" s="168"/>
      <c r="P28" s="169"/>
      <c r="Q28" s="170"/>
      <c r="R28" s="168"/>
      <c r="S28" s="168"/>
      <c r="T28" s="168"/>
      <c r="U28" s="168"/>
    </row>
    <row r="29" spans="1:21" x14ac:dyDescent="0.25">
      <c r="A29" s="167" t="s">
        <v>154</v>
      </c>
      <c r="B29" s="171"/>
      <c r="C29" s="171"/>
      <c r="D29" s="171"/>
      <c r="E29" s="171"/>
      <c r="F29" s="171"/>
      <c r="G29" s="172">
        <v>0</v>
      </c>
      <c r="H29" s="192">
        <v>0</v>
      </c>
      <c r="I29" s="192">
        <v>0</v>
      </c>
      <c r="J29" s="192">
        <v>0</v>
      </c>
      <c r="K29" s="192">
        <v>200537.56999999995</v>
      </c>
      <c r="L29" s="192">
        <v>611881.46</v>
      </c>
      <c r="M29" s="192">
        <v>210772.10999999987</v>
      </c>
      <c r="N29" s="192">
        <v>121178.29000000017</v>
      </c>
      <c r="O29" s="192">
        <v>188959.78999999978</v>
      </c>
      <c r="P29" s="203">
        <v>46960</v>
      </c>
      <c r="Q29" s="204">
        <v>166198.5</v>
      </c>
      <c r="R29" s="192">
        <v>107997.22</v>
      </c>
      <c r="S29" s="192">
        <v>109736.93</v>
      </c>
      <c r="T29" s="192">
        <v>111529.03</v>
      </c>
      <c r="U29" s="192">
        <v>113375.16</v>
      </c>
    </row>
    <row r="30" spans="1:21" x14ac:dyDescent="0.25">
      <c r="A30" s="167" t="s">
        <v>155</v>
      </c>
      <c r="B30" s="176"/>
      <c r="C30" s="176"/>
      <c r="D30" s="176"/>
      <c r="E30" s="176"/>
      <c r="F30" s="176"/>
      <c r="G30" s="177">
        <v>847488.12999999954</v>
      </c>
      <c r="H30" s="194">
        <v>1636042.8300000003</v>
      </c>
      <c r="I30" s="194">
        <v>1132911.6000000006</v>
      </c>
      <c r="J30" s="194">
        <v>1099449.1300000018</v>
      </c>
      <c r="K30" s="194">
        <v>1530582.1500000006</v>
      </c>
      <c r="L30" s="194">
        <v>630581.69999999995</v>
      </c>
      <c r="M30" s="194">
        <v>690148.31999999133</v>
      </c>
      <c r="N30" s="194">
        <v>597647.54999999434</v>
      </c>
      <c r="O30" s="194">
        <v>660356.62000000209</v>
      </c>
      <c r="P30" s="195">
        <v>1004601.04</v>
      </c>
      <c r="Q30" s="196">
        <v>1371568.46</v>
      </c>
      <c r="R30" s="194">
        <v>1410400.62</v>
      </c>
      <c r="S30" s="194">
        <v>1448906.83</v>
      </c>
      <c r="T30" s="194">
        <v>1502354.3900000001</v>
      </c>
      <c r="U30" s="194">
        <v>1380834.29</v>
      </c>
    </row>
    <row r="31" spans="1:21" x14ac:dyDescent="0.25">
      <c r="A31" s="167" t="s">
        <v>156</v>
      </c>
      <c r="B31" s="181"/>
      <c r="C31" s="181"/>
      <c r="D31" s="181"/>
      <c r="E31" s="181"/>
      <c r="F31" s="181"/>
      <c r="G31" s="182">
        <v>0</v>
      </c>
      <c r="H31" s="197">
        <v>0</v>
      </c>
      <c r="I31" s="197">
        <v>0</v>
      </c>
      <c r="J31" s="197">
        <v>0</v>
      </c>
      <c r="K31" s="197">
        <v>0</v>
      </c>
      <c r="L31" s="197">
        <v>0</v>
      </c>
      <c r="M31" s="197">
        <v>0</v>
      </c>
      <c r="N31" s="197">
        <v>0</v>
      </c>
      <c r="O31" s="197">
        <v>107784.04999999993</v>
      </c>
      <c r="P31" s="198">
        <v>4496103.229999993</v>
      </c>
      <c r="Q31" s="199">
        <v>707584.69000000006</v>
      </c>
      <c r="R31" s="197">
        <v>672699.74</v>
      </c>
      <c r="S31" s="197">
        <v>920954.27</v>
      </c>
      <c r="T31" s="197">
        <v>913731.65999999992</v>
      </c>
      <c r="U31" s="197">
        <v>924866.61</v>
      </c>
    </row>
    <row r="32" spans="1:21" x14ac:dyDescent="0.25">
      <c r="A32" s="167"/>
      <c r="B32" s="181"/>
      <c r="C32" s="181"/>
      <c r="D32" s="181"/>
      <c r="E32" s="181"/>
      <c r="F32" s="181"/>
      <c r="G32" s="181"/>
      <c r="H32" s="197"/>
      <c r="I32" s="197"/>
      <c r="J32" s="197"/>
      <c r="K32" s="197"/>
      <c r="L32" s="197"/>
      <c r="M32" s="197"/>
      <c r="N32" s="197"/>
      <c r="O32" s="197"/>
      <c r="P32" s="198"/>
      <c r="Q32" s="199"/>
      <c r="R32" s="197"/>
      <c r="S32" s="197"/>
      <c r="T32" s="197"/>
      <c r="U32" s="197"/>
    </row>
    <row r="33" spans="1:21" x14ac:dyDescent="0.25">
      <c r="A33" s="167"/>
      <c r="B33" s="181"/>
      <c r="C33" s="181"/>
      <c r="D33" s="181"/>
      <c r="E33" s="181"/>
      <c r="F33" s="181"/>
      <c r="G33" s="181"/>
      <c r="H33" s="197"/>
      <c r="I33" s="197"/>
      <c r="J33" s="197"/>
      <c r="K33" s="197"/>
      <c r="L33" s="197"/>
      <c r="M33" s="197"/>
      <c r="N33" s="197"/>
      <c r="O33" s="197"/>
      <c r="P33" s="198"/>
      <c r="Q33" s="199"/>
      <c r="R33" s="197"/>
      <c r="S33" s="197"/>
      <c r="T33" s="197"/>
      <c r="U33" s="197"/>
    </row>
    <row r="34" spans="1:21" s="155" customFormat="1" ht="12.75" x14ac:dyDescent="0.2">
      <c r="A34" s="186" t="s">
        <v>157</v>
      </c>
      <c r="B34" s="187">
        <f t="shared" ref="B34:U34" si="8">SUM(B29:B33)</f>
        <v>0</v>
      </c>
      <c r="C34" s="187">
        <f t="shared" si="8"/>
        <v>0</v>
      </c>
      <c r="D34" s="187">
        <f t="shared" si="8"/>
        <v>0</v>
      </c>
      <c r="E34" s="187">
        <f t="shared" si="8"/>
        <v>0</v>
      </c>
      <c r="F34" s="187">
        <f t="shared" si="8"/>
        <v>0</v>
      </c>
      <c r="G34" s="187">
        <f>SUM(G29:G33)</f>
        <v>847488.12999999954</v>
      </c>
      <c r="H34" s="187">
        <f t="shared" si="8"/>
        <v>1636042.8300000003</v>
      </c>
      <c r="I34" s="187">
        <f t="shared" si="8"/>
        <v>1132911.6000000006</v>
      </c>
      <c r="J34" s="187">
        <f t="shared" si="8"/>
        <v>1099449.1300000018</v>
      </c>
      <c r="K34" s="187">
        <f t="shared" si="8"/>
        <v>1731119.7200000007</v>
      </c>
      <c r="L34" s="187">
        <f t="shared" si="8"/>
        <v>1242463.1599999999</v>
      </c>
      <c r="M34" s="187">
        <f t="shared" si="8"/>
        <v>900920.4299999912</v>
      </c>
      <c r="N34" s="187">
        <f t="shared" si="8"/>
        <v>718825.8399999945</v>
      </c>
      <c r="O34" s="187">
        <f t="shared" si="8"/>
        <v>957100.46000000183</v>
      </c>
      <c r="P34" s="200">
        <f t="shared" si="8"/>
        <v>5547664.269999993</v>
      </c>
      <c r="Q34" s="201">
        <f t="shared" si="8"/>
        <v>2245351.65</v>
      </c>
      <c r="R34" s="202">
        <f t="shared" si="8"/>
        <v>2191097.58</v>
      </c>
      <c r="S34" s="202">
        <f t="shared" si="8"/>
        <v>2479598.0300000003</v>
      </c>
      <c r="T34" s="202">
        <f t="shared" si="8"/>
        <v>2527615.08</v>
      </c>
      <c r="U34" s="202">
        <f t="shared" si="8"/>
        <v>2419076.06</v>
      </c>
    </row>
    <row r="35" spans="1:21" x14ac:dyDescent="0.25">
      <c r="A35" s="186" t="s">
        <v>158</v>
      </c>
      <c r="B35" s="197"/>
      <c r="C35" s="197"/>
      <c r="D35" s="197"/>
      <c r="E35" s="197"/>
      <c r="F35" s="197"/>
      <c r="G35" s="197"/>
      <c r="H35" s="197"/>
      <c r="I35" s="197"/>
      <c r="J35" s="197"/>
      <c r="K35" s="197"/>
      <c r="L35" s="197"/>
      <c r="M35" s="197"/>
      <c r="N35" s="197"/>
      <c r="O35" s="197"/>
      <c r="P35" s="198"/>
      <c r="Q35" s="199"/>
      <c r="R35" s="197"/>
      <c r="S35" s="197"/>
      <c r="T35" s="197"/>
      <c r="U35" s="197"/>
    </row>
    <row r="36" spans="1:21" s="155" customFormat="1" ht="12.75" x14ac:dyDescent="0.2">
      <c r="A36" s="186" t="s">
        <v>56</v>
      </c>
      <c r="B36" s="187">
        <f t="shared" ref="B36:E36" si="9">B34-B35</f>
        <v>0</v>
      </c>
      <c r="C36" s="187">
        <f t="shared" si="9"/>
        <v>0</v>
      </c>
      <c r="D36" s="187">
        <f t="shared" si="9"/>
        <v>0</v>
      </c>
      <c r="E36" s="187">
        <f t="shared" si="9"/>
        <v>0</v>
      </c>
      <c r="F36" s="187">
        <f>F34-F35</f>
        <v>0</v>
      </c>
      <c r="G36" s="187">
        <f>G34-G35</f>
        <v>847488.12999999954</v>
      </c>
      <c r="H36" s="187">
        <f>H34-H35</f>
        <v>1636042.8300000003</v>
      </c>
      <c r="I36" s="187">
        <f t="shared" ref="I36:U36" si="10">I34-I35</f>
        <v>1132911.6000000006</v>
      </c>
      <c r="J36" s="187">
        <f t="shared" si="10"/>
        <v>1099449.1300000018</v>
      </c>
      <c r="K36" s="187">
        <f t="shared" si="10"/>
        <v>1731119.7200000007</v>
      </c>
      <c r="L36" s="187">
        <f t="shared" si="10"/>
        <v>1242463.1599999999</v>
      </c>
      <c r="M36" s="187">
        <f t="shared" si="10"/>
        <v>900920.4299999912</v>
      </c>
      <c r="N36" s="187">
        <f t="shared" si="10"/>
        <v>718825.8399999945</v>
      </c>
      <c r="O36" s="187">
        <f t="shared" si="10"/>
        <v>957100.46000000183</v>
      </c>
      <c r="P36" s="200">
        <f t="shared" si="10"/>
        <v>5547664.269999993</v>
      </c>
      <c r="Q36" s="201">
        <f t="shared" si="10"/>
        <v>2245351.65</v>
      </c>
      <c r="R36" s="187">
        <f t="shared" si="10"/>
        <v>2191097.58</v>
      </c>
      <c r="S36" s="187">
        <f t="shared" si="10"/>
        <v>2479598.0300000003</v>
      </c>
      <c r="T36" s="187">
        <f t="shared" si="10"/>
        <v>2527615.08</v>
      </c>
      <c r="U36" s="187">
        <f t="shared" si="10"/>
        <v>2419076.06</v>
      </c>
    </row>
    <row r="37" spans="1:21" x14ac:dyDescent="0.25">
      <c r="A37" s="193" t="s">
        <v>113</v>
      </c>
      <c r="B37" s="205"/>
      <c r="C37" s="205"/>
      <c r="D37" s="205"/>
      <c r="E37" s="205"/>
      <c r="F37" s="205"/>
      <c r="G37" s="205"/>
      <c r="H37" s="205"/>
      <c r="I37" s="205"/>
      <c r="J37" s="205"/>
      <c r="K37" s="205"/>
      <c r="L37" s="205"/>
      <c r="M37" s="205"/>
      <c r="N37" s="205"/>
      <c r="O37" s="205"/>
      <c r="P37" s="206"/>
      <c r="Q37" s="207"/>
      <c r="R37" s="205"/>
      <c r="S37" s="205"/>
      <c r="T37" s="205"/>
      <c r="U37" s="205"/>
    </row>
    <row r="38" spans="1:21" x14ac:dyDescent="0.25">
      <c r="A38" s="167" t="s">
        <v>159</v>
      </c>
      <c r="B38" s="171"/>
      <c r="C38" s="171"/>
      <c r="D38" s="171"/>
      <c r="E38" s="171"/>
      <c r="F38" s="192"/>
      <c r="G38" s="192">
        <v>199453.7</v>
      </c>
      <c r="H38" s="192">
        <v>186421.77999999997</v>
      </c>
      <c r="I38" s="192">
        <v>525042.88</v>
      </c>
      <c r="J38" s="192">
        <v>831691.29</v>
      </c>
      <c r="K38" s="192">
        <v>746836.61</v>
      </c>
      <c r="L38" s="192">
        <v>233915.8600000001</v>
      </c>
      <c r="M38" s="192">
        <v>247095.85999999996</v>
      </c>
      <c r="N38" s="192">
        <v>188250.61000000007</v>
      </c>
      <c r="O38" s="192">
        <v>332597.62999999995</v>
      </c>
      <c r="P38" s="203">
        <v>839632.72</v>
      </c>
      <c r="Q38" s="204">
        <v>902991.33</v>
      </c>
      <c r="R38" s="192">
        <v>791202</v>
      </c>
      <c r="S38" s="192">
        <v>597115</v>
      </c>
      <c r="T38" s="192">
        <v>563326</v>
      </c>
      <c r="U38" s="192">
        <v>854658.6</v>
      </c>
    </row>
    <row r="39" spans="1:21" x14ac:dyDescent="0.25">
      <c r="A39" s="167" t="s">
        <v>160</v>
      </c>
      <c r="B39" s="176"/>
      <c r="C39" s="176"/>
      <c r="D39" s="176"/>
      <c r="E39" s="176"/>
      <c r="F39" s="194"/>
      <c r="G39" s="194">
        <v>246406.31</v>
      </c>
      <c r="H39" s="194">
        <v>385911.02</v>
      </c>
      <c r="I39" s="194">
        <v>565419.4</v>
      </c>
      <c r="J39" s="194">
        <v>198649.61999999997</v>
      </c>
      <c r="K39" s="194">
        <v>334853.90000000002</v>
      </c>
      <c r="L39" s="194">
        <v>217039</v>
      </c>
      <c r="M39" s="194">
        <v>203102.71000000005</v>
      </c>
      <c r="N39" s="194">
        <v>203999.15999999997</v>
      </c>
      <c r="O39" s="194">
        <v>283484.44</v>
      </c>
      <c r="P39" s="195">
        <v>79378.320000000007</v>
      </c>
      <c r="Q39" s="196">
        <v>218000</v>
      </c>
      <c r="R39" s="194">
        <v>210000</v>
      </c>
      <c r="S39" s="194">
        <v>343000</v>
      </c>
      <c r="T39" s="194">
        <v>284000</v>
      </c>
      <c r="U39" s="194">
        <v>293000</v>
      </c>
    </row>
    <row r="40" spans="1:21" x14ac:dyDescent="0.25">
      <c r="A40" s="167" t="s">
        <v>161</v>
      </c>
      <c r="B40" s="181"/>
      <c r="C40" s="181"/>
      <c r="D40" s="181"/>
      <c r="E40" s="181"/>
      <c r="F40" s="197"/>
      <c r="G40" s="197">
        <v>304769.13000000006</v>
      </c>
      <c r="H40" s="197">
        <v>430373.21000000008</v>
      </c>
      <c r="I40" s="197">
        <v>386235.27999999997</v>
      </c>
      <c r="J40" s="197">
        <v>675960.23</v>
      </c>
      <c r="K40" s="197">
        <v>534871.77</v>
      </c>
      <c r="L40" s="197">
        <v>324262.62000000005</v>
      </c>
      <c r="M40" s="197">
        <v>541593.38999999932</v>
      </c>
      <c r="N40" s="197">
        <v>412293.47000000213</v>
      </c>
      <c r="O40" s="197">
        <v>372623.28999999556</v>
      </c>
      <c r="P40" s="198">
        <v>274304.54000000004</v>
      </c>
      <c r="Q40" s="199">
        <v>1071500</v>
      </c>
      <c r="R40" s="197">
        <v>535000</v>
      </c>
      <c r="S40" s="197">
        <v>504000</v>
      </c>
      <c r="T40" s="197">
        <v>590000</v>
      </c>
      <c r="U40" s="197">
        <v>608000</v>
      </c>
    </row>
    <row r="41" spans="1:21" x14ac:dyDescent="0.25">
      <c r="A41" s="167" t="s">
        <v>162</v>
      </c>
      <c r="B41" s="181"/>
      <c r="C41" s="181"/>
      <c r="D41" s="181"/>
      <c r="E41" s="181"/>
      <c r="F41" s="197"/>
      <c r="G41" s="197">
        <v>37533.78</v>
      </c>
      <c r="H41" s="197">
        <v>17057.579999999998</v>
      </c>
      <c r="I41" s="197">
        <v>117465.81</v>
      </c>
      <c r="J41" s="197">
        <v>16700.560000000001</v>
      </c>
      <c r="K41" s="197">
        <v>62054.310000000005</v>
      </c>
      <c r="L41" s="197">
        <v>128472.78999999992</v>
      </c>
      <c r="M41" s="197">
        <v>201143.9599999999</v>
      </c>
      <c r="N41" s="197">
        <v>781.47</v>
      </c>
      <c r="O41" s="197">
        <v>93477.74</v>
      </c>
      <c r="P41" s="198">
        <v>152908.10000000003</v>
      </c>
      <c r="Q41" s="199">
        <v>164000</v>
      </c>
      <c r="R41" s="197">
        <v>104000</v>
      </c>
      <c r="S41" s="197">
        <v>120000</v>
      </c>
      <c r="T41" s="197">
        <v>88000</v>
      </c>
      <c r="U41" s="197">
        <v>161000</v>
      </c>
    </row>
    <row r="42" spans="1:21" x14ac:dyDescent="0.25">
      <c r="A42" s="167" t="s">
        <v>163</v>
      </c>
      <c r="B42" s="181"/>
      <c r="C42" s="181"/>
      <c r="D42" s="181"/>
      <c r="E42" s="181"/>
      <c r="F42" s="197"/>
      <c r="G42" s="197">
        <v>304531.04000000004</v>
      </c>
      <c r="H42" s="197">
        <v>989862.76999999979</v>
      </c>
      <c r="I42" s="197">
        <v>261578.59000000003</v>
      </c>
      <c r="J42" s="197">
        <v>560115.25000000012</v>
      </c>
      <c r="K42" s="197">
        <v>52426.720000000001</v>
      </c>
      <c r="L42" s="197">
        <v>859453.5</v>
      </c>
      <c r="M42" s="197">
        <v>855796.22</v>
      </c>
      <c r="N42" s="197">
        <v>67937.209999999992</v>
      </c>
      <c r="O42" s="197">
        <v>946467.58000000007</v>
      </c>
      <c r="P42" s="198">
        <v>886718.01</v>
      </c>
      <c r="Q42" s="199">
        <v>957075</v>
      </c>
      <c r="R42" s="197">
        <v>1195000</v>
      </c>
      <c r="S42" s="197">
        <v>894000</v>
      </c>
      <c r="T42" s="197">
        <v>1240000</v>
      </c>
      <c r="U42" s="197">
        <v>970000</v>
      </c>
    </row>
    <row r="43" spans="1:21" x14ac:dyDescent="0.25">
      <c r="A43" s="167" t="s">
        <v>164</v>
      </c>
      <c r="B43" s="181"/>
      <c r="C43" s="181"/>
      <c r="D43" s="181"/>
      <c r="E43" s="181"/>
      <c r="F43" s="197"/>
      <c r="G43" s="197">
        <v>252346.5</v>
      </c>
      <c r="H43" s="197">
        <v>138519.72</v>
      </c>
      <c r="I43" s="197">
        <v>117613.56000000001</v>
      </c>
      <c r="J43" s="197">
        <v>99595.089999999967</v>
      </c>
      <c r="K43" s="197">
        <v>73608.009999999995</v>
      </c>
      <c r="L43" s="197">
        <v>121732.42999999998</v>
      </c>
      <c r="M43" s="197">
        <v>108071.24</v>
      </c>
      <c r="N43" s="197">
        <v>50294.479999999996</v>
      </c>
      <c r="O43" s="197">
        <v>80559.879999999976</v>
      </c>
      <c r="P43" s="198">
        <v>57287.65</v>
      </c>
      <c r="Q43" s="199">
        <v>119125.81</v>
      </c>
      <c r="R43" s="197">
        <v>199009.59</v>
      </c>
      <c r="S43" s="197">
        <v>101979.87</v>
      </c>
      <c r="T43" s="197">
        <v>105039.26000000001</v>
      </c>
      <c r="U43" s="197">
        <v>108190.45</v>
      </c>
    </row>
    <row r="44" spans="1:21" s="155" customFormat="1" ht="12.75" x14ac:dyDescent="0.2">
      <c r="A44" s="186" t="s">
        <v>165</v>
      </c>
      <c r="B44" s="187">
        <f t="shared" ref="B44:U44" si="11">SUM(B38:B43)</f>
        <v>0</v>
      </c>
      <c r="C44" s="187">
        <f t="shared" si="11"/>
        <v>0</v>
      </c>
      <c r="D44" s="187">
        <f t="shared" si="11"/>
        <v>0</v>
      </c>
      <c r="E44" s="187">
        <f t="shared" si="11"/>
        <v>0</v>
      </c>
      <c r="F44" s="187">
        <f t="shared" si="11"/>
        <v>0</v>
      </c>
      <c r="G44" s="187">
        <f t="shared" si="11"/>
        <v>1345040.4600000002</v>
      </c>
      <c r="H44" s="187">
        <f t="shared" si="11"/>
        <v>2148146.08</v>
      </c>
      <c r="I44" s="187">
        <f t="shared" si="11"/>
        <v>1973355.5200000003</v>
      </c>
      <c r="J44" s="187">
        <f t="shared" si="11"/>
        <v>2382712.04</v>
      </c>
      <c r="K44" s="187">
        <f t="shared" si="11"/>
        <v>1804651.32</v>
      </c>
      <c r="L44" s="187">
        <f t="shared" si="11"/>
        <v>1884876.2</v>
      </c>
      <c r="M44" s="187">
        <f t="shared" si="11"/>
        <v>2156803.3799999994</v>
      </c>
      <c r="N44" s="187">
        <f t="shared" si="11"/>
        <v>923556.400000002</v>
      </c>
      <c r="O44" s="187">
        <f t="shared" si="11"/>
        <v>2109210.5599999954</v>
      </c>
      <c r="P44" s="200">
        <f t="shared" si="11"/>
        <v>2290229.3400000003</v>
      </c>
      <c r="Q44" s="201">
        <f t="shared" si="11"/>
        <v>3432692.14</v>
      </c>
      <c r="R44" s="202">
        <f t="shared" si="11"/>
        <v>3034211.59</v>
      </c>
      <c r="S44" s="202">
        <f t="shared" si="11"/>
        <v>2560094.87</v>
      </c>
      <c r="T44" s="202">
        <f t="shared" si="11"/>
        <v>2870365.26</v>
      </c>
      <c r="U44" s="202">
        <f t="shared" si="11"/>
        <v>2994849.0500000003</v>
      </c>
    </row>
    <row r="45" spans="1:21" x14ac:dyDescent="0.25">
      <c r="A45" s="186" t="s">
        <v>166</v>
      </c>
      <c r="B45" s="197"/>
      <c r="C45" s="197"/>
      <c r="D45" s="197"/>
      <c r="E45" s="197"/>
      <c r="F45" s="197"/>
      <c r="G45" s="197"/>
      <c r="H45" s="197"/>
      <c r="I45" s="197"/>
      <c r="J45" s="197"/>
      <c r="K45" s="197"/>
      <c r="L45" s="197"/>
      <c r="M45" s="197"/>
      <c r="N45" s="197"/>
      <c r="O45" s="197"/>
      <c r="P45" s="198"/>
      <c r="Q45" s="199"/>
      <c r="R45" s="197"/>
      <c r="S45" s="197"/>
      <c r="T45" s="197"/>
      <c r="U45" s="197"/>
    </row>
    <row r="46" spans="1:21" s="155" customFormat="1" ht="12.75" x14ac:dyDescent="0.2">
      <c r="A46" s="186" t="s">
        <v>56</v>
      </c>
      <c r="B46" s="187">
        <f t="shared" ref="B46:E46" si="12">B44-B45</f>
        <v>0</v>
      </c>
      <c r="C46" s="187">
        <f t="shared" si="12"/>
        <v>0</v>
      </c>
      <c r="D46" s="187">
        <f t="shared" si="12"/>
        <v>0</v>
      </c>
      <c r="E46" s="187">
        <f t="shared" si="12"/>
        <v>0</v>
      </c>
      <c r="F46" s="187">
        <f>F44-F45</f>
        <v>0</v>
      </c>
      <c r="G46" s="187">
        <f>G44-G45</f>
        <v>1345040.4600000002</v>
      </c>
      <c r="H46" s="187">
        <f>H44-H45</f>
        <v>2148146.08</v>
      </c>
      <c r="I46" s="187">
        <f t="shared" ref="I46:U46" si="13">I44-I45</f>
        <v>1973355.5200000003</v>
      </c>
      <c r="J46" s="187">
        <f t="shared" si="13"/>
        <v>2382712.04</v>
      </c>
      <c r="K46" s="187">
        <f t="shared" si="13"/>
        <v>1804651.32</v>
      </c>
      <c r="L46" s="187">
        <f t="shared" si="13"/>
        <v>1884876.2</v>
      </c>
      <c r="M46" s="187">
        <f t="shared" si="13"/>
        <v>2156803.3799999994</v>
      </c>
      <c r="N46" s="187">
        <f t="shared" si="13"/>
        <v>923556.400000002</v>
      </c>
      <c r="O46" s="187">
        <f t="shared" si="13"/>
        <v>2109210.5599999954</v>
      </c>
      <c r="P46" s="200">
        <f t="shared" si="13"/>
        <v>2290229.3400000003</v>
      </c>
      <c r="Q46" s="201">
        <f t="shared" si="13"/>
        <v>3432692.14</v>
      </c>
      <c r="R46" s="187">
        <f t="shared" si="13"/>
        <v>3034211.59</v>
      </c>
      <c r="S46" s="187">
        <f t="shared" si="13"/>
        <v>2560094.87</v>
      </c>
      <c r="T46" s="187">
        <f t="shared" si="13"/>
        <v>2870365.26</v>
      </c>
      <c r="U46" s="187">
        <f t="shared" si="13"/>
        <v>2994849.0500000003</v>
      </c>
    </row>
    <row r="47" spans="1:21" ht="15.75" thickBot="1" x14ac:dyDescent="0.3">
      <c r="A47" s="193" t="s">
        <v>167</v>
      </c>
      <c r="B47" s="194"/>
      <c r="C47" s="194"/>
      <c r="D47" s="194"/>
      <c r="E47" s="194"/>
      <c r="F47" s="194"/>
      <c r="G47" s="194"/>
      <c r="H47" s="194"/>
      <c r="I47" s="194"/>
      <c r="J47" s="194"/>
      <c r="K47" s="194"/>
      <c r="L47" s="194"/>
      <c r="M47" s="194"/>
      <c r="N47" s="194"/>
      <c r="O47" s="194"/>
      <c r="P47" s="195"/>
      <c r="Q47" s="196"/>
      <c r="R47" s="194"/>
      <c r="S47" s="194"/>
      <c r="T47" s="194"/>
      <c r="U47" s="194"/>
    </row>
    <row r="48" spans="1:21" s="155" customFormat="1" ht="14.25" thickTop="1" thickBot="1" x14ac:dyDescent="0.25">
      <c r="A48" s="208" t="s">
        <v>63</v>
      </c>
      <c r="B48" s="209">
        <f t="shared" ref="B48:U48" si="14">SUMPRODUCT(--($A7:$A47="Sub-Total"), B$7:B$47)+B47</f>
        <v>0</v>
      </c>
      <c r="C48" s="209">
        <f t="shared" si="14"/>
        <v>0</v>
      </c>
      <c r="D48" s="209">
        <f t="shared" si="14"/>
        <v>0</v>
      </c>
      <c r="E48" s="209">
        <f t="shared" si="14"/>
        <v>0</v>
      </c>
      <c r="F48" s="209">
        <f t="shared" si="14"/>
        <v>0</v>
      </c>
      <c r="G48" s="209">
        <f t="shared" si="14"/>
        <v>9058899.0390594639</v>
      </c>
      <c r="H48" s="209">
        <f t="shared" si="14"/>
        <v>10785260.575828088</v>
      </c>
      <c r="I48" s="209">
        <f t="shared" si="14"/>
        <v>10419723.699999999</v>
      </c>
      <c r="J48" s="209">
        <f t="shared" si="14"/>
        <v>10559180.750000007</v>
      </c>
      <c r="K48" s="209">
        <f t="shared" si="14"/>
        <v>13175616.339999994</v>
      </c>
      <c r="L48" s="209">
        <f t="shared" si="14"/>
        <v>14235388.529999977</v>
      </c>
      <c r="M48" s="209">
        <f t="shared" si="14"/>
        <v>14159457.339999963</v>
      </c>
      <c r="N48" s="209">
        <f t="shared" si="14"/>
        <v>11095893.869999936</v>
      </c>
      <c r="O48" s="209">
        <f t="shared" si="14"/>
        <v>15300845.960000098</v>
      </c>
      <c r="P48" s="210">
        <f t="shared" si="14"/>
        <v>18583453.129999995</v>
      </c>
      <c r="Q48" s="211">
        <f t="shared" si="14"/>
        <v>18553000</v>
      </c>
      <c r="R48" s="212">
        <f t="shared" si="14"/>
        <v>18614000.039999999</v>
      </c>
      <c r="S48" s="212">
        <f t="shared" si="14"/>
        <v>18076000</v>
      </c>
      <c r="T48" s="212">
        <f t="shared" si="14"/>
        <v>19113780</v>
      </c>
      <c r="U48" s="212">
        <f t="shared" si="14"/>
        <v>19667693.399999999</v>
      </c>
    </row>
    <row r="49" spans="1:21" ht="39" thickBot="1" x14ac:dyDescent="0.3">
      <c r="A49" s="213" t="s">
        <v>168</v>
      </c>
      <c r="B49" s="194"/>
      <c r="C49" s="194"/>
      <c r="D49" s="194"/>
      <c r="E49" s="194"/>
      <c r="F49" s="194"/>
      <c r="G49" s="194"/>
      <c r="H49" s="194"/>
      <c r="I49" s="194"/>
      <c r="J49" s="194"/>
      <c r="K49" s="194"/>
      <c r="L49" s="194"/>
      <c r="M49" s="194"/>
      <c r="N49" s="194"/>
      <c r="O49" s="194"/>
      <c r="P49" s="195"/>
      <c r="Q49" s="196"/>
      <c r="R49" s="194"/>
      <c r="S49" s="194"/>
      <c r="T49" s="194"/>
      <c r="U49" s="194"/>
    </row>
    <row r="50" spans="1:21" ht="16.5" thickTop="1" thickBot="1" x14ac:dyDescent="0.3">
      <c r="A50" s="214" t="s">
        <v>63</v>
      </c>
      <c r="B50" s="209">
        <f t="shared" ref="B50:U50" si="15">B48+B49</f>
        <v>0</v>
      </c>
      <c r="C50" s="209">
        <f t="shared" si="15"/>
        <v>0</v>
      </c>
      <c r="D50" s="209">
        <f t="shared" si="15"/>
        <v>0</v>
      </c>
      <c r="E50" s="209">
        <f t="shared" si="15"/>
        <v>0</v>
      </c>
      <c r="F50" s="209">
        <f t="shared" si="15"/>
        <v>0</v>
      </c>
      <c r="G50" s="209">
        <f t="shared" si="15"/>
        <v>9058899.0390594639</v>
      </c>
      <c r="H50" s="209">
        <f t="shared" si="15"/>
        <v>10785260.575828088</v>
      </c>
      <c r="I50" s="209">
        <f t="shared" si="15"/>
        <v>10419723.699999999</v>
      </c>
      <c r="J50" s="209">
        <f t="shared" si="15"/>
        <v>10559180.750000007</v>
      </c>
      <c r="K50" s="209">
        <f t="shared" si="15"/>
        <v>13175616.339999994</v>
      </c>
      <c r="L50" s="209">
        <f t="shared" si="15"/>
        <v>14235388.529999977</v>
      </c>
      <c r="M50" s="209">
        <f t="shared" si="15"/>
        <v>14159457.339999963</v>
      </c>
      <c r="N50" s="209">
        <f t="shared" si="15"/>
        <v>11095893.869999936</v>
      </c>
      <c r="O50" s="209">
        <f t="shared" si="15"/>
        <v>15300845.960000098</v>
      </c>
      <c r="P50" s="210">
        <f t="shared" si="15"/>
        <v>18583453.129999995</v>
      </c>
      <c r="Q50" s="211">
        <f t="shared" si="15"/>
        <v>18553000</v>
      </c>
      <c r="R50" s="212">
        <f t="shared" si="15"/>
        <v>18614000.039999999</v>
      </c>
      <c r="S50" s="212">
        <f t="shared" si="15"/>
        <v>18076000</v>
      </c>
      <c r="T50" s="212">
        <f t="shared" si="15"/>
        <v>19113780</v>
      </c>
      <c r="U50" s="212">
        <f t="shared" si="15"/>
        <v>19667693.399999999</v>
      </c>
    </row>
    <row r="52" spans="1:21" x14ac:dyDescent="0.25">
      <c r="A52" s="215" t="s">
        <v>169</v>
      </c>
      <c r="B52" s="215"/>
      <c r="C52" s="215"/>
      <c r="D52" s="215"/>
      <c r="E52" s="215"/>
      <c r="F52" s="215"/>
      <c r="G52" s="215"/>
      <c r="H52" s="215"/>
      <c r="I52" s="215"/>
      <c r="J52" s="215"/>
      <c r="K52" s="215"/>
      <c r="Q52" s="216"/>
    </row>
    <row r="54" spans="1:21" ht="27.95" customHeight="1" x14ac:dyDescent="0.25">
      <c r="A54" s="337" t="s">
        <v>170</v>
      </c>
      <c r="B54" s="337"/>
      <c r="C54" s="337"/>
      <c r="D54" s="337"/>
      <c r="E54" s="337"/>
      <c r="F54" s="337"/>
      <c r="G54" s="337"/>
      <c r="H54" s="337"/>
      <c r="I54" s="337"/>
      <c r="J54" s="337"/>
      <c r="K54" s="337"/>
      <c r="L54" s="337"/>
      <c r="M54" s="337"/>
      <c r="N54" s="337"/>
      <c r="O54" s="337"/>
      <c r="P54" s="337"/>
      <c r="Q54" s="337"/>
      <c r="R54" s="337"/>
    </row>
    <row r="55" spans="1:21" ht="28.5" customHeight="1" x14ac:dyDescent="0.25">
      <c r="A55" s="337" t="s">
        <v>171</v>
      </c>
      <c r="B55" s="337"/>
      <c r="C55" s="337"/>
      <c r="D55" s="337"/>
      <c r="E55" s="337"/>
      <c r="F55" s="337"/>
      <c r="G55" s="337"/>
      <c r="H55" s="337"/>
      <c r="I55" s="337"/>
      <c r="J55" s="337"/>
      <c r="K55" s="337"/>
      <c r="L55" s="337"/>
      <c r="M55" s="337"/>
      <c r="N55" s="337"/>
      <c r="O55" s="337"/>
      <c r="P55" s="337"/>
      <c r="Q55" s="337"/>
      <c r="R55" s="337"/>
      <c r="S55" s="217"/>
    </row>
    <row r="56" spans="1:21" ht="27" customHeight="1" x14ac:dyDescent="0.25">
      <c r="A56" s="337" t="s">
        <v>172</v>
      </c>
      <c r="B56" s="337"/>
      <c r="C56" s="337"/>
      <c r="D56" s="337"/>
      <c r="E56" s="337"/>
      <c r="F56" s="337"/>
      <c r="G56" s="337"/>
      <c r="H56" s="337"/>
      <c r="I56" s="337"/>
      <c r="J56" s="337"/>
      <c r="K56" s="337"/>
      <c r="L56" s="337"/>
      <c r="M56" s="337"/>
      <c r="N56" s="337"/>
      <c r="O56" s="337"/>
      <c r="P56" s="337"/>
      <c r="Q56" s="337"/>
      <c r="R56" s="337"/>
    </row>
    <row r="58" spans="1:21" x14ac:dyDescent="0.25">
      <c r="A58" s="335"/>
      <c r="B58" s="335"/>
      <c r="C58" s="335"/>
      <c r="D58" s="335"/>
      <c r="E58" s="335"/>
      <c r="F58" s="335"/>
      <c r="G58" s="335"/>
      <c r="H58" s="335"/>
      <c r="I58" s="335"/>
      <c r="J58" s="335"/>
      <c r="K58" s="335"/>
      <c r="L58" s="335"/>
      <c r="M58" s="335"/>
      <c r="N58" s="335"/>
      <c r="O58" s="335"/>
      <c r="P58" s="335"/>
      <c r="Q58" s="335"/>
      <c r="R58" s="335"/>
      <c r="S58" s="335"/>
    </row>
    <row r="59" spans="1:21" x14ac:dyDescent="0.25">
      <c r="A59" s="335"/>
      <c r="B59" s="335"/>
      <c r="C59" s="335"/>
      <c r="D59" s="335"/>
      <c r="E59" s="335"/>
      <c r="F59" s="335"/>
      <c r="G59" s="335"/>
      <c r="H59" s="335"/>
      <c r="I59" s="335"/>
      <c r="J59" s="335"/>
      <c r="K59" s="335"/>
      <c r="L59" s="335"/>
      <c r="M59" s="335"/>
      <c r="N59" s="335"/>
      <c r="O59" s="335"/>
      <c r="P59" s="335"/>
      <c r="Q59" s="335"/>
      <c r="R59" s="335"/>
      <c r="S59" s="335"/>
    </row>
    <row r="61" spans="1:21" x14ac:dyDescent="0.25">
      <c r="A61" s="155"/>
      <c r="B61" s="155"/>
      <c r="C61" s="155"/>
      <c r="D61" s="155"/>
      <c r="E61" s="155"/>
      <c r="F61" s="155"/>
      <c r="G61" s="155"/>
      <c r="H61" s="155"/>
      <c r="I61" s="155"/>
      <c r="J61" s="155"/>
      <c r="K61" s="155"/>
    </row>
  </sheetData>
  <mergeCells count="6">
    <mergeCell ref="A58:S59"/>
    <mergeCell ref="A1:R1"/>
    <mergeCell ref="A2:R2"/>
    <mergeCell ref="A54:R54"/>
    <mergeCell ref="A55:R55"/>
    <mergeCell ref="A56:R56"/>
  </mergeCells>
  <dataValidations count="1">
    <dataValidation type="list" allowBlank="1" showInputMessage="1" showErrorMessage="1" sqref="B6:U6" xr:uid="{854611E5-A2C5-4333-B137-98B4F0CD67AD}">
      <formula1>"CGAAP, MIFRS, USGAAP, ASPE"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3C585-A9A4-4C48-944A-6CF3C663D6AE}">
  <sheetPr codeName="Sheet4"/>
  <dimension ref="A1:AZ41"/>
  <sheetViews>
    <sheetView workbookViewId="0">
      <selection activeCell="BC15" sqref="BC15"/>
    </sheetView>
  </sheetViews>
  <sheetFormatPr defaultColWidth="9.42578125" defaultRowHeight="15" x14ac:dyDescent="0.25"/>
  <cols>
    <col min="1" max="1" width="58.85546875" bestFit="1" customWidth="1"/>
    <col min="2" max="17" width="9.42578125" hidden="1" customWidth="1"/>
    <col min="18" max="18" width="11.42578125" hidden="1" customWidth="1"/>
    <col min="19" max="20" width="9.42578125" hidden="1" customWidth="1"/>
    <col min="21" max="21" width="11.42578125" hidden="1" customWidth="1"/>
    <col min="22" max="23" width="9.42578125" hidden="1" customWidth="1"/>
    <col min="24" max="24" width="11.42578125" hidden="1" customWidth="1"/>
    <col min="25" max="26" width="9.42578125" hidden="1" customWidth="1"/>
    <col min="27" max="27" width="11.42578125" hidden="1" customWidth="1"/>
    <col min="28" max="29" width="9.42578125" hidden="1" customWidth="1"/>
    <col min="30" max="30" width="11.42578125" hidden="1" customWidth="1"/>
    <col min="31" max="32" width="9.42578125" hidden="1" customWidth="1"/>
    <col min="33" max="33" width="11.42578125" hidden="1" customWidth="1"/>
    <col min="34" max="35" width="9.42578125" hidden="1" customWidth="1"/>
    <col min="36" max="36" width="11.42578125" hidden="1" customWidth="1"/>
    <col min="37" max="37" width="9.42578125" hidden="1" customWidth="1"/>
    <col min="38" max="38" width="13.42578125" customWidth="1"/>
    <col min="39" max="39" width="11.85546875" bestFit="1" customWidth="1"/>
    <col min="42" max="42" width="11.28515625" bestFit="1" customWidth="1"/>
    <col min="45" max="45" width="10.140625" bestFit="1" customWidth="1"/>
    <col min="47" max="47" width="10" hidden="1" customWidth="1"/>
    <col min="48" max="48" width="11.28515625" hidden="1" customWidth="1"/>
    <col min="49" max="49" width="12.5703125" hidden="1" customWidth="1"/>
    <col min="50" max="51" width="11.28515625" hidden="1" customWidth="1"/>
  </cols>
  <sheetData>
    <row r="1" spans="1:52" ht="18" x14ac:dyDescent="0.25">
      <c r="A1" s="336" t="s">
        <v>100</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row>
    <row r="2" spans="1:52" ht="18.75" thickBot="1" x14ac:dyDescent="0.3">
      <c r="A2" s="341" t="s">
        <v>101</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row>
    <row r="3" spans="1:52" ht="15.75" hidden="1" thickBot="1" x14ac:dyDescent="0.3">
      <c r="A3" s="96" t="s">
        <v>102</v>
      </c>
    </row>
    <row r="4" spans="1:52" ht="16.5" hidden="1" thickBot="1" x14ac:dyDescent="0.3">
      <c r="A4" s="97" t="e">
        <f>TestYear</f>
        <v>#REF!</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H4" s="96"/>
      <c r="AK4" s="96"/>
      <c r="AN4" s="96"/>
      <c r="AQ4" s="96"/>
      <c r="AT4" s="96"/>
    </row>
    <row r="5" spans="1:52" s="95" customFormat="1" ht="14.25" thickTop="1" thickBot="1" x14ac:dyDescent="0.25">
      <c r="A5" s="342" t="s">
        <v>103</v>
      </c>
      <c r="B5" s="345"/>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7"/>
      <c r="AU5" s="348" t="s">
        <v>129</v>
      </c>
      <c r="AV5" s="349"/>
      <c r="AW5" s="349"/>
      <c r="AX5" s="349"/>
      <c r="AY5" s="350"/>
    </row>
    <row r="6" spans="1:52" s="95" customFormat="1" ht="13.5" thickBot="1" x14ac:dyDescent="0.25">
      <c r="A6" s="343"/>
      <c r="B6" s="339">
        <f t="shared" ref="B6" si="0">E6-1</f>
        <v>2011</v>
      </c>
      <c r="C6" s="339"/>
      <c r="D6" s="340"/>
      <c r="E6" s="338">
        <f t="shared" ref="E6" si="1">H6-1</f>
        <v>2012</v>
      </c>
      <c r="F6" s="339"/>
      <c r="G6" s="340"/>
      <c r="H6" s="338">
        <f t="shared" ref="H6" si="2">K6-1</f>
        <v>2013</v>
      </c>
      <c r="I6" s="339"/>
      <c r="J6" s="340"/>
      <c r="K6" s="338">
        <f t="shared" ref="K6" si="3">N6-1</f>
        <v>2014</v>
      </c>
      <c r="L6" s="339"/>
      <c r="M6" s="340"/>
      <c r="N6" s="338">
        <f t="shared" ref="N6" si="4">Q6-1</f>
        <v>2015</v>
      </c>
      <c r="O6" s="339"/>
      <c r="P6" s="340"/>
      <c r="Q6" s="338">
        <f>T6-1</f>
        <v>2016</v>
      </c>
      <c r="R6" s="339"/>
      <c r="S6" s="340"/>
      <c r="T6" s="338">
        <f>W6-1</f>
        <v>2017</v>
      </c>
      <c r="U6" s="339"/>
      <c r="V6" s="340"/>
      <c r="W6" s="338">
        <f>Z6-1</f>
        <v>2018</v>
      </c>
      <c r="X6" s="339"/>
      <c r="Y6" s="340"/>
      <c r="Z6" s="338">
        <f>AC6-1</f>
        <v>2019</v>
      </c>
      <c r="AA6" s="339"/>
      <c r="AB6" s="340"/>
      <c r="AC6" s="338">
        <f>AF6-1</f>
        <v>2020</v>
      </c>
      <c r="AD6" s="339"/>
      <c r="AE6" s="340"/>
      <c r="AF6" s="338">
        <f>AI6-1</f>
        <v>2021</v>
      </c>
      <c r="AG6" s="339"/>
      <c r="AH6" s="340"/>
      <c r="AI6" s="338">
        <f>AL6-1</f>
        <v>2022</v>
      </c>
      <c r="AJ6" s="339"/>
      <c r="AK6" s="340"/>
      <c r="AL6" s="338">
        <v>2023</v>
      </c>
      <c r="AM6" s="339"/>
      <c r="AN6" s="340"/>
      <c r="AO6" s="338">
        <v>2024</v>
      </c>
      <c r="AP6" s="339"/>
      <c r="AQ6" s="340"/>
      <c r="AR6" s="338">
        <v>2025</v>
      </c>
      <c r="AS6" s="339"/>
      <c r="AT6" s="340"/>
      <c r="AU6" s="351" t="e">
        <f>A4</f>
        <v>#REF!</v>
      </c>
      <c r="AV6" s="351" t="e">
        <f>AU6+1</f>
        <v>#REF!</v>
      </c>
      <c r="AW6" s="351" t="e">
        <f>AV6+1</f>
        <v>#REF!</v>
      </c>
      <c r="AX6" s="351" t="e">
        <f>AW6+1</f>
        <v>#REF!</v>
      </c>
      <c r="AY6" s="353" t="e">
        <f>AX6+1</f>
        <v>#REF!</v>
      </c>
    </row>
    <row r="7" spans="1:52" s="95" customFormat="1" ht="24.75" thickBot="1" x14ac:dyDescent="0.25">
      <c r="A7" s="343"/>
      <c r="B7" s="99" t="s">
        <v>104</v>
      </c>
      <c r="C7" s="99" t="s">
        <v>105</v>
      </c>
      <c r="D7" s="99" t="s">
        <v>106</v>
      </c>
      <c r="E7" s="99" t="s">
        <v>104</v>
      </c>
      <c r="F7" s="99" t="s">
        <v>105</v>
      </c>
      <c r="G7" s="99" t="s">
        <v>106</v>
      </c>
      <c r="H7" s="99" t="s">
        <v>104</v>
      </c>
      <c r="I7" s="99" t="s">
        <v>105</v>
      </c>
      <c r="J7" s="99" t="s">
        <v>106</v>
      </c>
      <c r="K7" s="99" t="s">
        <v>104</v>
      </c>
      <c r="L7" s="99" t="s">
        <v>105</v>
      </c>
      <c r="M7" s="99" t="s">
        <v>106</v>
      </c>
      <c r="N7" s="99" t="s">
        <v>104</v>
      </c>
      <c r="O7" s="99" t="s">
        <v>105</v>
      </c>
      <c r="P7" s="99" t="s">
        <v>106</v>
      </c>
      <c r="Q7" s="99" t="s">
        <v>104</v>
      </c>
      <c r="R7" s="99" t="s">
        <v>105</v>
      </c>
      <c r="S7" s="99" t="s">
        <v>106</v>
      </c>
      <c r="T7" s="99" t="s">
        <v>104</v>
      </c>
      <c r="U7" s="99" t="s">
        <v>105</v>
      </c>
      <c r="V7" s="99" t="s">
        <v>106</v>
      </c>
      <c r="W7" s="99" t="s">
        <v>104</v>
      </c>
      <c r="X7" s="99" t="s">
        <v>105</v>
      </c>
      <c r="Y7" s="99" t="s">
        <v>106</v>
      </c>
      <c r="Z7" s="99" t="s">
        <v>104</v>
      </c>
      <c r="AA7" s="99" t="s">
        <v>105</v>
      </c>
      <c r="AB7" s="99" t="s">
        <v>106</v>
      </c>
      <c r="AC7" s="99" t="s">
        <v>104</v>
      </c>
      <c r="AD7" s="99" t="s">
        <v>105</v>
      </c>
      <c r="AE7" s="99" t="s">
        <v>106</v>
      </c>
      <c r="AF7" s="99" t="s">
        <v>104</v>
      </c>
      <c r="AG7" s="99" t="s">
        <v>105</v>
      </c>
      <c r="AH7" s="99" t="s">
        <v>106</v>
      </c>
      <c r="AI7" s="99" t="s">
        <v>104</v>
      </c>
      <c r="AJ7" s="100" t="s">
        <v>105</v>
      </c>
      <c r="AK7" s="99" t="s">
        <v>106</v>
      </c>
      <c r="AL7" s="100" t="s">
        <v>104</v>
      </c>
      <c r="AM7" s="100" t="s">
        <v>107</v>
      </c>
      <c r="AN7" s="99" t="s">
        <v>106</v>
      </c>
      <c r="AO7" s="99" t="s">
        <v>104</v>
      </c>
      <c r="AP7" s="100" t="s">
        <v>107</v>
      </c>
      <c r="AQ7" s="99" t="s">
        <v>106</v>
      </c>
      <c r="AR7" s="100" t="s">
        <v>104</v>
      </c>
      <c r="AS7" s="100" t="s">
        <v>107</v>
      </c>
      <c r="AT7" s="99" t="s">
        <v>106</v>
      </c>
      <c r="AU7" s="352"/>
      <c r="AV7" s="352"/>
      <c r="AW7" s="352"/>
      <c r="AX7" s="352"/>
      <c r="AY7" s="354"/>
    </row>
    <row r="8" spans="1:52" s="95" customFormat="1" ht="13.5" thickBot="1" x14ac:dyDescent="0.25">
      <c r="A8" s="344"/>
      <c r="B8" s="355" t="s">
        <v>108</v>
      </c>
      <c r="C8" s="356"/>
      <c r="D8" s="101" t="s">
        <v>109</v>
      </c>
      <c r="E8" s="357" t="s">
        <v>108</v>
      </c>
      <c r="F8" s="356"/>
      <c r="G8" s="101" t="s">
        <v>109</v>
      </c>
      <c r="H8" s="357" t="s">
        <v>108</v>
      </c>
      <c r="I8" s="356"/>
      <c r="J8" s="101" t="s">
        <v>109</v>
      </c>
      <c r="K8" s="357" t="s">
        <v>108</v>
      </c>
      <c r="L8" s="356"/>
      <c r="M8" s="101" t="s">
        <v>109</v>
      </c>
      <c r="N8" s="357" t="s">
        <v>108</v>
      </c>
      <c r="O8" s="356"/>
      <c r="P8" s="101" t="s">
        <v>109</v>
      </c>
      <c r="Q8" s="357" t="s">
        <v>108</v>
      </c>
      <c r="R8" s="356"/>
      <c r="S8" s="101" t="s">
        <v>109</v>
      </c>
      <c r="T8" s="357" t="s">
        <v>108</v>
      </c>
      <c r="U8" s="356"/>
      <c r="V8" s="101" t="s">
        <v>109</v>
      </c>
      <c r="W8" s="357" t="s">
        <v>108</v>
      </c>
      <c r="X8" s="356"/>
      <c r="Y8" s="101" t="s">
        <v>109</v>
      </c>
      <c r="Z8" s="357" t="s">
        <v>108</v>
      </c>
      <c r="AA8" s="356"/>
      <c r="AB8" s="101" t="s">
        <v>109</v>
      </c>
      <c r="AC8" s="358" t="s">
        <v>108</v>
      </c>
      <c r="AD8" s="355"/>
      <c r="AE8" s="101" t="s">
        <v>109</v>
      </c>
      <c r="AF8" s="357" t="s">
        <v>108</v>
      </c>
      <c r="AG8" s="356"/>
      <c r="AH8" s="101" t="s">
        <v>109</v>
      </c>
      <c r="AI8" s="357" t="s">
        <v>108</v>
      </c>
      <c r="AJ8" s="356"/>
      <c r="AK8" s="101" t="s">
        <v>109</v>
      </c>
      <c r="AL8" s="357" t="s">
        <v>108</v>
      </c>
      <c r="AM8" s="356"/>
      <c r="AN8" s="101" t="s">
        <v>109</v>
      </c>
      <c r="AO8" s="357" t="s">
        <v>108</v>
      </c>
      <c r="AP8" s="356"/>
      <c r="AQ8" s="101" t="s">
        <v>109</v>
      </c>
      <c r="AR8" s="357" t="s">
        <v>108</v>
      </c>
      <c r="AS8" s="356"/>
      <c r="AT8" s="101" t="s">
        <v>109</v>
      </c>
      <c r="AU8" s="358" t="s">
        <v>108</v>
      </c>
      <c r="AV8" s="359"/>
      <c r="AW8" s="359"/>
      <c r="AX8" s="359"/>
      <c r="AY8" s="360"/>
    </row>
    <row r="9" spans="1:52" s="95" customFormat="1" ht="16.5" thickBot="1" x14ac:dyDescent="0.25">
      <c r="A9" s="102" t="s">
        <v>110</v>
      </c>
      <c r="B9" s="103"/>
      <c r="C9" s="104">
        <v>0</v>
      </c>
      <c r="D9" s="105" t="str">
        <f>IF(ISERROR((C9-B9)/B9),"--",(C9-B9)/B9)</f>
        <v>--</v>
      </c>
      <c r="E9" s="103"/>
      <c r="F9" s="104">
        <v>0</v>
      </c>
      <c r="G9" s="105" t="str">
        <f>IF(ISERROR((F9-E9)/E9),"--",(F9-E9)/E9)</f>
        <v>--</v>
      </c>
      <c r="H9" s="103"/>
      <c r="I9" s="104">
        <v>0</v>
      </c>
      <c r="J9" s="105" t="str">
        <f>IF(ISERROR((I9-H9)/H9),"--",(I9-H9)/H9)</f>
        <v>--</v>
      </c>
      <c r="K9" s="103"/>
      <c r="L9" s="104">
        <v>0</v>
      </c>
      <c r="M9" s="105" t="str">
        <f>IF(ISERROR((L9-K9)/K9),"--",(L9-K9)/K9)</f>
        <v>--</v>
      </c>
      <c r="N9" s="103"/>
      <c r="O9" s="104">
        <v>0</v>
      </c>
      <c r="P9" s="105" t="str">
        <f>IF(ISERROR((O9-N9)/N9),"--",(O9-N9)/N9)</f>
        <v>--</v>
      </c>
      <c r="Q9" s="103">
        <v>1988.2004195941015</v>
      </c>
      <c r="R9" s="104">
        <v>2968.7964783603552</v>
      </c>
      <c r="S9" s="105">
        <f>IF(ISERROR((R9-Q9)/Q9),"--",(R9-Q9)/Q9)</f>
        <v>0.49320785223777691</v>
      </c>
      <c r="T9" s="103">
        <v>1958.4846132293267</v>
      </c>
      <c r="U9" s="104">
        <v>3913.981679999999</v>
      </c>
      <c r="V9" s="105">
        <f>IF(ISERROR((U9-T9)/T9),"--",(U9-T9)/T9)</f>
        <v>0.99847456220055353</v>
      </c>
      <c r="W9" s="103">
        <v>1979.213834012708</v>
      </c>
      <c r="X9" s="104">
        <v>4169.3568800000003</v>
      </c>
      <c r="Y9" s="105">
        <f>IF(ISERROR((X9-W9)/W9),"--",(X9-W9)/W9)</f>
        <v>1.1065722199136721</v>
      </c>
      <c r="Z9" s="103">
        <v>2000.0049900824479</v>
      </c>
      <c r="AA9" s="104">
        <v>5719.1459499999974</v>
      </c>
      <c r="AB9" s="105">
        <f>IF(ISERROR((AA9-Z9)/Z9),"--",(AA9-Z9)/Z9)</f>
        <v>1.8595658402653445</v>
      </c>
      <c r="AC9" s="103">
        <v>2021.0540000000001</v>
      </c>
      <c r="AD9" s="104">
        <v>6245.3248899999962</v>
      </c>
      <c r="AE9" s="105">
        <f>IF(ISERROR((AD9-AC9)/AC9),"--",(AD9-AC9)/AC9)</f>
        <v>2.0901326189206206</v>
      </c>
      <c r="AF9" s="103">
        <v>5866.5442500000008</v>
      </c>
      <c r="AG9" s="104">
        <v>6866.5172400000301</v>
      </c>
      <c r="AH9" s="105">
        <f>IF(ISERROR((AG9-AF9)/AF9),"--",(AG9-AF9)/AF9)</f>
        <v>0.1704534982413248</v>
      </c>
      <c r="AI9" s="103">
        <v>4308.3303987999989</v>
      </c>
      <c r="AJ9" s="104">
        <v>9909.7720499999996</v>
      </c>
      <c r="AK9" s="105">
        <f>IF(ISERROR((AJ9-AI9)/AI9),"--",(AJ9-AI9)/AI9)</f>
        <v>1.3001420812016118</v>
      </c>
      <c r="AL9" s="106">
        <f>4309.591194976*10/12</f>
        <v>3591.3259958133335</v>
      </c>
      <c r="AM9" s="107">
        <v>3442.6112499999963</v>
      </c>
      <c r="AN9" s="108">
        <f>IF(ISERROR((AM9-AL9)/AL9),"--",(AM9-AL9)/AL9)</f>
        <v>-4.1409425372885861E-2</v>
      </c>
      <c r="AO9" s="109">
        <f>3909.46504071552*10/12</f>
        <v>3257.8875339295996</v>
      </c>
      <c r="AP9" s="107">
        <v>4456.0965500000393</v>
      </c>
      <c r="AQ9" s="108">
        <f>IF(ISERROR((AP9-AO9)/AO9),"--",(AP9-AO9)/AO9)</f>
        <v>0.36778710240656576</v>
      </c>
      <c r="AR9" s="106">
        <f>3926.45434012983*10/12</f>
        <v>3272.045283441525</v>
      </c>
      <c r="AS9" s="107">
        <v>5434.0995900000107</v>
      </c>
      <c r="AT9" s="108">
        <f>IF(ISERROR((AS9-AR9)/AR9),"--",(AS9-AR9)/AR9)</f>
        <v>0.66076539878581542</v>
      </c>
      <c r="AU9" s="104">
        <v>4889.96486</v>
      </c>
      <c r="AV9" s="104">
        <v>4422.65002</v>
      </c>
      <c r="AW9" s="104">
        <v>4551.9271899999994</v>
      </c>
      <c r="AX9" s="104">
        <v>4650.61337</v>
      </c>
      <c r="AY9" s="110">
        <v>4752.2204599999995</v>
      </c>
    </row>
    <row r="10" spans="1:52" s="95" customFormat="1" ht="16.5" thickBot="1" x14ac:dyDescent="0.25">
      <c r="A10" s="102" t="s">
        <v>111</v>
      </c>
      <c r="B10" s="103"/>
      <c r="C10" s="104">
        <v>0</v>
      </c>
      <c r="D10" s="111" t="str">
        <f t="shared" ref="D10:D15" si="5">IF(ISERROR((C10-B10)/B10),"--",(C10-B10)/B10)</f>
        <v>--</v>
      </c>
      <c r="E10" s="103"/>
      <c r="F10" s="104">
        <v>0</v>
      </c>
      <c r="G10" s="111" t="str">
        <f t="shared" ref="G10:G15" si="6">IF(ISERROR((F10-E10)/E10),"--",(F10-E10)/E10)</f>
        <v>--</v>
      </c>
      <c r="H10" s="103"/>
      <c r="I10" s="104">
        <v>0</v>
      </c>
      <c r="J10" s="111" t="str">
        <f t="shared" ref="J10:J15" si="7">IF(ISERROR((I10-H10)/H10),"--",(I10-H10)/H10)</f>
        <v>--</v>
      </c>
      <c r="K10" s="103"/>
      <c r="L10" s="104">
        <v>0</v>
      </c>
      <c r="M10" s="111" t="str">
        <f t="shared" ref="M10:M15" si="8">IF(ISERROR((L10-K10)/K10),"--",(L10-K10)/K10)</f>
        <v>--</v>
      </c>
      <c r="N10" s="103"/>
      <c r="O10" s="104">
        <v>0</v>
      </c>
      <c r="P10" s="111" t="str">
        <f t="shared" ref="P10:P15" si="9">IF(ISERROR((O10-N10)/N10),"--",(O10-N10)/N10)</f>
        <v>--</v>
      </c>
      <c r="Q10" s="103">
        <v>5339.3693959468746</v>
      </c>
      <c r="R10" s="104">
        <v>5352.1439706991096</v>
      </c>
      <c r="S10" s="111">
        <f t="shared" ref="S10:S17" si="10">IF(ISERROR((R10-Q10)/Q10),"--",(R10-Q10)/Q10)</f>
        <v>2.3925249977894609E-3</v>
      </c>
      <c r="T10" s="103">
        <v>5381.6528628495926</v>
      </c>
      <c r="U10" s="104">
        <v>4449.2729858280882</v>
      </c>
      <c r="V10" s="111">
        <f t="shared" ref="V10:V17" si="11">IF(ISERROR((U10-T10)/T10),"--",(U10-T10)/T10)</f>
        <v>-0.17325158288411191</v>
      </c>
      <c r="W10" s="103">
        <v>5674.1771107923369</v>
      </c>
      <c r="X10" s="104">
        <v>4598.3129099999996</v>
      </c>
      <c r="Y10" s="111">
        <f t="shared" ref="Y10:Y17" si="12">IF(ISERROR((X10-W10)/W10),"--",(X10-W10)/W10)</f>
        <v>-0.18960708835577825</v>
      </c>
      <c r="Z10" s="103">
        <v>5691.4906634542222</v>
      </c>
      <c r="AA10" s="104">
        <v>4715.2977500000097</v>
      </c>
      <c r="AB10" s="111">
        <f t="shared" ref="AB10:AB17" si="13">IF(ISERROR((AA10-Z10)/Z10),"--",(AA10-Z10)/Z10)</f>
        <v>-0.17151796799430244</v>
      </c>
      <c r="AC10" s="103">
        <v>5328.5839999999998</v>
      </c>
      <c r="AD10" s="104">
        <v>6120.5261299999975</v>
      </c>
      <c r="AE10" s="111">
        <f t="shared" ref="AE10:AE17" si="14">IF(ISERROR((AD10-AC10)/AC10),"--",(AD10-AC10)/AC10)</f>
        <v>0.14862149681791592</v>
      </c>
      <c r="AF10" s="103">
        <v>7302.8544300000003</v>
      </c>
      <c r="AG10" s="104">
        <v>7083.3762399999468</v>
      </c>
      <c r="AH10" s="111">
        <f t="shared" ref="AH10:AH17" si="15">IF(ISERROR((AG10-AF10)/AF10),"--",(AG10-AF10)/AF10)</f>
        <v>-3.0053753926470292E-2</v>
      </c>
      <c r="AI10" s="103">
        <v>7735.6932161999994</v>
      </c>
      <c r="AJ10" s="104">
        <v>7080.0554799999745</v>
      </c>
      <c r="AK10" s="111">
        <f t="shared" ref="AK10:AK17" si="16">IF(ISERROR((AJ10-AI10)/AI10),"--",(AJ10-AI10)/AI10)</f>
        <v>-8.4754878182991517E-2</v>
      </c>
      <c r="AL10" s="106">
        <f>7939.891894524*10/12</f>
        <v>6616.5765787700002</v>
      </c>
      <c r="AM10" s="104">
        <v>7293.0070099999421</v>
      </c>
      <c r="AN10" s="111">
        <f t="shared" ref="AN10:AN17" si="17">IF(ISERROR((AM10-AL10)/AL10),"--",(AM10-AL10)/AL10)</f>
        <v>0.10223269135890331</v>
      </c>
      <c r="AO10" s="103">
        <f>9448.68973421448*10/12</f>
        <v>7873.9081118454005</v>
      </c>
      <c r="AP10" s="104">
        <v>9227.4000000000615</v>
      </c>
      <c r="AQ10" s="111">
        <f t="shared" ref="AQ10:AQ17" si="18">IF(ISERROR((AP10-AO10)/AO10),"--",(AP10-AO10)/AO10)</f>
        <v>0.1718958195763659</v>
      </c>
      <c r="AR10" s="106">
        <f>9465.58350669877*10/12</f>
        <v>7887.9862555823083</v>
      </c>
      <c r="AS10" s="104">
        <v>7835.9846799999941</v>
      </c>
      <c r="AT10" s="111">
        <f t="shared" ref="AT10:AT17" si="19">IF(ISERROR((AS10-AR10)/AR10),"--",(AS10-AR10)/AR10)</f>
        <v>-6.5925033205417706E-3</v>
      </c>
      <c r="AU10" s="104">
        <v>9656.0369400000018</v>
      </c>
      <c r="AV10" s="104">
        <v>10665.35421</v>
      </c>
      <c r="AW10" s="104">
        <v>10233.231949999999</v>
      </c>
      <c r="AX10" s="104">
        <v>10848.48551</v>
      </c>
      <c r="AY10" s="110">
        <v>11320.314859999999</v>
      </c>
    </row>
    <row r="11" spans="1:52" s="95" customFormat="1" ht="16.5" thickBot="1" x14ac:dyDescent="0.25">
      <c r="A11" s="102" t="s">
        <v>112</v>
      </c>
      <c r="B11" s="103"/>
      <c r="C11" s="104">
        <v>0</v>
      </c>
      <c r="D11" s="111" t="str">
        <f t="shared" si="5"/>
        <v>--</v>
      </c>
      <c r="E11" s="103"/>
      <c r="F11" s="104">
        <v>0</v>
      </c>
      <c r="G11" s="111" t="str">
        <f t="shared" si="6"/>
        <v>--</v>
      </c>
      <c r="H11" s="103"/>
      <c r="I11" s="104">
        <v>0</v>
      </c>
      <c r="J11" s="111" t="str">
        <f t="shared" si="7"/>
        <v>--</v>
      </c>
      <c r="K11" s="103"/>
      <c r="L11" s="104">
        <v>0</v>
      </c>
      <c r="M11" s="111" t="str">
        <f t="shared" si="8"/>
        <v>--</v>
      </c>
      <c r="N11" s="103"/>
      <c r="O11" s="104">
        <v>0</v>
      </c>
      <c r="P11" s="111" t="str">
        <f t="shared" si="9"/>
        <v>--</v>
      </c>
      <c r="Q11" s="103">
        <v>1242.4788854419999</v>
      </c>
      <c r="R11" s="104">
        <v>847.4881299999995</v>
      </c>
      <c r="S11" s="111">
        <f t="shared" si="10"/>
        <v>-0.31790540673975815</v>
      </c>
      <c r="T11" s="103">
        <v>1294.3030044109778</v>
      </c>
      <c r="U11" s="104">
        <v>1636.0428300000003</v>
      </c>
      <c r="V11" s="111">
        <f t="shared" si="11"/>
        <v>0.26403386565925829</v>
      </c>
      <c r="W11" s="103">
        <v>1176.1444585406766</v>
      </c>
      <c r="X11" s="104">
        <v>1132.9116000000006</v>
      </c>
      <c r="Y11" s="111">
        <f t="shared" si="12"/>
        <v>-3.6758119486715105E-2</v>
      </c>
      <c r="Z11" s="103">
        <v>1183.0034130284428</v>
      </c>
      <c r="AA11" s="104">
        <v>1099.4491300000018</v>
      </c>
      <c r="AB11" s="111">
        <f t="shared" si="13"/>
        <v>-7.0628945029452841E-2</v>
      </c>
      <c r="AC11" s="103">
        <v>1240.9490000000001</v>
      </c>
      <c r="AD11" s="104">
        <v>1731.1197200000006</v>
      </c>
      <c r="AE11" s="111">
        <f t="shared" si="14"/>
        <v>0.3949966678727333</v>
      </c>
      <c r="AF11" s="103">
        <v>998.43431999999996</v>
      </c>
      <c r="AG11" s="104">
        <v>1242.46316</v>
      </c>
      <c r="AH11" s="111">
        <f t="shared" si="15"/>
        <v>0.24441151021331084</v>
      </c>
      <c r="AI11" s="103">
        <v>901.30678760000001</v>
      </c>
      <c r="AJ11" s="104">
        <v>900.92042999999126</v>
      </c>
      <c r="AK11" s="111">
        <f t="shared" si="16"/>
        <v>-4.2866380828834503E-4</v>
      </c>
      <c r="AL11" s="106">
        <f>2619.332922752*10/12</f>
        <v>2182.7774356266668</v>
      </c>
      <c r="AM11" s="104">
        <v>718.82583999999451</v>
      </c>
      <c r="AN11" s="111">
        <f t="shared" si="17"/>
        <v>-0.67068294354361313</v>
      </c>
      <c r="AO11" s="103">
        <f>1875.21977869784*10/12</f>
        <v>1562.6831489148665</v>
      </c>
      <c r="AP11" s="104">
        <v>957.10046000000182</v>
      </c>
      <c r="AQ11" s="111">
        <f t="shared" si="18"/>
        <v>-0.38752749675158638</v>
      </c>
      <c r="AR11" s="106">
        <f>1448.97396756318*10/12</f>
        <v>1207.47830630265</v>
      </c>
      <c r="AS11" s="104">
        <v>5547</v>
      </c>
      <c r="AT11" s="111">
        <f t="shared" si="19"/>
        <v>3.5938713524263224</v>
      </c>
      <c r="AU11" s="104">
        <v>2245.3516500000001</v>
      </c>
      <c r="AV11" s="104">
        <v>2191.0975800000001</v>
      </c>
      <c r="AW11" s="104">
        <v>2479.5980300000001</v>
      </c>
      <c r="AX11" s="104">
        <v>2527.61508</v>
      </c>
      <c r="AY11" s="110">
        <v>2419.0760599999999</v>
      </c>
    </row>
    <row r="12" spans="1:52" s="95" customFormat="1" ht="16.5" thickBot="1" x14ac:dyDescent="0.25">
      <c r="A12" s="102" t="s">
        <v>113</v>
      </c>
      <c r="B12" s="103"/>
      <c r="C12" s="104">
        <v>0</v>
      </c>
      <c r="D12" s="111" t="str">
        <f t="shared" si="5"/>
        <v>--</v>
      </c>
      <c r="E12" s="103"/>
      <c r="F12" s="104">
        <v>0</v>
      </c>
      <c r="G12" s="111" t="str">
        <f t="shared" si="6"/>
        <v>--</v>
      </c>
      <c r="H12" s="103"/>
      <c r="I12" s="104">
        <v>0</v>
      </c>
      <c r="J12" s="111" t="str">
        <f t="shared" si="7"/>
        <v>--</v>
      </c>
      <c r="K12" s="103"/>
      <c r="L12" s="104">
        <v>0</v>
      </c>
      <c r="M12" s="111" t="str">
        <f t="shared" si="8"/>
        <v>--</v>
      </c>
      <c r="N12" s="103"/>
      <c r="O12" s="104">
        <v>0</v>
      </c>
      <c r="P12" s="111" t="str">
        <f t="shared" si="9"/>
        <v>--</v>
      </c>
      <c r="Q12" s="103">
        <v>1904.5</v>
      </c>
      <c r="R12" s="104">
        <v>1345.0404600000002</v>
      </c>
      <c r="S12" s="111">
        <f t="shared" si="10"/>
        <v>-0.29375665003938034</v>
      </c>
      <c r="T12" s="103">
        <v>1641.5</v>
      </c>
      <c r="U12" s="104">
        <v>2148.14608</v>
      </c>
      <c r="V12" s="111">
        <f t="shared" si="11"/>
        <v>0.30864823636917454</v>
      </c>
      <c r="W12" s="103">
        <v>1187.5</v>
      </c>
      <c r="X12" s="104">
        <v>1973.3555200000003</v>
      </c>
      <c r="Y12" s="111">
        <f t="shared" si="12"/>
        <v>0.66177306947368442</v>
      </c>
      <c r="Z12" s="103">
        <v>1157.5</v>
      </c>
      <c r="AA12" s="104">
        <v>2382.7120399999999</v>
      </c>
      <c r="AB12" s="111">
        <f t="shared" si="13"/>
        <v>1.0584985226781856</v>
      </c>
      <c r="AC12" s="103">
        <v>1227.5</v>
      </c>
      <c r="AD12" s="104">
        <v>1804.6513200000002</v>
      </c>
      <c r="AE12" s="111">
        <f t="shared" si="14"/>
        <v>0.47018437474541763</v>
      </c>
      <c r="AF12" s="103">
        <v>1974.48</v>
      </c>
      <c r="AG12" s="104">
        <v>1884.8761999999999</v>
      </c>
      <c r="AH12" s="111">
        <f t="shared" si="15"/>
        <v>-4.5380961063166046E-2</v>
      </c>
      <c r="AI12" s="103">
        <v>2050.6696000000002</v>
      </c>
      <c r="AJ12" s="104">
        <v>2156.8033799999994</v>
      </c>
      <c r="AK12" s="111">
        <f t="shared" si="16"/>
        <v>5.1755670440523038E-2</v>
      </c>
      <c r="AL12" s="106">
        <f>2088.182992*10/12</f>
        <v>1740.1524933333333</v>
      </c>
      <c r="AM12" s="104">
        <v>923.55640000000199</v>
      </c>
      <c r="AN12" s="111">
        <f t="shared" si="17"/>
        <v>-0.46926697313125015</v>
      </c>
      <c r="AO12" s="103">
        <f>2121.24665184*10/12</f>
        <v>1767.7055432</v>
      </c>
      <c r="AP12" s="104">
        <v>2109.2105599999954</v>
      </c>
      <c r="AQ12" s="111">
        <f t="shared" si="18"/>
        <v>0.19319112174179412</v>
      </c>
      <c r="AR12" s="106">
        <f>2149.8715848768*10/12</f>
        <v>1791.5596540640001</v>
      </c>
      <c r="AS12" s="104">
        <v>2290.2293400000003</v>
      </c>
      <c r="AT12" s="111">
        <f t="shared" si="19"/>
        <v>0.27834389148293809</v>
      </c>
      <c r="AU12" s="104">
        <v>3432.6921400000001</v>
      </c>
      <c r="AV12" s="104">
        <v>3034.2115899999999</v>
      </c>
      <c r="AW12" s="104">
        <v>2560.0948699999999</v>
      </c>
      <c r="AX12" s="104">
        <v>2870.3652599999996</v>
      </c>
      <c r="AY12" s="110">
        <v>2994.8490500000003</v>
      </c>
    </row>
    <row r="13" spans="1:52" s="95" customFormat="1" ht="16.5" thickBot="1" x14ac:dyDescent="0.25">
      <c r="A13" s="102" t="s">
        <v>114</v>
      </c>
      <c r="B13" s="112">
        <f>SUM(B9:B12)</f>
        <v>0</v>
      </c>
      <c r="C13" s="112">
        <f>SUM(C9:C12)</f>
        <v>0</v>
      </c>
      <c r="D13" s="113" t="str">
        <f t="shared" si="5"/>
        <v>--</v>
      </c>
      <c r="E13" s="112">
        <f>SUM(E9:E12)</f>
        <v>0</v>
      </c>
      <c r="F13" s="112">
        <f>SUM(F9:F12)</f>
        <v>0</v>
      </c>
      <c r="G13" s="113" t="str">
        <f t="shared" si="6"/>
        <v>--</v>
      </c>
      <c r="H13" s="112">
        <f>SUM(H9:H12)</f>
        <v>0</v>
      </c>
      <c r="I13" s="112">
        <f>SUM(I9:I12)</f>
        <v>0</v>
      </c>
      <c r="J13" s="113" t="str">
        <f t="shared" si="7"/>
        <v>--</v>
      </c>
      <c r="K13" s="112">
        <f>SUM(K9:K12)</f>
        <v>0</v>
      </c>
      <c r="L13" s="112">
        <f>SUM(L9:L12)</f>
        <v>0</v>
      </c>
      <c r="M13" s="113" t="str">
        <f t="shared" si="8"/>
        <v>--</v>
      </c>
      <c r="N13" s="112">
        <f>SUM(N9:N12)</f>
        <v>0</v>
      </c>
      <c r="O13" s="112">
        <f>SUM(O9:O12)</f>
        <v>0</v>
      </c>
      <c r="P13" s="113" t="str">
        <f t="shared" si="9"/>
        <v>--</v>
      </c>
      <c r="Q13" s="112">
        <f>SUM(Q9:Q12)</f>
        <v>10474.548700982976</v>
      </c>
      <c r="R13" s="112">
        <f>SUM(R9:R12)</f>
        <v>10513.469039059464</v>
      </c>
      <c r="S13" s="113">
        <f t="shared" si="10"/>
        <v>3.7157054864651075E-3</v>
      </c>
      <c r="T13" s="112">
        <f>SUM(T9:T12)</f>
        <v>10275.940480489897</v>
      </c>
      <c r="U13" s="112">
        <f>SUM(U9:U12)</f>
        <v>12147.443575828089</v>
      </c>
      <c r="V13" s="113">
        <f t="shared" si="11"/>
        <v>0.18212475041982432</v>
      </c>
      <c r="W13" s="112">
        <f>SUM(W9:W12)</f>
        <v>10017.035403345722</v>
      </c>
      <c r="X13" s="112">
        <f>SUM(X9:X12)</f>
        <v>11873.936910000002</v>
      </c>
      <c r="Y13" s="113">
        <f t="shared" si="12"/>
        <v>0.18537435796963128</v>
      </c>
      <c r="Z13" s="112">
        <f>SUM(Z9:Z12)</f>
        <v>10031.999066565113</v>
      </c>
      <c r="AA13" s="112">
        <f>SUM(AA9:AA12)</f>
        <v>13916.604870000008</v>
      </c>
      <c r="AB13" s="113">
        <f t="shared" si="13"/>
        <v>0.3872215076635725</v>
      </c>
      <c r="AC13" s="112">
        <f>SUM(AC9:AC12)</f>
        <v>9818.0869999999995</v>
      </c>
      <c r="AD13" s="112">
        <f>SUM(AD9:AD12)</f>
        <v>15901.622059999996</v>
      </c>
      <c r="AE13" s="113">
        <f t="shared" si="14"/>
        <v>0.61962529564058633</v>
      </c>
      <c r="AF13" s="112">
        <f>SUM(AF9:AF12)</f>
        <v>16142.313000000002</v>
      </c>
      <c r="AG13" s="112">
        <f>SUM(AG9:AG12)</f>
        <v>17077.232839999975</v>
      </c>
      <c r="AH13" s="113">
        <f t="shared" si="15"/>
        <v>5.7917340594248981E-2</v>
      </c>
      <c r="AI13" s="114">
        <f t="shared" ref="AI13:AX13" si="20">SUM(AI9:AI12)</f>
        <v>14996.000002599998</v>
      </c>
      <c r="AJ13" s="112">
        <f>SUM(AJ9:AJ12)</f>
        <v>20047.551339999962</v>
      </c>
      <c r="AK13" s="113">
        <f t="shared" si="16"/>
        <v>0.33685991841318541</v>
      </c>
      <c r="AL13" s="115">
        <f t="shared" si="20"/>
        <v>14130.832503543334</v>
      </c>
      <c r="AM13" s="112">
        <f>SUM(AM9:AM12)</f>
        <v>12378.000499999933</v>
      </c>
      <c r="AN13" s="113">
        <f t="shared" si="17"/>
        <v>-0.12404308119170436</v>
      </c>
      <c r="AO13" s="114">
        <f t="shared" si="20"/>
        <v>14462.184337889867</v>
      </c>
      <c r="AP13" s="112">
        <f>SUM(AP9:AP12)</f>
        <v>16749.807570000099</v>
      </c>
      <c r="AQ13" s="113">
        <f t="shared" si="18"/>
        <v>0.1581796482926045</v>
      </c>
      <c r="AR13" s="114">
        <f t="shared" si="20"/>
        <v>14159.069499390484</v>
      </c>
      <c r="AS13" s="112">
        <f>SUM(AS9:AS12)</f>
        <v>21107.313610000008</v>
      </c>
      <c r="AT13" s="113">
        <f t="shared" si="19"/>
        <v>0.49072745288160574</v>
      </c>
      <c r="AU13" s="112">
        <f t="shared" si="20"/>
        <v>20224.045590000002</v>
      </c>
      <c r="AV13" s="112">
        <f t="shared" si="20"/>
        <v>20313.313399999999</v>
      </c>
      <c r="AW13" s="112">
        <f t="shared" si="20"/>
        <v>19824.852040000002</v>
      </c>
      <c r="AX13" s="112">
        <f t="shared" si="20"/>
        <v>20897.07922</v>
      </c>
      <c r="AY13" s="116">
        <f>SUM(AY9:AY12)</f>
        <v>21486.460429999999</v>
      </c>
    </row>
    <row r="14" spans="1:52" s="95" customFormat="1" ht="16.5" thickBot="1" x14ac:dyDescent="0.25">
      <c r="A14" s="102" t="s">
        <v>115</v>
      </c>
      <c r="B14" s="109"/>
      <c r="C14" s="107">
        <v>0</v>
      </c>
      <c r="D14" s="117" t="str">
        <f t="shared" si="5"/>
        <v>--</v>
      </c>
      <c r="E14" s="109"/>
      <c r="F14" s="107">
        <v>0</v>
      </c>
      <c r="G14" s="117" t="str">
        <f t="shared" si="6"/>
        <v>--</v>
      </c>
      <c r="H14" s="109"/>
      <c r="I14" s="107">
        <v>0</v>
      </c>
      <c r="J14" s="117" t="str">
        <f t="shared" si="7"/>
        <v>--</v>
      </c>
      <c r="K14" s="109"/>
      <c r="L14" s="107">
        <v>0</v>
      </c>
      <c r="M14" s="117" t="str">
        <f t="shared" si="8"/>
        <v>--</v>
      </c>
      <c r="N14" s="109"/>
      <c r="O14" s="107">
        <v>0</v>
      </c>
      <c r="P14" s="117" t="str">
        <f t="shared" si="9"/>
        <v>--</v>
      </c>
      <c r="Q14" s="109">
        <v>475</v>
      </c>
      <c r="R14" s="107">
        <v>1454.57</v>
      </c>
      <c r="S14" s="117">
        <f t="shared" si="10"/>
        <v>2.0622526315789473</v>
      </c>
      <c r="T14" s="109">
        <v>475</v>
      </c>
      <c r="U14" s="107">
        <v>1362.183</v>
      </c>
      <c r="V14" s="117">
        <f t="shared" si="11"/>
        <v>1.8677536842105262</v>
      </c>
      <c r="W14" s="109">
        <v>475</v>
      </c>
      <c r="X14" s="107">
        <v>1454.2132099999999</v>
      </c>
      <c r="Y14" s="117">
        <f t="shared" si="12"/>
        <v>2.061501494736842</v>
      </c>
      <c r="Z14" s="109">
        <v>475</v>
      </c>
      <c r="AA14" s="107">
        <v>3357.4241200000001</v>
      </c>
      <c r="AB14" s="117">
        <f t="shared" si="13"/>
        <v>6.0682613052631584</v>
      </c>
      <c r="AC14" s="109">
        <v>475</v>
      </c>
      <c r="AD14" s="107">
        <v>2726.0057200000001</v>
      </c>
      <c r="AE14" s="117">
        <f t="shared" si="14"/>
        <v>4.7389594105263164</v>
      </c>
      <c r="AF14" s="109">
        <v>3367.1392300000002</v>
      </c>
      <c r="AG14" s="107">
        <v>2841.84431</v>
      </c>
      <c r="AH14" s="117">
        <f t="shared" si="15"/>
        <v>-0.15600629618158091</v>
      </c>
      <c r="AI14" s="109">
        <v>2300</v>
      </c>
      <c r="AJ14" s="107">
        <v>5888.0940000000001</v>
      </c>
      <c r="AK14" s="117">
        <f t="shared" si="16"/>
        <v>1.5600408695652175</v>
      </c>
      <c r="AL14" s="106">
        <f>2356*10/12</f>
        <v>1963.3333333333333</v>
      </c>
      <c r="AM14" s="107">
        <v>1282.10663</v>
      </c>
      <c r="AN14" s="117">
        <f t="shared" si="17"/>
        <v>-0.34697455178268249</v>
      </c>
      <c r="AO14" s="109">
        <f>2413.12*10/12</f>
        <v>2010.9333333333332</v>
      </c>
      <c r="AP14" s="107">
        <v>1448.9616100000001</v>
      </c>
      <c r="AQ14" s="117">
        <f t="shared" si="18"/>
        <v>-0.27945815707465843</v>
      </c>
      <c r="AR14" s="109">
        <f>2471.3824*10/12</f>
        <v>2059.4853333333335</v>
      </c>
      <c r="AS14" s="107">
        <v>2524.52475</v>
      </c>
      <c r="AT14" s="117">
        <f t="shared" si="19"/>
        <v>0.22580370403220471</v>
      </c>
      <c r="AU14" s="107">
        <v>1671.0455900000002</v>
      </c>
      <c r="AV14" s="107">
        <v>1699.3133600000001</v>
      </c>
      <c r="AW14" s="107">
        <v>1748.85204</v>
      </c>
      <c r="AX14" s="107">
        <v>1783.2992199999999</v>
      </c>
      <c r="AY14" s="118">
        <v>1818.76703</v>
      </c>
    </row>
    <row r="15" spans="1:52" s="95" customFormat="1" ht="16.5" thickBot="1" x14ac:dyDescent="0.25">
      <c r="A15" s="119" t="s">
        <v>116</v>
      </c>
      <c r="B15" s="114">
        <f>B13-B14</f>
        <v>0</v>
      </c>
      <c r="C15" s="114">
        <f>C13-C14</f>
        <v>0</v>
      </c>
      <c r="D15" s="120" t="str">
        <f t="shared" si="5"/>
        <v>--</v>
      </c>
      <c r="E15" s="115">
        <f>E13-E14</f>
        <v>0</v>
      </c>
      <c r="F15" s="114">
        <f>F13-F14</f>
        <v>0</v>
      </c>
      <c r="G15" s="120" t="str">
        <f t="shared" si="6"/>
        <v>--</v>
      </c>
      <c r="H15" s="115">
        <f>H13-H14</f>
        <v>0</v>
      </c>
      <c r="I15" s="114">
        <f>I13-I14</f>
        <v>0</v>
      </c>
      <c r="J15" s="120" t="str">
        <f t="shared" si="7"/>
        <v>--</v>
      </c>
      <c r="K15" s="115">
        <f>K13-K14</f>
        <v>0</v>
      </c>
      <c r="L15" s="114">
        <f>L13-L14</f>
        <v>0</v>
      </c>
      <c r="M15" s="120" t="str">
        <f t="shared" si="8"/>
        <v>--</v>
      </c>
      <c r="N15" s="115">
        <f>N13-N14</f>
        <v>0</v>
      </c>
      <c r="O15" s="114">
        <f>O13-O14</f>
        <v>0</v>
      </c>
      <c r="P15" s="120" t="str">
        <f t="shared" si="9"/>
        <v>--</v>
      </c>
      <c r="Q15" s="115">
        <f>Q13-Q14</f>
        <v>9999.5487009829758</v>
      </c>
      <c r="R15" s="114">
        <f>R13-R14</f>
        <v>9058.8990390594645</v>
      </c>
      <c r="S15" s="120">
        <f t="shared" si="10"/>
        <v>-9.4069211526620553E-2</v>
      </c>
      <c r="T15" s="115">
        <f>T13-T14</f>
        <v>9800.9404804898968</v>
      </c>
      <c r="U15" s="114">
        <f>U13-U14</f>
        <v>10785.260575828088</v>
      </c>
      <c r="V15" s="120">
        <f t="shared" si="11"/>
        <v>0.1004311879352409</v>
      </c>
      <c r="W15" s="115">
        <f>W13-W14</f>
        <v>9542.0354033457224</v>
      </c>
      <c r="X15" s="114">
        <f>X13-X14</f>
        <v>10419.723700000002</v>
      </c>
      <c r="Y15" s="120">
        <f t="shared" si="12"/>
        <v>9.1981245044064297E-2</v>
      </c>
      <c r="Z15" s="115">
        <f>Z13-Z14</f>
        <v>9556.999066565113</v>
      </c>
      <c r="AA15" s="114">
        <f>AA13-AA14</f>
        <v>10559.180750000009</v>
      </c>
      <c r="AB15" s="120">
        <f t="shared" si="13"/>
        <v>0.10486363726255865</v>
      </c>
      <c r="AC15" s="115">
        <f>AC13-AC14</f>
        <v>9343.0869999999995</v>
      </c>
      <c r="AD15" s="114">
        <f>AD13-AD14</f>
        <v>13175.616339999997</v>
      </c>
      <c r="AE15" s="120">
        <f t="shared" si="14"/>
        <v>0.41019947047480104</v>
      </c>
      <c r="AF15" s="115">
        <f>AF13-AF14</f>
        <v>12775.173770000001</v>
      </c>
      <c r="AG15" s="114">
        <f>AG13-AG14</f>
        <v>14235.388529999975</v>
      </c>
      <c r="AH15" s="120">
        <f t="shared" si="15"/>
        <v>0.11430097048300059</v>
      </c>
      <c r="AI15" s="115">
        <f>AI13-AI14</f>
        <v>12696.000002599998</v>
      </c>
      <c r="AJ15" s="114">
        <f>AJ13-AJ14</f>
        <v>14159.457339999961</v>
      </c>
      <c r="AK15" s="120">
        <f t="shared" si="16"/>
        <v>0.115269166438269</v>
      </c>
      <c r="AL15" s="115">
        <f>AL13-AL14</f>
        <v>12167.49917021</v>
      </c>
      <c r="AM15" s="114">
        <f>AM13-AM14</f>
        <v>11095.893869999933</v>
      </c>
      <c r="AN15" s="120">
        <f t="shared" si="17"/>
        <v>-8.807112170048105E-2</v>
      </c>
      <c r="AO15" s="115">
        <f>AO13-AO14</f>
        <v>12451.251004556534</v>
      </c>
      <c r="AP15" s="114">
        <f>AP13-AP14</f>
        <v>15300.845960000099</v>
      </c>
      <c r="AQ15" s="120">
        <f t="shared" si="18"/>
        <v>0.22886013256023477</v>
      </c>
      <c r="AR15" s="115">
        <f>AR13-AR14</f>
        <v>12099.58416605715</v>
      </c>
      <c r="AS15" s="114">
        <f>AS13-AS14</f>
        <v>18582.788860000008</v>
      </c>
      <c r="AT15" s="120">
        <f t="shared" si="19"/>
        <v>0.53582045506407827</v>
      </c>
      <c r="AU15" s="115">
        <f>AU13-AU14</f>
        <v>18553</v>
      </c>
      <c r="AV15" s="114">
        <f>AV13-AV14</f>
        <v>18614.000039999999</v>
      </c>
      <c r="AW15" s="115">
        <f>AW13-AW14</f>
        <v>18076</v>
      </c>
      <c r="AX15" s="114">
        <f>AX13-AX14</f>
        <v>19113.78</v>
      </c>
      <c r="AY15" s="121">
        <f>AY13-AY14</f>
        <v>19667.6934</v>
      </c>
    </row>
    <row r="16" spans="1:52" s="95" customFormat="1" ht="16.5" thickBot="1" x14ac:dyDescent="0.25">
      <c r="A16" s="122" t="s">
        <v>117</v>
      </c>
      <c r="B16" s="123"/>
      <c r="C16" s="124"/>
      <c r="D16" s="125"/>
      <c r="E16" s="126"/>
      <c r="F16" s="127"/>
      <c r="G16" s="125"/>
      <c r="H16" s="128"/>
      <c r="I16" s="124"/>
      <c r="J16" s="125"/>
      <c r="K16" s="128"/>
      <c r="L16" s="129"/>
      <c r="M16" s="130"/>
      <c r="N16" s="128"/>
      <c r="O16" s="129"/>
      <c r="P16" s="130"/>
      <c r="Q16" s="128"/>
      <c r="R16" s="129"/>
      <c r="S16" s="131"/>
      <c r="T16" s="123"/>
      <c r="U16" s="124"/>
      <c r="V16" s="125"/>
      <c r="W16" s="126"/>
      <c r="X16" s="127"/>
      <c r="Y16" s="131"/>
      <c r="Z16" s="126"/>
      <c r="AA16" s="127"/>
      <c r="AB16" s="125"/>
      <c r="AC16" s="128"/>
      <c r="AD16" s="129"/>
      <c r="AE16" s="131"/>
      <c r="AF16" s="123"/>
      <c r="AG16" s="124"/>
      <c r="AH16" s="131"/>
      <c r="AI16" s="126"/>
      <c r="AJ16" s="127"/>
      <c r="AK16" s="125"/>
      <c r="AL16" s="126"/>
      <c r="AM16" s="127"/>
      <c r="AN16" s="125"/>
      <c r="AO16" s="128"/>
      <c r="AP16" s="124"/>
      <c r="AQ16" s="131"/>
      <c r="AR16" s="126"/>
      <c r="AS16" s="129"/>
      <c r="AT16" s="132"/>
      <c r="AU16" s="124"/>
      <c r="AV16" s="129"/>
      <c r="AW16" s="127"/>
      <c r="AX16" s="129"/>
      <c r="AY16" s="124"/>
      <c r="AZ16" s="133"/>
    </row>
    <row r="17" spans="1:51" s="95" customFormat="1" ht="16.5" thickBot="1" x14ac:dyDescent="0.3">
      <c r="A17" s="102" t="s">
        <v>118</v>
      </c>
      <c r="B17" s="134"/>
      <c r="C17" s="135">
        <v>0</v>
      </c>
      <c r="D17" s="136" t="str">
        <f t="shared" ref="D17" si="21">IF(ISERROR((C17-B17)/B17),"--",(C17-B17)/B17)</f>
        <v>--</v>
      </c>
      <c r="E17" s="134"/>
      <c r="F17" s="135">
        <v>0</v>
      </c>
      <c r="G17" s="136" t="str">
        <f t="shared" ref="G17" si="22">IF(ISERROR((F17-E17)/E17),"--",(F17-E17)/E17)</f>
        <v>--</v>
      </c>
      <c r="H17" s="134"/>
      <c r="I17" s="135">
        <v>0</v>
      </c>
      <c r="J17" s="136" t="str">
        <f t="shared" ref="J17" si="23">IF(ISERROR((I17-H17)/H17),"--",(I17-H17)/H17)</f>
        <v>--</v>
      </c>
      <c r="K17" s="134"/>
      <c r="L17" s="135">
        <v>0</v>
      </c>
      <c r="M17" s="136" t="str">
        <f t="shared" ref="M17" si="24">IF(ISERROR((L17-K17)/K17),"--",(L17-K17)/K17)</f>
        <v>--</v>
      </c>
      <c r="N17" s="134"/>
      <c r="O17" s="135">
        <v>0</v>
      </c>
      <c r="P17" s="136" t="str">
        <f t="shared" ref="P17" si="25">IF(ISERROR((O17-N17)/N17),"--",(O17-N17)/N17)</f>
        <v>--</v>
      </c>
      <c r="Q17" s="134">
        <v>4402</v>
      </c>
      <c r="R17" s="135">
        <v>4158</v>
      </c>
      <c r="S17" s="136">
        <f t="shared" si="10"/>
        <v>-5.5429350295320312E-2</v>
      </c>
      <c r="T17" s="134">
        <v>4418</v>
      </c>
      <c r="U17" s="135">
        <v>3916</v>
      </c>
      <c r="V17" s="136">
        <f t="shared" si="11"/>
        <v>-0.1136260751471254</v>
      </c>
      <c r="W17" s="134">
        <v>4980</v>
      </c>
      <c r="X17" s="135">
        <v>3946</v>
      </c>
      <c r="Y17" s="136">
        <f t="shared" si="12"/>
        <v>-0.20763052208835342</v>
      </c>
      <c r="Z17" s="134">
        <v>4586</v>
      </c>
      <c r="AA17" s="135">
        <v>4341</v>
      </c>
      <c r="AB17" s="136">
        <f t="shared" si="13"/>
        <v>-5.3423462712603578E-2</v>
      </c>
      <c r="AC17" s="134">
        <v>4640</v>
      </c>
      <c r="AD17" s="135">
        <v>3963.1855399999999</v>
      </c>
      <c r="AE17" s="136">
        <f t="shared" si="14"/>
        <v>-0.14586518534482759</v>
      </c>
      <c r="AF17" s="134">
        <v>4745</v>
      </c>
      <c r="AG17" s="135">
        <v>4627.9549400000005</v>
      </c>
      <c r="AH17" s="136">
        <f t="shared" si="15"/>
        <v>-2.4667030558482499E-2</v>
      </c>
      <c r="AI17" s="134">
        <v>5185</v>
      </c>
      <c r="AJ17" s="135">
        <v>5287.2895899999994</v>
      </c>
      <c r="AK17" s="136">
        <f t="shared" si="16"/>
        <v>1.9727982642237109E-2</v>
      </c>
      <c r="AL17" s="137">
        <f>5328*10/12</f>
        <v>4440</v>
      </c>
      <c r="AM17" s="138">
        <v>4253.6000000000004</v>
      </c>
      <c r="AN17" s="139">
        <f t="shared" si="17"/>
        <v>-4.19819819819819E-2</v>
      </c>
      <c r="AO17" s="140">
        <f>5476*10/12</f>
        <v>4563.333333333333</v>
      </c>
      <c r="AP17" s="141">
        <v>4398.5</v>
      </c>
      <c r="AQ17" s="139">
        <f t="shared" si="18"/>
        <v>-3.61212563915266E-2</v>
      </c>
      <c r="AR17" s="137">
        <f>5628*10/12</f>
        <v>4690</v>
      </c>
      <c r="AS17" s="137">
        <v>4517.7</v>
      </c>
      <c r="AT17" s="139">
        <f t="shared" si="19"/>
        <v>-3.673773987206827E-2</v>
      </c>
      <c r="AU17" s="142">
        <v>6873.7110000000002</v>
      </c>
      <c r="AV17" s="142">
        <v>7079.9223300000003</v>
      </c>
      <c r="AW17" s="142">
        <v>7292.32</v>
      </c>
      <c r="AX17" s="142">
        <v>7511.0895999999993</v>
      </c>
      <c r="AY17" s="143">
        <v>7736.4222900000004</v>
      </c>
    </row>
    <row r="18" spans="1:51" s="95" customFormat="1" ht="12.75" hidden="1" x14ac:dyDescent="0.2"/>
    <row r="19" spans="1:51" s="144" customFormat="1" ht="12.75" hidden="1" x14ac:dyDescent="0.2">
      <c r="U19" s="144">
        <f>IF(T6=2013,5,IF(T6=2014,6,IF(T6=2015,7,IF(T6=2016,8,IF(T6=2017,9,IF(T6=2018,10,IF(T6=2019,11,IF(T6=2020,12,IF(T6=2021,13,IF(T6=2022,14,IF(T6=2023,15)))))))))))</f>
        <v>9</v>
      </c>
      <c r="X19" s="144">
        <f>IF(W6=2013,5,IF(W6=2014,6,IF(W6=2015,7,IF(W6=2016,8,IF(W6=2017,9,IF(W6=2018,10,IF(W6=2019,11,IF(W6=2020,12,IF(W6=2021,13,IF(W6=2022,14,IF(W6=2023,15)))))))))))</f>
        <v>10</v>
      </c>
      <c r="AG19" s="144">
        <f>IF(AF6=2013,5,IF(AF6=2014,6,IF(AF6=2015,7,IF(AF6=2016,8,IF(AF6=2017,9,IF(AF6=2018,10,IF(AF6=2019,11,IF(AF6=2020,12,IF(AF6=2021,13,IF(AF6=2022,14,IF(AF6=2023,15)))))))))))</f>
        <v>13</v>
      </c>
      <c r="AJ19" s="144">
        <f>IF(AI6=2013,5,IF(AI6=2014,6,IF(AI6=2015,7,IF(AI6=2016,8,IF(AI6=2017,9,IF(AI6=2018,10,IF(AI6=2019,11,IF(AI6=2020,12,IF(AI6=2021,13,IF(AI6=2022,14,IF(AI6=2023,15)))))))))))</f>
        <v>14</v>
      </c>
      <c r="AM19" s="144">
        <f>IF(AL6=2013,5,IF(AL6=2014,6,IF(AL6=2015,7,IF(AL6=2016,8,IF(AL6=2017,9,IF(AL6=2018,10,IF(AL6=2019,11,IF(AL6=2020,12,IF(AL6=2021,13,IF(AL6=2022,14,IF(AL6=2023,15)))))))))))</f>
        <v>15</v>
      </c>
    </row>
    <row r="20" spans="1:51" s="147" customFormat="1" ht="12.75" hidden="1" x14ac:dyDescent="0.2">
      <c r="A20" s="145"/>
      <c r="B20" s="361"/>
      <c r="C20" s="146">
        <f>B6</f>
        <v>2011</v>
      </c>
      <c r="D20" s="362"/>
      <c r="E20" s="363"/>
      <c r="F20" s="146">
        <f>C20+1</f>
        <v>2012</v>
      </c>
      <c r="G20" s="362"/>
      <c r="H20" s="363"/>
      <c r="I20" s="146">
        <f>F20+1</f>
        <v>2013</v>
      </c>
      <c r="J20" s="362"/>
      <c r="K20" s="363"/>
      <c r="L20" s="146">
        <f>I20+1</f>
        <v>2014</v>
      </c>
      <c r="M20" s="362"/>
      <c r="N20" s="363"/>
      <c r="O20" s="146">
        <f>L20+1</f>
        <v>2015</v>
      </c>
      <c r="P20" s="362"/>
      <c r="Q20" s="363"/>
      <c r="R20" s="146">
        <f>O20+1</f>
        <v>2016</v>
      </c>
      <c r="S20" s="362"/>
      <c r="T20" s="363"/>
      <c r="U20" s="146">
        <f>R20+1</f>
        <v>2017</v>
      </c>
      <c r="V20" s="362"/>
      <c r="W20" s="363"/>
      <c r="X20" s="146">
        <f>U20+1</f>
        <v>2018</v>
      </c>
      <c r="Y20" s="362"/>
      <c r="Z20" s="363"/>
      <c r="AA20" s="146">
        <f>X20+1</f>
        <v>2019</v>
      </c>
      <c r="AB20" s="362"/>
      <c r="AC20" s="363"/>
      <c r="AD20" s="146">
        <f>AA20+1</f>
        <v>2020</v>
      </c>
      <c r="AE20" s="362"/>
      <c r="AF20" s="363"/>
      <c r="AG20" s="146">
        <f>AD20+1</f>
        <v>2021</v>
      </c>
      <c r="AH20" s="362"/>
      <c r="AI20" s="363"/>
      <c r="AJ20" s="146">
        <f>AG20+1</f>
        <v>2022</v>
      </c>
      <c r="AK20" s="362"/>
      <c r="AL20" s="363"/>
      <c r="AM20" s="146">
        <f>AJ20+1</f>
        <v>2023</v>
      </c>
      <c r="AN20" s="362"/>
      <c r="AO20" s="363"/>
      <c r="AP20" s="146">
        <f>AM20+1</f>
        <v>2024</v>
      </c>
      <c r="AQ20" s="362"/>
      <c r="AR20" s="363"/>
      <c r="AS20" s="146">
        <f>AP20+1</f>
        <v>2025</v>
      </c>
      <c r="AT20" s="369"/>
      <c r="AU20" s="146" t="e">
        <f>AU6</f>
        <v>#REF!</v>
      </c>
      <c r="AV20" s="146" t="e">
        <f>AU20+1</f>
        <v>#REF!</v>
      </c>
      <c r="AW20" s="146" t="e">
        <f>AV20+1</f>
        <v>#REF!</v>
      </c>
      <c r="AX20" s="146" t="e">
        <f>AW20+1</f>
        <v>#REF!</v>
      </c>
      <c r="AY20" s="146" t="e">
        <f>AX20+1</f>
        <v>#REF!</v>
      </c>
    </row>
    <row r="21" spans="1:51" s="149" customFormat="1" ht="12.75" hidden="1" x14ac:dyDescent="0.2">
      <c r="A21" s="146" t="s">
        <v>119</v>
      </c>
      <c r="B21" s="361"/>
      <c r="C21" s="148">
        <v>0</v>
      </c>
      <c r="D21" s="364"/>
      <c r="E21" s="365"/>
      <c r="F21" s="148">
        <v>0</v>
      </c>
      <c r="G21" s="364"/>
      <c r="H21" s="365"/>
      <c r="I21" s="148">
        <v>0</v>
      </c>
      <c r="J21" s="364"/>
      <c r="K21" s="365"/>
      <c r="L21" s="148">
        <v>0</v>
      </c>
      <c r="M21" s="364"/>
      <c r="N21" s="365"/>
      <c r="O21" s="148">
        <v>0</v>
      </c>
      <c r="P21" s="364"/>
      <c r="Q21" s="365"/>
      <c r="R21" s="148">
        <v>9058899.0390594639</v>
      </c>
      <c r="S21" s="364"/>
      <c r="T21" s="365"/>
      <c r="U21" s="148">
        <v>10785260.575828088</v>
      </c>
      <c r="V21" s="364"/>
      <c r="W21" s="365"/>
      <c r="X21" s="148">
        <v>10419723.699999999</v>
      </c>
      <c r="Y21" s="364"/>
      <c r="Z21" s="365"/>
      <c r="AA21" s="148">
        <v>10559180.750000007</v>
      </c>
      <c r="AB21" s="364"/>
      <c r="AC21" s="365"/>
      <c r="AD21" s="148">
        <v>13175616.339999994</v>
      </c>
      <c r="AE21" s="364"/>
      <c r="AF21" s="365"/>
      <c r="AG21" s="148">
        <v>14235388.529999977</v>
      </c>
      <c r="AH21" s="364"/>
      <c r="AI21" s="365"/>
      <c r="AJ21" s="148">
        <v>14159457.339999963</v>
      </c>
      <c r="AK21" s="364"/>
      <c r="AL21" s="365"/>
      <c r="AM21" s="148">
        <v>11095893.869999936</v>
      </c>
      <c r="AN21" s="364"/>
      <c r="AO21" s="365"/>
      <c r="AP21" s="148">
        <v>15300845.960000098</v>
      </c>
      <c r="AQ21" s="364"/>
      <c r="AR21" s="365"/>
      <c r="AS21" s="148">
        <v>18428413.129999999</v>
      </c>
      <c r="AT21" s="370"/>
      <c r="AU21" s="148">
        <v>18553000</v>
      </c>
      <c r="AV21" s="148">
        <v>18614000.039999999</v>
      </c>
      <c r="AW21" s="148">
        <v>18076000</v>
      </c>
      <c r="AX21" s="148">
        <v>19113780</v>
      </c>
      <c r="AY21" s="148">
        <v>19667693.399999999</v>
      </c>
    </row>
    <row r="22" spans="1:51" s="149" customFormat="1" hidden="1" x14ac:dyDescent="0.25">
      <c r="A22" s="146" t="s">
        <v>120</v>
      </c>
      <c r="B22" s="361"/>
      <c r="C22" s="150">
        <v>4330530.92</v>
      </c>
      <c r="D22" s="366"/>
      <c r="E22" s="367"/>
      <c r="F22" s="150">
        <v>3101739.7949999995</v>
      </c>
      <c r="G22" s="366"/>
      <c r="H22" s="367"/>
      <c r="I22" s="150">
        <v>3282293.2399999998</v>
      </c>
      <c r="J22" s="366"/>
      <c r="K22" s="367"/>
      <c r="L22" s="150">
        <v>3618913.5799999982</v>
      </c>
      <c r="M22" s="366"/>
      <c r="N22" s="367"/>
      <c r="O22" s="150">
        <v>3461526.3100000015</v>
      </c>
      <c r="P22" s="366"/>
      <c r="Q22" s="367"/>
      <c r="R22" s="150">
        <v>4330530.92</v>
      </c>
      <c r="S22" s="366"/>
      <c r="T22" s="367"/>
      <c r="U22" s="150">
        <v>3101739.7949999995</v>
      </c>
      <c r="V22" s="366"/>
      <c r="W22" s="367"/>
      <c r="X22" s="150">
        <v>3282293.2399999998</v>
      </c>
      <c r="Y22" s="366"/>
      <c r="Z22" s="367"/>
      <c r="AA22" s="150">
        <v>3618913.5799999982</v>
      </c>
      <c r="AB22" s="366"/>
      <c r="AC22" s="367"/>
      <c r="AD22" s="150">
        <v>3461526.3100000015</v>
      </c>
      <c r="AE22" s="366"/>
      <c r="AF22" s="367"/>
      <c r="AG22" s="150">
        <v>3933993.3900000011</v>
      </c>
      <c r="AH22" s="366"/>
      <c r="AI22" s="367"/>
      <c r="AJ22" s="150">
        <v>4663360.09</v>
      </c>
      <c r="AK22" s="366"/>
      <c r="AL22" s="367"/>
      <c r="AM22" s="150">
        <v>5137127.5350000001</v>
      </c>
      <c r="AN22" s="366"/>
      <c r="AO22" s="367"/>
      <c r="AP22" s="150">
        <v>5315738.33</v>
      </c>
      <c r="AQ22" s="366"/>
      <c r="AR22" s="367"/>
      <c r="AS22" s="150">
        <v>5668121.9800352938</v>
      </c>
      <c r="AT22" s="371"/>
      <c r="AU22" s="150">
        <v>6184354.2949670572</v>
      </c>
      <c r="AV22" s="372"/>
      <c r="AW22" s="373"/>
      <c r="AX22" s="373"/>
      <c r="AY22" s="374"/>
    </row>
    <row r="23" spans="1:51" s="149" customFormat="1" ht="12.75" hidden="1" x14ac:dyDescent="0.2">
      <c r="A23" s="147"/>
      <c r="AA23" s="151"/>
      <c r="AB23" s="151"/>
      <c r="AC23" s="151"/>
      <c r="AD23" s="151"/>
    </row>
    <row r="24" spans="1:51" s="95" customFormat="1" ht="12.75" hidden="1" x14ac:dyDescent="0.2">
      <c r="X24" s="144"/>
      <c r="AM24" s="144"/>
      <c r="AP24" s="144"/>
    </row>
    <row r="25" spans="1:51" x14ac:dyDescent="0.25">
      <c r="A25" s="375" t="s">
        <v>121</v>
      </c>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row>
    <row r="26" spans="1:51" ht="15.6" customHeight="1" x14ac:dyDescent="0.25">
      <c r="A26" s="368" t="s">
        <v>122</v>
      </c>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row>
    <row r="27" spans="1:51" hidden="1" x14ac:dyDescent="0.25">
      <c r="A27" s="385" t="s">
        <v>123</v>
      </c>
      <c r="B27" s="385"/>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153"/>
      <c r="AN27" s="153"/>
      <c r="AO27" s="153"/>
      <c r="AP27" s="153"/>
      <c r="AQ27" s="153"/>
      <c r="AR27" s="153"/>
      <c r="AS27" s="153"/>
      <c r="AT27" s="153"/>
      <c r="AU27" s="153"/>
      <c r="AV27" s="153"/>
      <c r="AW27" s="153"/>
      <c r="AX27" s="153"/>
      <c r="AY27" s="153"/>
    </row>
    <row r="28" spans="1:51" hidden="1" x14ac:dyDescent="0.25">
      <c r="A28" s="152"/>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row>
    <row r="29" spans="1:51" hidden="1" x14ac:dyDescent="0.25">
      <c r="A29" s="385" t="s">
        <v>124</v>
      </c>
      <c r="B29" s="385"/>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row>
    <row r="30" spans="1:51" hidden="1" x14ac:dyDescent="0.25">
      <c r="A30" s="152"/>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row>
    <row r="31" spans="1:51" hidden="1" x14ac:dyDescent="0.25"/>
    <row r="32" spans="1:51" ht="18.75" hidden="1" x14ac:dyDescent="0.3">
      <c r="A32" s="386" t="s">
        <v>125</v>
      </c>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c r="AS32" s="387"/>
      <c r="AT32" s="387"/>
      <c r="AU32" s="387"/>
      <c r="AV32" s="387"/>
      <c r="AW32" s="387"/>
      <c r="AX32" s="387"/>
      <c r="AY32" s="388"/>
    </row>
    <row r="33" spans="1:51" hidden="1" x14ac:dyDescent="0.25">
      <c r="A33" s="382" t="s">
        <v>126</v>
      </c>
      <c r="B33" s="383"/>
      <c r="C33" s="383"/>
      <c r="D33" s="383"/>
      <c r="E33" s="383"/>
      <c r="F33" s="383"/>
      <c r="G33" s="383"/>
      <c r="H33" s="383"/>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3"/>
      <c r="AK33" s="383"/>
      <c r="AL33" s="383"/>
      <c r="AM33" s="383"/>
      <c r="AN33" s="383"/>
      <c r="AO33" s="383"/>
      <c r="AP33" s="383"/>
      <c r="AQ33" s="383"/>
      <c r="AR33" s="383"/>
      <c r="AS33" s="383"/>
      <c r="AT33" s="383"/>
      <c r="AU33" s="383"/>
      <c r="AV33" s="383"/>
      <c r="AW33" s="383"/>
      <c r="AX33" s="383"/>
      <c r="AY33" s="384"/>
    </row>
    <row r="34" spans="1:51" hidden="1" x14ac:dyDescent="0.25">
      <c r="A34" s="376"/>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8"/>
    </row>
    <row r="35" spans="1:51" ht="30" customHeight="1" x14ac:dyDescent="0.25">
      <c r="A35" s="379"/>
      <c r="B35" s="380"/>
      <c r="C35" s="380"/>
      <c r="D35" s="380"/>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1"/>
    </row>
    <row r="36" spans="1:51" x14ac:dyDescent="0.25">
      <c r="A36" s="382" t="s">
        <v>127</v>
      </c>
      <c r="B36" s="383"/>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3"/>
      <c r="AN36" s="383"/>
      <c r="AO36" s="383"/>
      <c r="AP36" s="383"/>
      <c r="AQ36" s="383"/>
      <c r="AR36" s="383"/>
      <c r="AS36" s="383"/>
      <c r="AT36" s="383"/>
      <c r="AU36" s="383"/>
      <c r="AV36" s="383"/>
      <c r="AW36" s="383"/>
      <c r="AX36" s="383"/>
      <c r="AY36" s="384"/>
    </row>
    <row r="37" spans="1:51" x14ac:dyDescent="0.25">
      <c r="A37" s="376"/>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8"/>
    </row>
    <row r="38" spans="1:51" x14ac:dyDescent="0.25">
      <c r="A38" s="379"/>
      <c r="B38" s="380"/>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80"/>
      <c r="AW38" s="380"/>
      <c r="AX38" s="380"/>
      <c r="AY38" s="381"/>
    </row>
    <row r="39" spans="1:51" x14ac:dyDescent="0.25">
      <c r="A39" s="382" t="s">
        <v>128</v>
      </c>
      <c r="B39" s="383"/>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383"/>
      <c r="AN39" s="383"/>
      <c r="AO39" s="383"/>
      <c r="AP39" s="383"/>
      <c r="AQ39" s="383"/>
      <c r="AR39" s="383"/>
      <c r="AS39" s="383"/>
      <c r="AT39" s="383"/>
      <c r="AU39" s="383"/>
      <c r="AV39" s="383"/>
      <c r="AW39" s="383"/>
      <c r="AX39" s="383"/>
      <c r="AY39" s="384"/>
    </row>
    <row r="40" spans="1:51" x14ac:dyDescent="0.25">
      <c r="A40" s="376"/>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377"/>
      <c r="AN40" s="377"/>
      <c r="AO40" s="377"/>
      <c r="AP40" s="377"/>
      <c r="AQ40" s="377"/>
      <c r="AR40" s="377"/>
      <c r="AS40" s="377"/>
      <c r="AT40" s="377"/>
      <c r="AU40" s="377"/>
      <c r="AV40" s="377"/>
      <c r="AW40" s="377"/>
      <c r="AX40" s="377"/>
      <c r="AY40" s="378"/>
    </row>
    <row r="41" spans="1:51" x14ac:dyDescent="0.25">
      <c r="A41" s="379"/>
      <c r="B41" s="380"/>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1"/>
    </row>
  </sheetData>
  <mergeCells count="69">
    <mergeCell ref="A37:AY38"/>
    <mergeCell ref="A39:AY39"/>
    <mergeCell ref="A40:AY41"/>
    <mergeCell ref="A27:AL27"/>
    <mergeCell ref="A29:AY29"/>
    <mergeCell ref="A32:AY32"/>
    <mergeCell ref="A33:AY33"/>
    <mergeCell ref="A34:AY35"/>
    <mergeCell ref="A36:AY36"/>
    <mergeCell ref="A26:AY26"/>
    <mergeCell ref="V20:W22"/>
    <mergeCell ref="Y20:Z22"/>
    <mergeCell ref="AB20:AC22"/>
    <mergeCell ref="AE20:AF22"/>
    <mergeCell ref="AH20:AI22"/>
    <mergeCell ref="AK20:AL22"/>
    <mergeCell ref="AN20:AO22"/>
    <mergeCell ref="AQ20:AR22"/>
    <mergeCell ref="AT20:AT22"/>
    <mergeCell ref="AV22:AY22"/>
    <mergeCell ref="A25:AY25"/>
    <mergeCell ref="AO8:AP8"/>
    <mergeCell ref="AR8:AS8"/>
    <mergeCell ref="AU8:AY8"/>
    <mergeCell ref="B20:B22"/>
    <mergeCell ref="D20:E22"/>
    <mergeCell ref="G20:H22"/>
    <mergeCell ref="J20:K22"/>
    <mergeCell ref="M20:N22"/>
    <mergeCell ref="P20:Q22"/>
    <mergeCell ref="S20:T22"/>
    <mergeCell ref="W8:X8"/>
    <mergeCell ref="Z8:AA8"/>
    <mergeCell ref="AC8:AD8"/>
    <mergeCell ref="AF8:AG8"/>
    <mergeCell ref="AI8:AJ8"/>
    <mergeCell ref="AL8:AM8"/>
    <mergeCell ref="AW6:AW7"/>
    <mergeCell ref="AX6:AX7"/>
    <mergeCell ref="AY6:AY7"/>
    <mergeCell ref="B8:C8"/>
    <mergeCell ref="E8:F8"/>
    <mergeCell ref="H8:I8"/>
    <mergeCell ref="K8:L8"/>
    <mergeCell ref="N8:O8"/>
    <mergeCell ref="Q8:R8"/>
    <mergeCell ref="T8:U8"/>
    <mergeCell ref="AI6:AK6"/>
    <mergeCell ref="AL6:AN6"/>
    <mergeCell ref="AO6:AQ6"/>
    <mergeCell ref="AR6:AT6"/>
    <mergeCell ref="AU6:AU7"/>
    <mergeCell ref="AV6:AV7"/>
    <mergeCell ref="AF6:AH6"/>
    <mergeCell ref="A1:AY1"/>
    <mergeCell ref="A2:AY2"/>
    <mergeCell ref="A5:A8"/>
    <mergeCell ref="B5:AT5"/>
    <mergeCell ref="AU5:AY5"/>
    <mergeCell ref="B6:D6"/>
    <mergeCell ref="E6:G6"/>
    <mergeCell ref="H6:J6"/>
    <mergeCell ref="K6:M6"/>
    <mergeCell ref="N6:P6"/>
    <mergeCell ref="Q6:S6"/>
    <mergeCell ref="T6:V6"/>
    <mergeCell ref="W6:Y6"/>
    <mergeCell ref="Z6:AB6"/>
    <mergeCell ref="AC6:A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7F2C7-290D-4E73-83C5-9ADEEF40FA82}">
  <sheetPr>
    <pageSetUpPr fitToPage="1"/>
  </sheetPr>
  <dimension ref="B1:Q77"/>
  <sheetViews>
    <sheetView showGridLines="0" topLeftCell="E1" zoomScale="90" zoomScaleNormal="90" workbookViewId="0">
      <selection activeCell="P5" sqref="P5"/>
    </sheetView>
  </sheetViews>
  <sheetFormatPr defaultRowHeight="15" x14ac:dyDescent="0.25"/>
  <cols>
    <col min="2" max="2" width="29" customWidth="1"/>
    <col min="3" max="3" width="17.28515625" customWidth="1"/>
    <col min="4" max="6" width="15" customWidth="1"/>
    <col min="7" max="7" width="13.42578125" bestFit="1" customWidth="1"/>
    <col min="8" max="8" width="12.85546875" bestFit="1" customWidth="1"/>
    <col min="9" max="15" width="12.85546875" customWidth="1"/>
    <col min="16" max="16" width="12.7109375" customWidth="1"/>
    <col min="17" max="17" width="12.85546875" customWidth="1"/>
  </cols>
  <sheetData>
    <row r="1" spans="2:17" ht="18" x14ac:dyDescent="0.25">
      <c r="B1" s="389" t="s">
        <v>173</v>
      </c>
      <c r="C1" s="389"/>
      <c r="D1" s="389"/>
      <c r="E1" s="389"/>
      <c r="F1" s="389"/>
      <c r="G1" s="389"/>
      <c r="H1" s="389"/>
      <c r="I1" s="218"/>
      <c r="J1" s="218"/>
      <c r="K1" s="218"/>
      <c r="L1" s="218"/>
      <c r="M1" s="218"/>
      <c r="N1" s="218"/>
      <c r="O1" s="218"/>
      <c r="P1" s="218"/>
    </row>
    <row r="2" spans="2:17" ht="18" x14ac:dyDescent="0.25">
      <c r="B2" s="389" t="s">
        <v>174</v>
      </c>
      <c r="C2" s="389"/>
      <c r="D2" s="389"/>
      <c r="E2" s="389"/>
      <c r="F2" s="389"/>
      <c r="G2" s="389"/>
      <c r="H2" s="389"/>
      <c r="I2" s="218"/>
      <c r="J2" s="218"/>
      <c r="K2" s="218"/>
      <c r="L2" s="218"/>
      <c r="M2" s="218"/>
      <c r="N2" s="218"/>
      <c r="O2" s="218"/>
      <c r="P2" s="218"/>
    </row>
    <row r="4" spans="2:17" ht="15.75" thickBot="1" x14ac:dyDescent="0.3"/>
    <row r="5" spans="2:17" ht="39" thickBot="1" x14ac:dyDescent="0.3">
      <c r="B5" s="219"/>
      <c r="C5" s="220" t="s">
        <v>175</v>
      </c>
      <c r="D5" s="220" t="s">
        <v>176</v>
      </c>
      <c r="E5" s="220" t="s">
        <v>177</v>
      </c>
      <c r="F5" s="220" t="s">
        <v>178</v>
      </c>
      <c r="G5" s="220" t="s">
        <v>179</v>
      </c>
      <c r="H5" s="295" t="s">
        <v>180</v>
      </c>
      <c r="I5" s="220" t="s">
        <v>189</v>
      </c>
      <c r="J5" s="220" t="s">
        <v>190</v>
      </c>
      <c r="K5" s="220" t="str">
        <f>'App.2-JC'!K13</f>
        <v>2023 Actuals (to Oct. 31)</v>
      </c>
      <c r="L5" s="220" t="s">
        <v>191</v>
      </c>
      <c r="M5" s="220" t="str">
        <f>'App.2-JC'!M13</f>
        <v>2024 Actuals (to Oct. 31)</v>
      </c>
      <c r="N5" s="220" t="s">
        <v>192</v>
      </c>
      <c r="O5" s="220" t="str">
        <f>'App.2-JC'!O13</f>
        <v>2025 Actuals (to Oct. 31)</v>
      </c>
      <c r="P5" s="220" t="s">
        <v>193</v>
      </c>
      <c r="Q5" s="221" t="s">
        <v>194</v>
      </c>
    </row>
    <row r="6" spans="2:17" ht="15.75" thickBot="1" x14ac:dyDescent="0.3">
      <c r="B6" s="222" t="s">
        <v>136</v>
      </c>
      <c r="C6" s="223" t="s">
        <v>1</v>
      </c>
      <c r="D6" s="223" t="s">
        <v>1</v>
      </c>
      <c r="E6" s="223" t="s">
        <v>1</v>
      </c>
      <c r="F6" s="223" t="s">
        <v>1</v>
      </c>
      <c r="G6" s="223" t="s">
        <v>1</v>
      </c>
      <c r="H6" s="306" t="s">
        <v>1</v>
      </c>
      <c r="I6" s="223" t="s">
        <v>1</v>
      </c>
      <c r="J6" s="223" t="s">
        <v>1</v>
      </c>
      <c r="K6" s="223" t="s">
        <v>1</v>
      </c>
      <c r="L6" s="223" t="s">
        <v>1</v>
      </c>
      <c r="M6" s="223" t="s">
        <v>1</v>
      </c>
      <c r="N6" s="223" t="s">
        <v>1</v>
      </c>
      <c r="O6" s="223" t="s">
        <v>1</v>
      </c>
      <c r="P6" s="223" t="s">
        <v>1</v>
      </c>
      <c r="Q6" s="224" t="s">
        <v>1</v>
      </c>
    </row>
    <row r="7" spans="2:17" x14ac:dyDescent="0.25">
      <c r="B7" s="225" t="s">
        <v>181</v>
      </c>
      <c r="C7" s="226">
        <f>'App.2-JC'!C55</f>
        <v>2294825.5380000002</v>
      </c>
      <c r="D7" s="226">
        <f>'App.2-JC'!D55</f>
        <v>2304444.4500000002</v>
      </c>
      <c r="E7" s="226">
        <f>'App.2-JC'!E55</f>
        <v>1580202.2849999997</v>
      </c>
      <c r="F7" s="226">
        <f>'App.2-JC'!F55</f>
        <v>1650976.8399999996</v>
      </c>
      <c r="G7" s="226">
        <f>'App.2-JC'!G55</f>
        <v>1687121.1899999981</v>
      </c>
      <c r="H7" s="307">
        <f>'App.2-JC'!H55</f>
        <v>1796606.0000000019</v>
      </c>
      <c r="I7" s="226">
        <f>'App.2-JC'!I55</f>
        <v>1840264.3300000003</v>
      </c>
      <c r="J7" s="226">
        <f>'App.2-JC'!J55</f>
        <v>1949926.08</v>
      </c>
      <c r="K7" s="226">
        <f>'App.2-JC'!K55</f>
        <v>1812904.3791666667</v>
      </c>
      <c r="L7" s="226">
        <f>'App.2-JC'!L55</f>
        <v>2269854.6750000003</v>
      </c>
      <c r="M7" s="226">
        <f>'App.2-JC'!M55</f>
        <v>1909341.7333333339</v>
      </c>
      <c r="N7" s="226">
        <f>'App.2-JC'!N55</f>
        <v>2400932.5800000005</v>
      </c>
      <c r="O7" s="226">
        <f>'App.2-JC'!O55</f>
        <v>2046807.9699999997</v>
      </c>
      <c r="P7" s="226">
        <f>'App.2-JC'!P55</f>
        <v>2560508.9301148211</v>
      </c>
      <c r="Q7" s="227">
        <f>'App.2-JC'!Q55</f>
        <v>2749051.1617163699</v>
      </c>
    </row>
    <row r="8" spans="2:17" x14ac:dyDescent="0.25">
      <c r="B8" s="225" t="s">
        <v>182</v>
      </c>
      <c r="C8" s="226">
        <f>'App.2-JC'!C44</f>
        <v>2030881.0680000004</v>
      </c>
      <c r="D8" s="226">
        <f>'App.2-JC'!D44</f>
        <v>2026086.47</v>
      </c>
      <c r="E8" s="226">
        <f>'App.2-JC'!E44</f>
        <v>1521537.5099999998</v>
      </c>
      <c r="F8" s="226">
        <f>'App.2-JC'!F44</f>
        <v>1631316.4000000001</v>
      </c>
      <c r="G8" s="226">
        <f>'App.2-JC'!G44</f>
        <v>1931792.3900000001</v>
      </c>
      <c r="H8" s="307">
        <f>'App.2-JC'!H44</f>
        <v>1664920.3099999998</v>
      </c>
      <c r="I8" s="226">
        <f>'App.2-JC'!I44</f>
        <v>2093729.0600000008</v>
      </c>
      <c r="J8" s="226">
        <f>'App.2-JC'!J44</f>
        <v>2713434.01</v>
      </c>
      <c r="K8" s="226">
        <f>'App.2-JC'!K44</f>
        <v>2364470.4333333336</v>
      </c>
      <c r="L8" s="226">
        <f>'App.2-JC'!L44</f>
        <v>2867272.8600000003</v>
      </c>
      <c r="M8" s="226">
        <f>'App.2-JC'!M44</f>
        <v>2341748.1916666664</v>
      </c>
      <c r="N8" s="226">
        <f>'App.2-JC'!N44</f>
        <v>2914805.7499999995</v>
      </c>
      <c r="O8" s="226">
        <f>'App.2-JC'!O44</f>
        <v>2470935.35</v>
      </c>
      <c r="P8" s="226">
        <f>'App.2-JC'!P44</f>
        <v>3107613.0499204732</v>
      </c>
      <c r="Q8" s="227">
        <f>'App.2-JC'!Q44</f>
        <v>3435303.1332506877</v>
      </c>
    </row>
    <row r="9" spans="2:17" x14ac:dyDescent="0.25">
      <c r="B9" s="228" t="s">
        <v>183</v>
      </c>
      <c r="C9" s="229">
        <f t="shared" ref="C9:H9" si="0">C7+C8</f>
        <v>4325706.6060000006</v>
      </c>
      <c r="D9" s="229">
        <f t="shared" si="0"/>
        <v>4330530.92</v>
      </c>
      <c r="E9" s="229">
        <f t="shared" si="0"/>
        <v>3101739.7949999995</v>
      </c>
      <c r="F9" s="229">
        <f t="shared" si="0"/>
        <v>3282293.2399999998</v>
      </c>
      <c r="G9" s="229">
        <f t="shared" si="0"/>
        <v>3618913.5799999982</v>
      </c>
      <c r="H9" s="308">
        <f t="shared" si="0"/>
        <v>3461526.3100000015</v>
      </c>
      <c r="I9" s="229">
        <f t="shared" ref="I9:N9" si="1">I7+I8</f>
        <v>3933993.3900000011</v>
      </c>
      <c r="J9" s="229">
        <f t="shared" si="1"/>
        <v>4663360.09</v>
      </c>
      <c r="K9" s="229">
        <f t="shared" si="1"/>
        <v>4177374.8125</v>
      </c>
      <c r="L9" s="229">
        <f t="shared" si="1"/>
        <v>5137127.5350000001</v>
      </c>
      <c r="M9" s="229">
        <f t="shared" si="1"/>
        <v>4251089.9250000007</v>
      </c>
      <c r="N9" s="229">
        <f t="shared" si="1"/>
        <v>5315738.33</v>
      </c>
      <c r="O9" s="229">
        <f t="shared" ref="O9" si="2">O7+O8</f>
        <v>4517743.32</v>
      </c>
      <c r="P9" s="229">
        <f>P7+P8</f>
        <v>5668121.9800352938</v>
      </c>
      <c r="Q9" s="230">
        <f>Q7+Q8</f>
        <v>6184354.2949670572</v>
      </c>
    </row>
    <row r="10" spans="2:17" x14ac:dyDescent="0.25">
      <c r="B10" s="225" t="s">
        <v>184</v>
      </c>
      <c r="C10" s="231"/>
      <c r="D10" s="232">
        <f t="shared" ref="D10:H10" si="3">IF(ISERROR((D9-C9)/C9), "", (D9-C9)/C9)</f>
        <v>1.1152661147447488E-3</v>
      </c>
      <c r="E10" s="232">
        <f t="shared" si="3"/>
        <v>-0.28375068731757269</v>
      </c>
      <c r="F10" s="232">
        <f t="shared" si="3"/>
        <v>5.8210377701911752E-2</v>
      </c>
      <c r="G10" s="232">
        <f t="shared" si="3"/>
        <v>0.10255644922206843</v>
      </c>
      <c r="H10" s="234">
        <f t="shared" si="3"/>
        <v>-4.3490198514217308E-2</v>
      </c>
      <c r="I10" s="232">
        <f>IF(ISERROR((I9-H9)/H9), "", (I9-H9)/H9)</f>
        <v>0.13649096892174117</v>
      </c>
      <c r="J10" s="232">
        <f>IF(ISERROR((J9-I9)/I9), "", (J9-I9)/I9)</f>
        <v>0.18540109951735292</v>
      </c>
      <c r="K10" s="232"/>
      <c r="L10" s="232">
        <f>IF(ISERROR((L9-J9)/J9), "", (L9-J9)/J9)</f>
        <v>0.10159357970574395</v>
      </c>
      <c r="M10" s="232"/>
      <c r="N10" s="232">
        <f>IF(ISERROR((N9-L9)/L9), "", (N9-L9)/L9)</f>
        <v>3.4768612183189634E-2</v>
      </c>
      <c r="O10" s="232"/>
      <c r="P10" s="232">
        <f>IF(ISERROR((P9-N9)/N9), "", (P9-N9)/N9)</f>
        <v>6.6290631359067251E-2</v>
      </c>
      <c r="Q10" s="233">
        <f>IF(ISERROR((Q9-P9)/P9), "", (Q9-P9)/P9)</f>
        <v>9.1076430032747624E-2</v>
      </c>
    </row>
    <row r="11" spans="2:17" ht="24" x14ac:dyDescent="0.25">
      <c r="B11" s="225" t="s">
        <v>185</v>
      </c>
      <c r="C11" s="234"/>
      <c r="D11" s="235"/>
      <c r="E11" s="235"/>
      <c r="F11" s="235"/>
      <c r="G11" s="235"/>
      <c r="H11" s="235"/>
      <c r="I11" s="234"/>
      <c r="J11" s="235"/>
      <c r="K11" s="235"/>
      <c r="L11" s="235"/>
      <c r="M11" s="235"/>
      <c r="N11" s="235"/>
      <c r="O11" s="235"/>
      <c r="P11" s="246"/>
      <c r="Q11" s="233" t="str">
        <f>IF(ISERROR((Q9-#REF!)/#REF!), "", (Q9-#REF!)/#REF!)</f>
        <v/>
      </c>
    </row>
    <row r="12" spans="2:17" x14ac:dyDescent="0.25">
      <c r="B12" s="225" t="s">
        <v>186</v>
      </c>
      <c r="C12" s="226">
        <f>'App.2-JC'!C33</f>
        <v>3550630.3820000002</v>
      </c>
      <c r="D12" s="226">
        <f>'App.2-JC'!D33</f>
        <v>3322649.9900000012</v>
      </c>
      <c r="E12" s="226">
        <f>'App.2-JC'!E33</f>
        <v>3317065.8049999997</v>
      </c>
      <c r="F12" s="226">
        <f>'App.2-JC'!F33</f>
        <v>3626117.95</v>
      </c>
      <c r="G12" s="226">
        <f>'App.2-JC'!G33</f>
        <v>3322270.4199999995</v>
      </c>
      <c r="H12" s="307">
        <f>'App.2-JC'!H33</f>
        <v>3428904.0399999996</v>
      </c>
      <c r="I12" s="226">
        <f>'App.2-JC'!I33</f>
        <v>3166900.2499999986</v>
      </c>
      <c r="J12" s="226">
        <f>'App.2-JC'!J33</f>
        <v>3528878.49</v>
      </c>
      <c r="K12" s="226">
        <f>'App.2-JC'!K33</f>
        <v>3064418.9291666667</v>
      </c>
      <c r="L12" s="226">
        <f>'App.2-JC'!L33</f>
        <v>3440236.8149999999</v>
      </c>
      <c r="M12" s="226">
        <f>'App.2-JC'!M33</f>
        <v>3283018.7749999994</v>
      </c>
      <c r="N12" s="226">
        <f>'App.2-JC'!N33</f>
        <v>3724281.8499999996</v>
      </c>
      <c r="O12" s="226">
        <f>'App.2-JC'!O33</f>
        <v>3355331.4866666682</v>
      </c>
      <c r="P12" s="226">
        <f>'App.2-JC'!P33</f>
        <v>3810355.9900000012</v>
      </c>
      <c r="Q12" s="227">
        <f>'App.2-JC'!Q33</f>
        <v>4374049.0296999998</v>
      </c>
    </row>
    <row r="13" spans="2:17" x14ac:dyDescent="0.25">
      <c r="B13" s="225" t="s">
        <v>187</v>
      </c>
      <c r="C13" s="226">
        <f>'App.2-JC'!C27</f>
        <v>237844</v>
      </c>
      <c r="D13" s="226">
        <f>'App.2-JC'!D27</f>
        <v>179029.89</v>
      </c>
      <c r="E13" s="226">
        <f>'App.2-JC'!E27</f>
        <v>208267.41</v>
      </c>
      <c r="F13" s="226">
        <f>'App.2-JC'!F27</f>
        <v>152854.44</v>
      </c>
      <c r="G13" s="226">
        <f>'App.2-JC'!G27</f>
        <v>230341.35999999996</v>
      </c>
      <c r="H13" s="307">
        <f>'App.2-JC'!H27</f>
        <v>243998.98</v>
      </c>
      <c r="I13" s="226">
        <f>'App.2-JC'!I27</f>
        <v>278309.64999999997</v>
      </c>
      <c r="J13" s="226">
        <f>'App.2-JC'!J27</f>
        <v>215382.56000000003</v>
      </c>
      <c r="K13" s="226">
        <f>'App.2-JC'!K27</f>
        <v>192580.81666666671</v>
      </c>
      <c r="L13" s="226">
        <f>'App.2-JC'!L27</f>
        <v>231096.98000000007</v>
      </c>
      <c r="M13" s="226">
        <f>'App.2-JC'!M27</f>
        <v>176509</v>
      </c>
      <c r="N13" s="226">
        <f>'App.2-JC'!N27</f>
        <v>209385.06</v>
      </c>
      <c r="O13" s="226">
        <f>'App.2-JC'!O27</f>
        <v>236590.02</v>
      </c>
      <c r="P13" s="226">
        <f>'App.2-JC'!P27</f>
        <v>221117.98813486178</v>
      </c>
      <c r="Q13" s="227">
        <f>'App.2-JC'!Q27</f>
        <v>511153.64290434401</v>
      </c>
    </row>
    <row r="14" spans="2:17" x14ac:dyDescent="0.25">
      <c r="B14" s="225" t="s">
        <v>188</v>
      </c>
      <c r="C14" s="226">
        <f>'App.2-JC'!C23</f>
        <v>5848678.2719999999</v>
      </c>
      <c r="D14" s="226">
        <f>'App.2-JC'!D23</f>
        <v>6780261.1600000001</v>
      </c>
      <c r="E14" s="226">
        <f>'App.2-JC'!E23</f>
        <v>6765550.4700000016</v>
      </c>
      <c r="F14" s="226">
        <f>'App.2-JC'!F23</f>
        <v>6905539.129999999</v>
      </c>
      <c r="G14" s="226">
        <f>'App.2-JC'!G23</f>
        <v>6403510.7199999988</v>
      </c>
      <c r="H14" s="307">
        <f>'App.2-JC'!H23</f>
        <v>6473790.3966999985</v>
      </c>
      <c r="I14" s="226">
        <f>'App.2-JC'!I23</f>
        <v>6438596.4400000013</v>
      </c>
      <c r="J14" s="226">
        <f>'App.2-JC'!J23</f>
        <v>7284932.6300000036</v>
      </c>
      <c r="K14" s="226">
        <f>'App.2-JC'!K23</f>
        <v>6340730.1333333347</v>
      </c>
      <c r="L14" s="226">
        <f>'App.2-JC'!L23</f>
        <v>7663669.5500000017</v>
      </c>
      <c r="M14" s="226">
        <f>'App.2-JC'!M23</f>
        <v>7055980.5583333336</v>
      </c>
      <c r="N14" s="226">
        <f>'App.2-JC'!N23</f>
        <v>8395273.9900000002</v>
      </c>
      <c r="O14" s="226">
        <f>'App.2-JC'!O23</f>
        <v>7823575.6933333324</v>
      </c>
      <c r="P14" s="226">
        <f>'App.2-JC'!P23</f>
        <v>9343720.0418298449</v>
      </c>
      <c r="Q14" s="227">
        <f>'App.2-JC'!Q23</f>
        <v>10058309.0324286</v>
      </c>
    </row>
    <row r="15" spans="2:17" x14ac:dyDescent="0.25">
      <c r="B15" s="228" t="s">
        <v>183</v>
      </c>
      <c r="C15" s="229">
        <f>SUM(C12:C14)</f>
        <v>9637152.6539999992</v>
      </c>
      <c r="D15" s="229">
        <f t="shared" ref="D15:H15" si="4">SUM(D12:D14)</f>
        <v>10281941.040000001</v>
      </c>
      <c r="E15" s="229">
        <f t="shared" si="4"/>
        <v>10290883.685000002</v>
      </c>
      <c r="F15" s="229">
        <f t="shared" si="4"/>
        <v>10684511.52</v>
      </c>
      <c r="G15" s="229">
        <f t="shared" si="4"/>
        <v>9956122.4999999981</v>
      </c>
      <c r="H15" s="308">
        <f t="shared" si="4"/>
        <v>10146693.416699998</v>
      </c>
      <c r="I15" s="229">
        <f t="shared" ref="I15:N15" si="5">SUM(I12:I14)</f>
        <v>9883806.3399999999</v>
      </c>
      <c r="J15" s="229">
        <f t="shared" si="5"/>
        <v>11029193.680000003</v>
      </c>
      <c r="K15" s="229">
        <f t="shared" si="5"/>
        <v>9597729.8791666683</v>
      </c>
      <c r="L15" s="229">
        <f t="shared" si="5"/>
        <v>11335003.345000003</v>
      </c>
      <c r="M15" s="229">
        <f t="shared" si="5"/>
        <v>10515508.333333332</v>
      </c>
      <c r="N15" s="229">
        <f t="shared" si="5"/>
        <v>12328940.9</v>
      </c>
      <c r="O15" s="229">
        <f t="shared" ref="O15" si="6">SUM(O12:O14)</f>
        <v>11415497.200000001</v>
      </c>
      <c r="P15" s="229">
        <f>SUM(P12:P14)</f>
        <v>13375194.019964708</v>
      </c>
      <c r="Q15" s="230">
        <f>SUM(Q12:Q14)</f>
        <v>14943511.705032945</v>
      </c>
    </row>
    <row r="16" spans="2:17" x14ac:dyDescent="0.25">
      <c r="B16" s="225" t="s">
        <v>184</v>
      </c>
      <c r="C16" s="231"/>
      <c r="D16" s="232">
        <f t="shared" ref="D16:H16" si="7">IF(ISERROR((D15-C15)/C15), "", (D15-C15)/C15)</f>
        <v>6.6906524068846798E-2</v>
      </c>
      <c r="E16" s="232">
        <f t="shared" si="7"/>
        <v>8.6974287882139181E-4</v>
      </c>
      <c r="F16" s="232">
        <f t="shared" si="7"/>
        <v>3.8250149068709161E-2</v>
      </c>
      <c r="G16" s="232">
        <f t="shared" si="7"/>
        <v>-6.8172421232037886E-2</v>
      </c>
      <c r="H16" s="234">
        <f t="shared" si="7"/>
        <v>1.9141077934708012E-2</v>
      </c>
      <c r="I16" s="232">
        <f>IF(ISERROR((I15-H15)/H15), "", (I15-H15)/H15)</f>
        <v>-2.5908644905671824E-2</v>
      </c>
      <c r="J16" s="232">
        <f>IF(ISERROR((J15-I15)/I15), "", (J15-I15)/I15)</f>
        <v>0.11588524710005635</v>
      </c>
      <c r="K16" s="232"/>
      <c r="L16" s="232">
        <f>IF(ISERROR((L15-J15)/J15), "", (L15-J15)/J15)</f>
        <v>2.7727291212098746E-2</v>
      </c>
      <c r="M16" s="232"/>
      <c r="N16" s="232">
        <f>IF(ISERROR((N15-L15)/L15), "", (N15-L15)/L15)</f>
        <v>8.7687451405864369E-2</v>
      </c>
      <c r="O16" s="232"/>
      <c r="P16" s="232">
        <f>IF(ISERROR((P15-N15)/N15), "", (P15-N15)/N15)</f>
        <v>8.4861556921301137E-2</v>
      </c>
      <c r="Q16" s="233">
        <f>IF(ISERROR((Q15-P15)/P15), "", (Q15-P15)/P15)</f>
        <v>0.11725569608390435</v>
      </c>
    </row>
    <row r="17" spans="2:17" ht="24" x14ac:dyDescent="0.25">
      <c r="B17" s="225" t="s">
        <v>185</v>
      </c>
      <c r="C17" s="234"/>
      <c r="D17" s="235"/>
      <c r="E17" s="235"/>
      <c r="F17" s="235"/>
      <c r="G17" s="235"/>
      <c r="H17" s="235"/>
      <c r="I17" s="234"/>
      <c r="J17" s="235"/>
      <c r="K17" s="235"/>
      <c r="L17" s="235"/>
      <c r="M17" s="235"/>
      <c r="N17" s="235"/>
      <c r="O17" s="235"/>
      <c r="P17" s="246"/>
      <c r="Q17" s="233" t="str">
        <f>IF(ISERROR((Q15-#REF!)/#REF!), "", (Q15-#REF!)/#REF!)</f>
        <v/>
      </c>
    </row>
    <row r="18" spans="2:17" x14ac:dyDescent="0.25">
      <c r="B18" s="228" t="s">
        <v>63</v>
      </c>
      <c r="C18" s="236">
        <f>SUM(C15,C9)</f>
        <v>13962859.26</v>
      </c>
      <c r="D18" s="236">
        <f t="shared" ref="D18:H18" si="8">SUM(D15,D9)</f>
        <v>14612471.960000001</v>
      </c>
      <c r="E18" s="236">
        <f t="shared" si="8"/>
        <v>13392623.480000002</v>
      </c>
      <c r="F18" s="236">
        <f t="shared" si="8"/>
        <v>13966804.76</v>
      </c>
      <c r="G18" s="236">
        <f t="shared" si="8"/>
        <v>13575036.079999996</v>
      </c>
      <c r="H18" s="309">
        <f t="shared" si="8"/>
        <v>13608219.7267</v>
      </c>
      <c r="I18" s="236">
        <f t="shared" ref="I18:N18" si="9">SUM(I15,I9)</f>
        <v>13817799.73</v>
      </c>
      <c r="J18" s="236">
        <f t="shared" si="9"/>
        <v>15692553.770000003</v>
      </c>
      <c r="K18" s="236">
        <f t="shared" si="9"/>
        <v>13775104.691666668</v>
      </c>
      <c r="L18" s="236">
        <f t="shared" si="9"/>
        <v>16472130.880000003</v>
      </c>
      <c r="M18" s="236">
        <f t="shared" si="9"/>
        <v>14766598.258333333</v>
      </c>
      <c r="N18" s="236">
        <f t="shared" si="9"/>
        <v>17644679.23</v>
      </c>
      <c r="O18" s="236">
        <f t="shared" ref="O18" si="10">SUM(O15,O9)</f>
        <v>15933240.520000001</v>
      </c>
      <c r="P18" s="236">
        <f>SUM(P15,P9)</f>
        <v>19043316</v>
      </c>
      <c r="Q18" s="237">
        <f>SUM(Q15,Q9)</f>
        <v>21127866</v>
      </c>
    </row>
    <row r="19" spans="2:17" ht="15.75" thickBot="1" x14ac:dyDescent="0.3">
      <c r="B19" s="238" t="s">
        <v>184</v>
      </c>
      <c r="C19" s="239"/>
      <c r="D19" s="240">
        <f t="shared" ref="D19:H19" si="11">IF(ISERROR((D18-C18)/C18), "", (D18-C18)/C18)</f>
        <v>4.6524332008485852E-2</v>
      </c>
      <c r="E19" s="240">
        <f t="shared" si="11"/>
        <v>-8.347995351773449E-2</v>
      </c>
      <c r="F19" s="240">
        <f t="shared" si="11"/>
        <v>4.2872950236931273E-2</v>
      </c>
      <c r="G19" s="240">
        <f t="shared" si="11"/>
        <v>-2.8049986144433183E-2</v>
      </c>
      <c r="H19" s="310">
        <f t="shared" si="11"/>
        <v>2.4444610315911678E-3</v>
      </c>
      <c r="I19" s="240">
        <f>IF(ISERROR((I18-H18)/H18), "", (I18-H18)/H18)</f>
        <v>1.5400986132579389E-2</v>
      </c>
      <c r="J19" s="240">
        <f>IF(ISERROR((J18-I18)/I18), "", (J18-I18)/I18)</f>
        <v>0.13567674135048438</v>
      </c>
      <c r="K19" s="240"/>
      <c r="L19" s="240">
        <f>IF(ISERROR((L18-J18)/J18), "", (L18-J18)/J18)</f>
        <v>4.9678154456309326E-2</v>
      </c>
      <c r="M19" s="240"/>
      <c r="N19" s="240">
        <f>IF(ISERROR((N18-L18)/L18), "", (N18-L18)/L18)</f>
        <v>7.1183768423287178E-2</v>
      </c>
      <c r="O19" s="240"/>
      <c r="P19" s="240">
        <f>IF(ISERROR((P18-N18)/N18), "", (P18-N18)/N18)</f>
        <v>7.9266772252906501E-2</v>
      </c>
      <c r="Q19" s="241">
        <f>IF(ISERROR((Q18-P18)/P18), "", (Q18-P18)/P18)</f>
        <v>0.10946360392276219</v>
      </c>
    </row>
    <row r="20" spans="2:17" x14ac:dyDescent="0.25">
      <c r="B20" s="242"/>
      <c r="C20" s="243"/>
      <c r="D20" s="243"/>
      <c r="E20" s="243"/>
      <c r="F20" s="243"/>
      <c r="G20" s="244"/>
      <c r="H20" s="244"/>
      <c r="I20" s="245"/>
      <c r="J20" s="245"/>
      <c r="K20" s="245"/>
      <c r="L20" s="245"/>
      <c r="M20" s="245"/>
      <c r="N20" s="245"/>
      <c r="O20" s="245"/>
      <c r="P20" s="245"/>
    </row>
    <row r="21" spans="2:17" ht="15.75" thickBot="1" x14ac:dyDescent="0.3">
      <c r="B21" s="242"/>
      <c r="C21" s="242"/>
      <c r="D21" s="242"/>
      <c r="E21" s="242"/>
      <c r="F21" s="242"/>
      <c r="G21" s="242"/>
      <c r="H21" s="242"/>
      <c r="I21" s="242"/>
      <c r="J21" s="242"/>
      <c r="K21" s="242"/>
      <c r="L21" s="242"/>
      <c r="M21" s="242"/>
      <c r="N21" s="242"/>
      <c r="O21" s="242"/>
      <c r="P21" s="242"/>
    </row>
    <row r="22" spans="2:17" ht="36" x14ac:dyDescent="0.25">
      <c r="B22" s="247"/>
      <c r="C22" s="248" t="str">
        <f t="shared" ref="C22:N22" si="12">C5</f>
        <v>Last Rebasing Year (2016 OEB Approved Proxy)</v>
      </c>
      <c r="D22" s="248" t="str">
        <f t="shared" si="12"/>
        <v>Last Rebasing Year (2016 Actuals)</v>
      </c>
      <c r="E22" s="248" t="str">
        <f t="shared" si="12"/>
        <v>2017 Actuals</v>
      </c>
      <c r="F22" s="248" t="str">
        <f t="shared" si="12"/>
        <v>2018 Actuals</v>
      </c>
      <c r="G22" s="248" t="str">
        <f t="shared" si="12"/>
        <v>2019 Actuals</v>
      </c>
      <c r="H22" s="311" t="str">
        <f t="shared" si="12"/>
        <v>2020 Actuals</v>
      </c>
      <c r="I22" s="248" t="str">
        <f t="shared" si="12"/>
        <v>2021 Actuals</v>
      </c>
      <c r="J22" s="248" t="str">
        <f t="shared" si="12"/>
        <v>2022 Actuals</v>
      </c>
      <c r="K22" s="248" t="str">
        <f t="shared" si="12"/>
        <v>2023 Actuals (to Oct. 31)</v>
      </c>
      <c r="L22" s="248" t="str">
        <f t="shared" si="12"/>
        <v>2023 Actuals</v>
      </c>
      <c r="M22" s="248" t="str">
        <f t="shared" si="12"/>
        <v>2024 Actuals (to Oct. 31)</v>
      </c>
      <c r="N22" s="248" t="str">
        <f t="shared" si="12"/>
        <v>2024 Actuals</v>
      </c>
      <c r="O22" s="248" t="str">
        <f t="shared" ref="O22" si="13">O5</f>
        <v>2025 Actuals (to Oct. 31)</v>
      </c>
      <c r="P22" s="248" t="str">
        <f>P5</f>
        <v>2025 Bridge Year</v>
      </c>
      <c r="Q22" s="249" t="str">
        <f>Q5</f>
        <v>2026 Test Year</v>
      </c>
    </row>
    <row r="23" spans="2:17" x14ac:dyDescent="0.25">
      <c r="B23" s="225" t="s">
        <v>181</v>
      </c>
      <c r="C23" s="250">
        <f t="shared" ref="C23:N23" si="14">C7</f>
        <v>2294825.5380000002</v>
      </c>
      <c r="D23" s="250">
        <f t="shared" si="14"/>
        <v>2304444.4500000002</v>
      </c>
      <c r="E23" s="250">
        <f t="shared" si="14"/>
        <v>1580202.2849999997</v>
      </c>
      <c r="F23" s="250">
        <f t="shared" si="14"/>
        <v>1650976.8399999996</v>
      </c>
      <c r="G23" s="250">
        <f t="shared" si="14"/>
        <v>1687121.1899999981</v>
      </c>
      <c r="H23" s="312">
        <f t="shared" si="14"/>
        <v>1796606.0000000019</v>
      </c>
      <c r="I23" s="250">
        <f t="shared" si="14"/>
        <v>1840264.3300000003</v>
      </c>
      <c r="J23" s="250">
        <f t="shared" si="14"/>
        <v>1949926.08</v>
      </c>
      <c r="K23" s="250">
        <f t="shared" si="14"/>
        <v>1812904.3791666667</v>
      </c>
      <c r="L23" s="250">
        <f t="shared" si="14"/>
        <v>2269854.6750000003</v>
      </c>
      <c r="M23" s="250">
        <f t="shared" si="14"/>
        <v>1909341.7333333339</v>
      </c>
      <c r="N23" s="250">
        <f t="shared" si="14"/>
        <v>2400932.5800000005</v>
      </c>
      <c r="O23" s="250">
        <f t="shared" ref="O23" si="15">O7</f>
        <v>2046807.9699999997</v>
      </c>
      <c r="P23" s="250">
        <f>P7</f>
        <v>2560508.9301148211</v>
      </c>
      <c r="Q23" s="251">
        <f>Q7</f>
        <v>2749051.1617163699</v>
      </c>
    </row>
    <row r="24" spans="2:17" x14ac:dyDescent="0.25">
      <c r="B24" s="225" t="s">
        <v>196</v>
      </c>
      <c r="C24" s="250">
        <f t="shared" ref="C24:N24" si="16">C8</f>
        <v>2030881.0680000004</v>
      </c>
      <c r="D24" s="250">
        <f t="shared" si="16"/>
        <v>2026086.47</v>
      </c>
      <c r="E24" s="250">
        <f t="shared" si="16"/>
        <v>1521537.5099999998</v>
      </c>
      <c r="F24" s="250">
        <f t="shared" si="16"/>
        <v>1631316.4000000001</v>
      </c>
      <c r="G24" s="250">
        <f t="shared" si="16"/>
        <v>1931792.3900000001</v>
      </c>
      <c r="H24" s="312">
        <f t="shared" si="16"/>
        <v>1664920.3099999998</v>
      </c>
      <c r="I24" s="250">
        <f t="shared" si="16"/>
        <v>2093729.0600000008</v>
      </c>
      <c r="J24" s="250">
        <f t="shared" si="16"/>
        <v>2713434.01</v>
      </c>
      <c r="K24" s="250">
        <f t="shared" si="16"/>
        <v>2364470.4333333336</v>
      </c>
      <c r="L24" s="250">
        <f t="shared" si="16"/>
        <v>2867272.8600000003</v>
      </c>
      <c r="M24" s="250">
        <f t="shared" si="16"/>
        <v>2341748.1916666664</v>
      </c>
      <c r="N24" s="250">
        <f t="shared" si="16"/>
        <v>2914805.7499999995</v>
      </c>
      <c r="O24" s="250">
        <f t="shared" ref="O24" si="17">O8</f>
        <v>2470935.35</v>
      </c>
      <c r="P24" s="250">
        <f>P8</f>
        <v>3107613.0499204732</v>
      </c>
      <c r="Q24" s="251">
        <f>Q8</f>
        <v>3435303.1332506877</v>
      </c>
    </row>
    <row r="25" spans="2:17" x14ac:dyDescent="0.25">
      <c r="B25" s="225" t="s">
        <v>186</v>
      </c>
      <c r="C25" s="250">
        <f t="shared" ref="C25:N25" si="18">C12</f>
        <v>3550630.3820000002</v>
      </c>
      <c r="D25" s="250">
        <f t="shared" si="18"/>
        <v>3322649.9900000012</v>
      </c>
      <c r="E25" s="250">
        <f t="shared" si="18"/>
        <v>3317065.8049999997</v>
      </c>
      <c r="F25" s="250">
        <f t="shared" si="18"/>
        <v>3626117.95</v>
      </c>
      <c r="G25" s="250">
        <f t="shared" si="18"/>
        <v>3322270.4199999995</v>
      </c>
      <c r="H25" s="312">
        <f t="shared" si="18"/>
        <v>3428904.0399999996</v>
      </c>
      <c r="I25" s="250">
        <f t="shared" si="18"/>
        <v>3166900.2499999986</v>
      </c>
      <c r="J25" s="250">
        <f t="shared" si="18"/>
        <v>3528878.49</v>
      </c>
      <c r="K25" s="250">
        <f t="shared" si="18"/>
        <v>3064418.9291666667</v>
      </c>
      <c r="L25" s="250">
        <f t="shared" si="18"/>
        <v>3440236.8149999999</v>
      </c>
      <c r="M25" s="250">
        <f t="shared" si="18"/>
        <v>3283018.7749999994</v>
      </c>
      <c r="N25" s="250">
        <f t="shared" si="18"/>
        <v>3724281.8499999996</v>
      </c>
      <c r="O25" s="250">
        <f t="shared" ref="O25" si="19">O12</f>
        <v>3355331.4866666682</v>
      </c>
      <c r="P25" s="250">
        <f t="shared" ref="P25:Q27" si="20">P12</f>
        <v>3810355.9900000012</v>
      </c>
      <c r="Q25" s="251">
        <f t="shared" si="20"/>
        <v>4374049.0296999998</v>
      </c>
    </row>
    <row r="26" spans="2:17" x14ac:dyDescent="0.25">
      <c r="B26" s="225" t="s">
        <v>187</v>
      </c>
      <c r="C26" s="250">
        <f t="shared" ref="C26:N26" si="21">C13</f>
        <v>237844</v>
      </c>
      <c r="D26" s="250">
        <f t="shared" si="21"/>
        <v>179029.89</v>
      </c>
      <c r="E26" s="250">
        <f t="shared" si="21"/>
        <v>208267.41</v>
      </c>
      <c r="F26" s="250">
        <f t="shared" si="21"/>
        <v>152854.44</v>
      </c>
      <c r="G26" s="250">
        <f t="shared" si="21"/>
        <v>230341.35999999996</v>
      </c>
      <c r="H26" s="312">
        <f t="shared" si="21"/>
        <v>243998.98</v>
      </c>
      <c r="I26" s="250">
        <f t="shared" si="21"/>
        <v>278309.64999999997</v>
      </c>
      <c r="J26" s="250">
        <f t="shared" si="21"/>
        <v>215382.56000000003</v>
      </c>
      <c r="K26" s="250">
        <f t="shared" si="21"/>
        <v>192580.81666666671</v>
      </c>
      <c r="L26" s="250">
        <f t="shared" si="21"/>
        <v>231096.98000000007</v>
      </c>
      <c r="M26" s="250">
        <f t="shared" si="21"/>
        <v>176509</v>
      </c>
      <c r="N26" s="250">
        <f t="shared" si="21"/>
        <v>209385.06</v>
      </c>
      <c r="O26" s="250">
        <f t="shared" ref="O26" si="22">O13</f>
        <v>236590.02</v>
      </c>
      <c r="P26" s="250">
        <f t="shared" si="20"/>
        <v>221117.98813486178</v>
      </c>
      <c r="Q26" s="251">
        <f t="shared" si="20"/>
        <v>511153.64290434401</v>
      </c>
    </row>
    <row r="27" spans="2:17" x14ac:dyDescent="0.25">
      <c r="B27" s="225" t="s">
        <v>188</v>
      </c>
      <c r="C27" s="250">
        <f t="shared" ref="C27:N27" si="23">C14</f>
        <v>5848678.2719999999</v>
      </c>
      <c r="D27" s="250">
        <f t="shared" si="23"/>
        <v>6780261.1600000001</v>
      </c>
      <c r="E27" s="250">
        <f t="shared" si="23"/>
        <v>6765550.4700000016</v>
      </c>
      <c r="F27" s="250">
        <f t="shared" si="23"/>
        <v>6905539.129999999</v>
      </c>
      <c r="G27" s="250">
        <f t="shared" si="23"/>
        <v>6403510.7199999988</v>
      </c>
      <c r="H27" s="312">
        <f t="shared" si="23"/>
        <v>6473790.3966999985</v>
      </c>
      <c r="I27" s="250">
        <f t="shared" si="23"/>
        <v>6438596.4400000013</v>
      </c>
      <c r="J27" s="250">
        <f t="shared" si="23"/>
        <v>7284932.6300000036</v>
      </c>
      <c r="K27" s="250">
        <f t="shared" si="23"/>
        <v>6340730.1333333347</v>
      </c>
      <c r="L27" s="250">
        <f t="shared" si="23"/>
        <v>7663669.5500000017</v>
      </c>
      <c r="M27" s="250">
        <f t="shared" si="23"/>
        <v>7055980.5583333336</v>
      </c>
      <c r="N27" s="250">
        <f t="shared" si="23"/>
        <v>8395273.9900000002</v>
      </c>
      <c r="O27" s="250">
        <f t="shared" ref="O27" si="24">O14</f>
        <v>7823575.6933333324</v>
      </c>
      <c r="P27" s="250">
        <f t="shared" si="20"/>
        <v>9343720.0418298449</v>
      </c>
      <c r="Q27" s="251">
        <f t="shared" si="20"/>
        <v>10058309.0324286</v>
      </c>
    </row>
    <row r="28" spans="2:17" x14ac:dyDescent="0.25">
      <c r="B28" s="228" t="s">
        <v>63</v>
      </c>
      <c r="C28" s="229">
        <f>SUM(C23:C27)</f>
        <v>13962859.260000002</v>
      </c>
      <c r="D28" s="229">
        <f t="shared" ref="D28:H28" si="25">SUM(D23:D27)</f>
        <v>14612471.960000001</v>
      </c>
      <c r="E28" s="229">
        <f t="shared" si="25"/>
        <v>13392623.48</v>
      </c>
      <c r="F28" s="229">
        <f t="shared" si="25"/>
        <v>13966804.759999998</v>
      </c>
      <c r="G28" s="229">
        <f t="shared" si="25"/>
        <v>13575036.079999998</v>
      </c>
      <c r="H28" s="308">
        <f t="shared" si="25"/>
        <v>13608219.7267</v>
      </c>
      <c r="I28" s="229">
        <f>SUM(I23:I27)</f>
        <v>13817799.73</v>
      </c>
      <c r="J28" s="229">
        <f t="shared" ref="J28:Q28" si="26">SUM(J23:J27)</f>
        <v>15692553.770000003</v>
      </c>
      <c r="K28" s="229">
        <f t="shared" ref="K28:M28" si="27">SUM(K23:K27)</f>
        <v>13775104.691666668</v>
      </c>
      <c r="L28" s="229">
        <f t="shared" si="26"/>
        <v>16472130.880000003</v>
      </c>
      <c r="M28" s="229">
        <f t="shared" si="27"/>
        <v>14766598.258333333</v>
      </c>
      <c r="N28" s="229">
        <f t="shared" si="26"/>
        <v>17644679.23</v>
      </c>
      <c r="O28" s="229">
        <f t="shared" si="26"/>
        <v>15933240.52</v>
      </c>
      <c r="P28" s="229">
        <f t="shared" si="26"/>
        <v>19043316</v>
      </c>
      <c r="Q28" s="230">
        <f t="shared" si="26"/>
        <v>21127866</v>
      </c>
    </row>
    <row r="29" spans="2:17" ht="15.75" thickBot="1" x14ac:dyDescent="0.3">
      <c r="B29" s="238" t="s">
        <v>195</v>
      </c>
      <c r="C29" s="252"/>
      <c r="D29" s="253">
        <f t="shared" ref="D29:H29" si="28">IF(ISERROR((D28-C28)/C28), "", (D28-C28)/C28)</f>
        <v>4.6524332008485714E-2</v>
      </c>
      <c r="E29" s="253">
        <f t="shared" si="28"/>
        <v>-8.3479953517734615E-2</v>
      </c>
      <c r="F29" s="253">
        <f t="shared" si="28"/>
        <v>4.287295023693128E-2</v>
      </c>
      <c r="G29" s="240">
        <f t="shared" si="28"/>
        <v>-2.8049986144432919E-2</v>
      </c>
      <c r="H29" s="313">
        <f t="shared" si="28"/>
        <v>2.4444610315910303E-3</v>
      </c>
      <c r="I29" s="253">
        <f>IF(ISERROR((I28-H28)/H28), "", (I28-H28)/H28)</f>
        <v>1.5400986132579389E-2</v>
      </c>
      <c r="J29" s="253">
        <f t="shared" ref="J29:Q29" si="29">IF(ISERROR((J28-I28)/I28), "", (J28-I28)/I28)</f>
        <v>0.13567674135048438</v>
      </c>
      <c r="K29" s="253"/>
      <c r="L29" s="253">
        <f>IF(ISERROR((L28-J28)/J28), "", (L28-J28)/J28)</f>
        <v>4.9678154456309326E-2</v>
      </c>
      <c r="M29" s="253"/>
      <c r="N29" s="253">
        <f>IF(ISERROR((N28-L28)/L28), "", (N28-L28)/L28)</f>
        <v>7.1183768423287178E-2</v>
      </c>
      <c r="O29" s="253"/>
      <c r="P29" s="240">
        <f>IF(ISERROR((P28-N28)/N28), "", (P28-N28)/N28)</f>
        <v>7.9266772252906501E-2</v>
      </c>
      <c r="Q29" s="254">
        <f t="shared" si="29"/>
        <v>0.10946360392276219</v>
      </c>
    </row>
    <row r="30" spans="2:17" x14ac:dyDescent="0.25">
      <c r="B30" s="255"/>
      <c r="C30" s="255"/>
      <c r="D30" s="255"/>
      <c r="E30" s="255"/>
      <c r="F30" s="255"/>
      <c r="G30" s="255"/>
      <c r="H30" s="255"/>
      <c r="I30" s="255"/>
      <c r="J30" s="255"/>
      <c r="K30" s="255"/>
      <c r="L30" s="255"/>
      <c r="M30" s="255"/>
      <c r="N30" s="255"/>
      <c r="O30" s="255"/>
      <c r="P30" s="255"/>
    </row>
    <row r="31" spans="2:17" x14ac:dyDescent="0.25">
      <c r="B31" s="255"/>
      <c r="C31" s="255"/>
      <c r="D31" s="255"/>
      <c r="E31" s="255"/>
      <c r="F31" s="255"/>
      <c r="G31" s="255"/>
      <c r="H31" s="255"/>
      <c r="I31" s="255"/>
      <c r="J31" s="255"/>
      <c r="K31" s="255"/>
      <c r="L31" s="255"/>
      <c r="M31" s="255"/>
      <c r="N31" s="255"/>
      <c r="O31" s="255"/>
      <c r="P31" s="255"/>
    </row>
    <row r="32" spans="2:17" x14ac:dyDescent="0.25">
      <c r="B32" s="255"/>
      <c r="C32" s="255"/>
      <c r="D32" s="255"/>
      <c r="E32" s="255"/>
      <c r="F32" s="255"/>
      <c r="G32" s="255"/>
      <c r="H32" s="255"/>
      <c r="I32" s="255"/>
      <c r="J32" s="255"/>
      <c r="K32" s="255"/>
      <c r="L32" s="255"/>
      <c r="M32" s="255"/>
      <c r="N32" s="255"/>
      <c r="O32" s="255"/>
      <c r="P32" s="255"/>
    </row>
    <row r="33" spans="2:16" x14ac:dyDescent="0.25">
      <c r="B33" s="255"/>
      <c r="C33" s="255"/>
      <c r="D33" s="255"/>
      <c r="E33" s="255"/>
      <c r="F33" s="255"/>
      <c r="G33" s="255"/>
      <c r="H33" s="255"/>
      <c r="I33" s="255"/>
      <c r="J33" s="255"/>
      <c r="K33" s="255"/>
      <c r="L33" s="255"/>
      <c r="M33" s="255"/>
      <c r="N33" s="255"/>
      <c r="O33" s="255"/>
      <c r="P33" s="255"/>
    </row>
    <row r="34" spans="2:16" x14ac:dyDescent="0.25">
      <c r="B34" s="255"/>
      <c r="C34" s="255"/>
      <c r="D34" s="255"/>
      <c r="E34" s="255"/>
      <c r="F34" s="255"/>
      <c r="G34" s="255"/>
      <c r="H34" s="255"/>
      <c r="I34" s="255"/>
      <c r="J34" s="255"/>
      <c r="K34" s="255"/>
      <c r="L34" s="255"/>
      <c r="M34" s="255"/>
      <c r="N34" s="255"/>
      <c r="O34" s="255"/>
      <c r="P34" s="255"/>
    </row>
    <row r="35" spans="2:16" x14ac:dyDescent="0.25">
      <c r="B35" s="255"/>
      <c r="C35" s="255"/>
      <c r="D35" s="255"/>
      <c r="E35" s="255"/>
      <c r="F35" s="255"/>
      <c r="G35" s="255"/>
      <c r="H35" s="255"/>
      <c r="I35" s="255"/>
      <c r="J35" s="255"/>
      <c r="K35" s="255"/>
      <c r="L35" s="255"/>
      <c r="M35" s="255"/>
      <c r="N35" s="255"/>
      <c r="O35" s="255"/>
      <c r="P35" s="255"/>
    </row>
    <row r="36" spans="2:16" x14ac:dyDescent="0.25">
      <c r="B36" s="255"/>
      <c r="C36" s="255"/>
      <c r="D36" s="255"/>
      <c r="E36" s="255"/>
      <c r="F36" s="255"/>
      <c r="G36" s="255"/>
      <c r="H36" s="255"/>
      <c r="I36" s="255"/>
      <c r="J36" s="255"/>
      <c r="K36" s="255"/>
      <c r="L36" s="255"/>
      <c r="M36" s="255"/>
      <c r="N36" s="255"/>
      <c r="O36" s="255"/>
      <c r="P36" s="255"/>
    </row>
    <row r="37" spans="2:16" x14ac:dyDescent="0.25">
      <c r="B37" s="255"/>
      <c r="C37" s="255"/>
      <c r="D37" s="255"/>
      <c r="E37" s="255"/>
      <c r="F37" s="255"/>
      <c r="G37" s="255"/>
      <c r="H37" s="255"/>
      <c r="I37" s="255"/>
      <c r="J37" s="255"/>
      <c r="K37" s="255"/>
      <c r="L37" s="255"/>
      <c r="M37" s="255"/>
      <c r="N37" s="255"/>
      <c r="O37" s="255"/>
      <c r="P37" s="255"/>
    </row>
    <row r="38" spans="2:16" x14ac:dyDescent="0.25">
      <c r="B38" s="255"/>
      <c r="C38" s="255"/>
      <c r="D38" s="255"/>
      <c r="E38" s="255"/>
      <c r="F38" s="255"/>
      <c r="G38" s="255"/>
      <c r="H38" s="255"/>
      <c r="I38" s="255"/>
      <c r="J38" s="255"/>
      <c r="K38" s="255"/>
      <c r="L38" s="255"/>
      <c r="M38" s="255"/>
      <c r="N38" s="255"/>
      <c r="O38" s="255"/>
      <c r="P38" s="255"/>
    </row>
    <row r="39" spans="2:16" x14ac:dyDescent="0.25">
      <c r="B39" s="255"/>
      <c r="C39" s="255"/>
      <c r="D39" s="255"/>
      <c r="E39" s="255"/>
      <c r="F39" s="255"/>
      <c r="G39" s="255"/>
      <c r="H39" s="255"/>
      <c r="I39" s="255"/>
      <c r="J39" s="255"/>
      <c r="K39" s="255"/>
      <c r="L39" s="255"/>
      <c r="M39" s="255"/>
      <c r="N39" s="255"/>
      <c r="O39" s="255"/>
      <c r="P39" s="255"/>
    </row>
    <row r="40" spans="2:16" x14ac:dyDescent="0.25">
      <c r="B40" s="255"/>
      <c r="C40" s="255"/>
      <c r="D40" s="255"/>
      <c r="E40" s="255"/>
      <c r="F40" s="255"/>
      <c r="G40" s="255"/>
      <c r="H40" s="255"/>
      <c r="I40" s="255"/>
      <c r="J40" s="255"/>
      <c r="K40" s="255"/>
      <c r="L40" s="255"/>
      <c r="M40" s="255"/>
      <c r="N40" s="255"/>
      <c r="O40" s="255"/>
      <c r="P40" s="255"/>
    </row>
    <row r="41" spans="2:16" x14ac:dyDescent="0.25">
      <c r="B41" s="255"/>
      <c r="C41" s="255"/>
      <c r="D41" s="255"/>
      <c r="E41" s="255"/>
      <c r="F41" s="255"/>
      <c r="G41" s="255"/>
      <c r="H41" s="255"/>
      <c r="I41" s="255"/>
      <c r="J41" s="255"/>
      <c r="K41" s="255"/>
      <c r="L41" s="255"/>
      <c r="M41" s="255"/>
      <c r="N41" s="255"/>
      <c r="O41" s="255"/>
      <c r="P41" s="255"/>
    </row>
    <row r="42" spans="2:16" x14ac:dyDescent="0.25">
      <c r="B42" s="255"/>
      <c r="C42" s="255"/>
      <c r="D42" s="255"/>
      <c r="E42" s="255"/>
      <c r="F42" s="255"/>
      <c r="G42" s="255"/>
      <c r="H42" s="255"/>
      <c r="I42" s="255"/>
      <c r="J42" s="255"/>
      <c r="K42" s="255"/>
      <c r="L42" s="255"/>
      <c r="M42" s="255"/>
      <c r="N42" s="255"/>
      <c r="O42" s="255"/>
      <c r="P42" s="255"/>
    </row>
    <row r="43" spans="2:16" x14ac:dyDescent="0.25">
      <c r="B43" s="255"/>
      <c r="C43" s="255"/>
      <c r="D43" s="255"/>
      <c r="E43" s="255"/>
      <c r="F43" s="255"/>
      <c r="G43" s="255"/>
      <c r="H43" s="255"/>
      <c r="I43" s="255"/>
      <c r="J43" s="255"/>
      <c r="K43" s="255"/>
      <c r="L43" s="255"/>
      <c r="M43" s="255"/>
      <c r="N43" s="255"/>
      <c r="O43" s="255"/>
      <c r="P43" s="255"/>
    </row>
    <row r="44" spans="2:16" x14ac:dyDescent="0.25">
      <c r="B44" s="255"/>
      <c r="C44" s="255"/>
      <c r="D44" s="255"/>
      <c r="E44" s="255"/>
      <c r="F44" s="255"/>
      <c r="G44" s="255"/>
      <c r="H44" s="255"/>
      <c r="I44" s="255"/>
      <c r="J44" s="255"/>
      <c r="K44" s="255"/>
      <c r="L44" s="255"/>
      <c r="M44" s="255"/>
      <c r="N44" s="255"/>
      <c r="O44" s="255"/>
      <c r="P44" s="255"/>
    </row>
    <row r="45" spans="2:16" x14ac:dyDescent="0.25">
      <c r="B45" s="255"/>
      <c r="C45" s="255"/>
      <c r="D45" s="255"/>
      <c r="E45" s="255"/>
      <c r="F45" s="255"/>
      <c r="G45" s="255"/>
      <c r="H45" s="255"/>
      <c r="I45" s="255"/>
      <c r="J45" s="255"/>
      <c r="K45" s="255"/>
      <c r="L45" s="255"/>
      <c r="M45" s="255"/>
      <c r="N45" s="255"/>
      <c r="O45" s="255"/>
      <c r="P45" s="255"/>
    </row>
    <row r="46" spans="2:16" x14ac:dyDescent="0.25">
      <c r="B46" s="255"/>
      <c r="C46" s="255"/>
      <c r="D46" s="255"/>
      <c r="E46" s="255"/>
      <c r="F46" s="255"/>
      <c r="G46" s="255"/>
      <c r="H46" s="255"/>
      <c r="I46" s="255"/>
      <c r="J46" s="255"/>
      <c r="K46" s="255"/>
      <c r="L46" s="255"/>
      <c r="M46" s="255"/>
      <c r="N46" s="255"/>
      <c r="O46" s="255"/>
      <c r="P46" s="255"/>
    </row>
    <row r="47" spans="2:16" x14ac:dyDescent="0.25">
      <c r="B47" s="255"/>
      <c r="C47" s="255"/>
      <c r="D47" s="255"/>
      <c r="E47" s="255"/>
      <c r="F47" s="255"/>
      <c r="G47" s="255"/>
      <c r="H47" s="255"/>
      <c r="I47" s="255"/>
      <c r="J47" s="255"/>
      <c r="K47" s="255"/>
      <c r="L47" s="255"/>
      <c r="M47" s="255"/>
      <c r="N47" s="255"/>
      <c r="O47" s="255"/>
      <c r="P47" s="255"/>
    </row>
    <row r="48" spans="2:16" x14ac:dyDescent="0.25">
      <c r="B48" s="255"/>
      <c r="C48" s="255"/>
      <c r="D48" s="255"/>
      <c r="E48" s="255"/>
      <c r="F48" s="255"/>
      <c r="G48" s="255"/>
      <c r="H48" s="255"/>
      <c r="I48" s="255"/>
      <c r="J48" s="255"/>
      <c r="K48" s="255"/>
      <c r="L48" s="255"/>
      <c r="M48" s="255"/>
      <c r="N48" s="255"/>
      <c r="O48" s="255"/>
      <c r="P48" s="255"/>
    </row>
    <row r="49" spans="2:16" x14ac:dyDescent="0.25">
      <c r="B49" s="255"/>
      <c r="C49" s="255"/>
      <c r="D49" s="255"/>
      <c r="E49" s="255"/>
      <c r="F49" s="255"/>
      <c r="G49" s="255"/>
      <c r="H49" s="255"/>
      <c r="I49" s="255"/>
      <c r="J49" s="255"/>
      <c r="K49" s="255"/>
      <c r="L49" s="255"/>
      <c r="M49" s="255"/>
      <c r="N49" s="255"/>
      <c r="O49" s="255"/>
      <c r="P49" s="255"/>
    </row>
    <row r="50" spans="2:16" x14ac:dyDescent="0.25">
      <c r="B50" s="255"/>
      <c r="C50" s="255"/>
      <c r="D50" s="255"/>
      <c r="E50" s="255"/>
      <c r="F50" s="255"/>
      <c r="G50" s="255"/>
      <c r="H50" s="255"/>
      <c r="I50" s="255"/>
      <c r="J50" s="255"/>
      <c r="K50" s="255"/>
      <c r="L50" s="255"/>
      <c r="M50" s="255"/>
      <c r="N50" s="255"/>
      <c r="O50" s="255"/>
      <c r="P50" s="255"/>
    </row>
    <row r="51" spans="2:16" x14ac:dyDescent="0.25">
      <c r="B51" s="255"/>
      <c r="C51" s="255"/>
      <c r="D51" s="255"/>
      <c r="E51" s="255"/>
      <c r="F51" s="255"/>
      <c r="G51" s="255"/>
      <c r="H51" s="255"/>
      <c r="I51" s="255"/>
      <c r="J51" s="255"/>
      <c r="K51" s="255"/>
      <c r="L51" s="255"/>
      <c r="M51" s="255"/>
      <c r="N51" s="255"/>
      <c r="O51" s="255"/>
      <c r="P51" s="255"/>
    </row>
    <row r="52" spans="2:16" x14ac:dyDescent="0.25">
      <c r="B52" s="255"/>
      <c r="C52" s="255"/>
      <c r="D52" s="255"/>
      <c r="E52" s="255"/>
      <c r="F52" s="255"/>
      <c r="G52" s="255"/>
      <c r="H52" s="255"/>
      <c r="I52" s="255"/>
      <c r="J52" s="255"/>
      <c r="K52" s="255"/>
      <c r="L52" s="255"/>
      <c r="M52" s="255"/>
      <c r="N52" s="255"/>
      <c r="O52" s="255"/>
      <c r="P52" s="255"/>
    </row>
    <row r="53" spans="2:16" x14ac:dyDescent="0.25">
      <c r="B53" s="255"/>
      <c r="C53" s="255"/>
      <c r="D53" s="255"/>
      <c r="E53" s="255"/>
      <c r="F53" s="255"/>
      <c r="G53" s="255"/>
      <c r="H53" s="255"/>
      <c r="I53" s="255"/>
      <c r="J53" s="255"/>
      <c r="K53" s="255"/>
      <c r="L53" s="255"/>
      <c r="M53" s="255"/>
      <c r="N53" s="255"/>
      <c r="O53" s="255"/>
      <c r="P53" s="255"/>
    </row>
    <row r="54" spans="2:16" x14ac:dyDescent="0.25">
      <c r="B54" s="255"/>
      <c r="C54" s="255"/>
      <c r="D54" s="255"/>
      <c r="E54" s="255"/>
      <c r="F54" s="255"/>
      <c r="G54" s="255"/>
      <c r="H54" s="255"/>
      <c r="I54" s="255"/>
      <c r="J54" s="255"/>
      <c r="K54" s="255"/>
      <c r="L54" s="255"/>
      <c r="M54" s="255"/>
      <c r="N54" s="255"/>
      <c r="O54" s="255"/>
      <c r="P54" s="255"/>
    </row>
    <row r="55" spans="2:16" x14ac:dyDescent="0.25">
      <c r="B55" s="255"/>
      <c r="C55" s="255"/>
      <c r="D55" s="255"/>
      <c r="E55" s="255"/>
      <c r="F55" s="255"/>
      <c r="G55" s="255"/>
      <c r="H55" s="255"/>
      <c r="I55" s="255"/>
      <c r="J55" s="255"/>
      <c r="K55" s="255"/>
      <c r="L55" s="255"/>
      <c r="M55" s="255"/>
      <c r="N55" s="255"/>
      <c r="O55" s="255"/>
      <c r="P55" s="255"/>
    </row>
    <row r="56" spans="2:16" x14ac:dyDescent="0.25">
      <c r="B56" s="255"/>
      <c r="C56" s="255"/>
      <c r="D56" s="255"/>
      <c r="E56" s="255"/>
      <c r="F56" s="255"/>
      <c r="G56" s="255"/>
      <c r="H56" s="255"/>
      <c r="I56" s="255"/>
      <c r="J56" s="255"/>
      <c r="K56" s="255"/>
      <c r="L56" s="255"/>
      <c r="M56" s="255"/>
      <c r="N56" s="255"/>
      <c r="O56" s="255"/>
      <c r="P56" s="255"/>
    </row>
    <row r="57" spans="2:16" x14ac:dyDescent="0.25">
      <c r="B57" s="255"/>
      <c r="C57" s="255"/>
      <c r="D57" s="255"/>
      <c r="E57" s="255"/>
      <c r="F57" s="255"/>
      <c r="G57" s="255"/>
      <c r="H57" s="255"/>
      <c r="I57" s="255"/>
      <c r="J57" s="255"/>
      <c r="K57" s="255"/>
      <c r="L57" s="255"/>
      <c r="M57" s="255"/>
      <c r="N57" s="255"/>
      <c r="O57" s="255"/>
      <c r="P57" s="255"/>
    </row>
    <row r="58" spans="2:16" x14ac:dyDescent="0.25">
      <c r="B58" s="255"/>
      <c r="C58" s="255"/>
      <c r="D58" s="255"/>
      <c r="E58" s="255"/>
      <c r="F58" s="255"/>
      <c r="G58" s="255"/>
      <c r="H58" s="255"/>
      <c r="I58" s="255"/>
      <c r="J58" s="255"/>
      <c r="K58" s="255"/>
      <c r="L58" s="255"/>
      <c r="M58" s="255"/>
      <c r="N58" s="255"/>
      <c r="O58" s="255"/>
      <c r="P58" s="255"/>
    </row>
    <row r="59" spans="2:16" x14ac:dyDescent="0.25">
      <c r="B59" s="255"/>
      <c r="C59" s="255"/>
      <c r="D59" s="255"/>
      <c r="E59" s="255"/>
      <c r="F59" s="255"/>
      <c r="G59" s="255"/>
      <c r="H59" s="255"/>
      <c r="I59" s="255"/>
      <c r="J59" s="255"/>
      <c r="K59" s="255"/>
      <c r="L59" s="255"/>
      <c r="M59" s="255"/>
      <c r="N59" s="255"/>
      <c r="O59" s="255"/>
      <c r="P59" s="255"/>
    </row>
    <row r="60" spans="2:16" x14ac:dyDescent="0.25">
      <c r="B60" s="255"/>
      <c r="C60" s="255"/>
      <c r="D60" s="255"/>
      <c r="E60" s="255"/>
      <c r="F60" s="255"/>
      <c r="G60" s="255"/>
      <c r="H60" s="255"/>
      <c r="I60" s="255"/>
      <c r="J60" s="255"/>
      <c r="K60" s="255"/>
      <c r="L60" s="255"/>
      <c r="M60" s="255"/>
      <c r="N60" s="255"/>
      <c r="O60" s="255"/>
      <c r="P60" s="255"/>
    </row>
    <row r="61" spans="2:16" x14ac:dyDescent="0.25">
      <c r="B61" s="255"/>
      <c r="C61" s="255"/>
      <c r="D61" s="255"/>
      <c r="E61" s="255"/>
      <c r="F61" s="255"/>
      <c r="G61" s="255"/>
      <c r="H61" s="255"/>
      <c r="I61" s="255"/>
      <c r="J61" s="255"/>
      <c r="K61" s="255"/>
      <c r="L61" s="255"/>
      <c r="M61" s="255"/>
      <c r="N61" s="255"/>
      <c r="O61" s="255"/>
      <c r="P61" s="255"/>
    </row>
    <row r="62" spans="2:16" x14ac:dyDescent="0.25">
      <c r="B62" s="255"/>
      <c r="C62" s="255"/>
      <c r="D62" s="255"/>
      <c r="E62" s="255"/>
      <c r="F62" s="255"/>
      <c r="G62" s="255"/>
      <c r="H62" s="255"/>
      <c r="I62" s="255"/>
      <c r="J62" s="255"/>
      <c r="K62" s="255"/>
      <c r="L62" s="255"/>
      <c r="M62" s="255"/>
      <c r="N62" s="255"/>
      <c r="O62" s="255"/>
      <c r="P62" s="255"/>
    </row>
    <row r="63" spans="2:16" x14ac:dyDescent="0.25">
      <c r="B63" s="255"/>
      <c r="C63" s="255"/>
      <c r="D63" s="255"/>
      <c r="E63" s="255"/>
      <c r="F63" s="255"/>
      <c r="G63" s="255"/>
      <c r="H63" s="255"/>
      <c r="I63" s="255"/>
      <c r="J63" s="255"/>
      <c r="K63" s="255"/>
      <c r="L63" s="255"/>
      <c r="M63" s="255"/>
      <c r="N63" s="255"/>
      <c r="O63" s="255"/>
      <c r="P63" s="255"/>
    </row>
    <row r="64" spans="2:16" x14ac:dyDescent="0.25">
      <c r="B64" s="255"/>
      <c r="C64" s="255"/>
      <c r="D64" s="255"/>
      <c r="E64" s="255"/>
      <c r="F64" s="255"/>
      <c r="G64" s="255"/>
      <c r="H64" s="255"/>
      <c r="I64" s="255"/>
      <c r="J64" s="255"/>
      <c r="K64" s="255"/>
      <c r="L64" s="255"/>
      <c r="M64" s="255"/>
      <c r="N64" s="255"/>
      <c r="O64" s="255"/>
      <c r="P64" s="255"/>
    </row>
    <row r="65" spans="2:16" x14ac:dyDescent="0.25">
      <c r="B65" s="255"/>
      <c r="C65" s="255"/>
      <c r="D65" s="255"/>
      <c r="E65" s="255"/>
      <c r="F65" s="255"/>
      <c r="G65" s="255"/>
      <c r="H65" s="255"/>
      <c r="I65" s="255"/>
      <c r="J65" s="255"/>
      <c r="K65" s="255"/>
      <c r="L65" s="255"/>
      <c r="M65" s="255"/>
      <c r="N65" s="255"/>
      <c r="O65" s="255"/>
      <c r="P65" s="255"/>
    </row>
    <row r="66" spans="2:16" x14ac:dyDescent="0.25">
      <c r="B66" s="255"/>
      <c r="C66" s="255"/>
      <c r="D66" s="255"/>
      <c r="E66" s="255"/>
      <c r="F66" s="255"/>
      <c r="G66" s="255"/>
      <c r="H66" s="255"/>
      <c r="I66" s="255"/>
      <c r="J66" s="255"/>
      <c r="K66" s="255"/>
      <c r="L66" s="255"/>
      <c r="M66" s="255"/>
      <c r="N66" s="255"/>
      <c r="O66" s="255"/>
      <c r="P66" s="255"/>
    </row>
    <row r="67" spans="2:16" x14ac:dyDescent="0.25">
      <c r="B67" s="255"/>
      <c r="C67" s="255"/>
      <c r="D67" s="255"/>
      <c r="E67" s="255"/>
      <c r="F67" s="255"/>
      <c r="G67" s="255"/>
      <c r="H67" s="255"/>
      <c r="I67" s="255"/>
      <c r="J67" s="255"/>
      <c r="K67" s="255"/>
      <c r="L67" s="255"/>
      <c r="M67" s="255"/>
      <c r="N67" s="255"/>
      <c r="O67" s="255"/>
      <c r="P67" s="255"/>
    </row>
    <row r="68" spans="2:16" x14ac:dyDescent="0.25">
      <c r="B68" s="255"/>
      <c r="C68" s="255"/>
      <c r="D68" s="255"/>
      <c r="E68" s="255"/>
      <c r="F68" s="255"/>
      <c r="G68" s="255"/>
      <c r="H68" s="255"/>
      <c r="I68" s="255"/>
      <c r="J68" s="255"/>
      <c r="K68" s="255"/>
      <c r="L68" s="255"/>
      <c r="M68" s="255"/>
      <c r="N68" s="255"/>
      <c r="O68" s="255"/>
      <c r="P68" s="255"/>
    </row>
    <row r="69" spans="2:16" x14ac:dyDescent="0.25">
      <c r="B69" s="255"/>
      <c r="C69" s="255"/>
      <c r="D69" s="255"/>
      <c r="E69" s="255"/>
      <c r="F69" s="255"/>
      <c r="G69" s="255"/>
      <c r="H69" s="255"/>
      <c r="I69" s="255"/>
      <c r="J69" s="255"/>
      <c r="K69" s="255"/>
      <c r="L69" s="255"/>
      <c r="M69" s="255"/>
      <c r="N69" s="255"/>
      <c r="O69" s="255"/>
      <c r="P69" s="255"/>
    </row>
    <row r="70" spans="2:16" x14ac:dyDescent="0.25">
      <c r="B70" s="255"/>
      <c r="C70" s="255"/>
      <c r="D70" s="255"/>
      <c r="E70" s="255"/>
      <c r="F70" s="255"/>
      <c r="G70" s="255"/>
      <c r="H70" s="255"/>
      <c r="I70" s="255"/>
      <c r="J70" s="255"/>
      <c r="K70" s="255"/>
      <c r="L70" s="255"/>
      <c r="M70" s="255"/>
      <c r="N70" s="255"/>
      <c r="O70" s="255"/>
      <c r="P70" s="255"/>
    </row>
    <row r="71" spans="2:16" x14ac:dyDescent="0.25">
      <c r="B71" s="255"/>
      <c r="C71" s="255"/>
      <c r="D71" s="255"/>
      <c r="E71" s="255"/>
      <c r="F71" s="255"/>
      <c r="G71" s="255"/>
      <c r="H71" s="255"/>
      <c r="I71" s="255"/>
      <c r="J71" s="255"/>
      <c r="K71" s="255"/>
      <c r="L71" s="255"/>
      <c r="M71" s="255"/>
      <c r="N71" s="255"/>
      <c r="O71" s="255"/>
      <c r="P71" s="255"/>
    </row>
    <row r="72" spans="2:16" x14ac:dyDescent="0.25">
      <c r="B72" s="255"/>
      <c r="C72" s="255"/>
      <c r="D72" s="255"/>
      <c r="E72" s="255"/>
      <c r="F72" s="255"/>
      <c r="G72" s="255"/>
      <c r="H72" s="255"/>
      <c r="I72" s="255"/>
      <c r="J72" s="255"/>
      <c r="K72" s="255"/>
      <c r="L72" s="255"/>
      <c r="M72" s="255"/>
      <c r="N72" s="255"/>
      <c r="O72" s="255"/>
      <c r="P72" s="255"/>
    </row>
    <row r="73" spans="2:16" x14ac:dyDescent="0.25">
      <c r="B73" s="255"/>
      <c r="C73" s="255"/>
      <c r="D73" s="255"/>
      <c r="E73" s="255"/>
      <c r="F73" s="255"/>
      <c r="G73" s="255"/>
      <c r="H73" s="255"/>
      <c r="I73" s="255"/>
      <c r="J73" s="255"/>
      <c r="K73" s="255"/>
      <c r="L73" s="255"/>
      <c r="M73" s="255"/>
      <c r="N73" s="255"/>
      <c r="O73" s="255"/>
      <c r="P73" s="255"/>
    </row>
    <row r="74" spans="2:16" x14ac:dyDescent="0.25">
      <c r="B74" s="255"/>
      <c r="C74" s="255"/>
      <c r="D74" s="255"/>
      <c r="E74" s="255"/>
      <c r="F74" s="255"/>
      <c r="G74" s="255"/>
      <c r="H74" s="255"/>
      <c r="I74" s="255"/>
      <c r="J74" s="255"/>
      <c r="K74" s="255"/>
      <c r="L74" s="255"/>
      <c r="M74" s="255"/>
      <c r="N74" s="255"/>
      <c r="O74" s="255"/>
      <c r="P74" s="255"/>
    </row>
    <row r="75" spans="2:16" x14ac:dyDescent="0.25">
      <c r="B75" s="255"/>
      <c r="C75" s="255"/>
      <c r="D75" s="255"/>
      <c r="E75" s="255"/>
      <c r="F75" s="255"/>
      <c r="G75" s="255"/>
      <c r="H75" s="255"/>
      <c r="I75" s="255"/>
      <c r="J75" s="255"/>
      <c r="K75" s="255"/>
      <c r="L75" s="255"/>
      <c r="M75" s="255"/>
      <c r="N75" s="255"/>
      <c r="O75" s="255"/>
      <c r="P75" s="255"/>
    </row>
    <row r="76" spans="2:16" x14ac:dyDescent="0.25">
      <c r="B76" s="255"/>
      <c r="C76" s="255"/>
      <c r="D76" s="255"/>
      <c r="E76" s="255"/>
      <c r="F76" s="255"/>
      <c r="G76" s="255"/>
      <c r="H76" s="255"/>
      <c r="I76" s="255"/>
      <c r="J76" s="255"/>
      <c r="K76" s="255"/>
      <c r="L76" s="255"/>
      <c r="M76" s="255"/>
      <c r="N76" s="255"/>
      <c r="O76" s="255"/>
      <c r="P76" s="255"/>
    </row>
    <row r="77" spans="2:16" x14ac:dyDescent="0.25">
      <c r="B77" s="255"/>
      <c r="C77" s="255"/>
      <c r="D77" s="255"/>
      <c r="E77" s="255"/>
      <c r="F77" s="255"/>
      <c r="G77" s="255"/>
      <c r="H77" s="255"/>
      <c r="I77" s="255"/>
      <c r="J77" s="255"/>
      <c r="K77" s="255"/>
      <c r="L77" s="255"/>
      <c r="M77" s="255"/>
      <c r="N77" s="255"/>
      <c r="O77" s="255"/>
      <c r="P77" s="255"/>
    </row>
  </sheetData>
  <mergeCells count="2">
    <mergeCell ref="B1:H1"/>
    <mergeCell ref="B2:H2"/>
  </mergeCells>
  <dataValidations count="1">
    <dataValidation type="list" allowBlank="1" showInputMessage="1" showErrorMessage="1" sqref="C6:Q6" xr:uid="{FFFAD3FC-CBB6-4069-AC55-DB464D6F7E51}">
      <formula1>"CGAAP, MIFRS, USGAAP, ASPE"</formula1>
    </dataValidation>
  </dataValidations>
  <pageMargins left="0.7" right="0.7" top="0.75" bottom="0.75" header="0.3" footer="0.3"/>
  <pageSetup scale="3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8C58C-EB4C-479A-A9B2-EACA44F3891D}">
  <dimension ref="B1:AG48"/>
  <sheetViews>
    <sheetView showGridLines="0" topLeftCell="A10" zoomScale="80" zoomScaleNormal="80" workbookViewId="0">
      <pane xSplit="2" ySplit="2" topLeftCell="C13" activePane="bottomRight" state="frozen"/>
      <selection activeCell="B29" sqref="B29:H43"/>
      <selection pane="topRight" activeCell="B29" sqref="B29:H43"/>
      <selection pane="bottomLeft" activeCell="B29" sqref="B29:H43"/>
      <selection pane="bottomRight" activeCell="H24" sqref="H24"/>
    </sheetView>
  </sheetViews>
  <sheetFormatPr defaultRowHeight="15" x14ac:dyDescent="0.25"/>
  <cols>
    <col min="1" max="1" width="4.42578125" customWidth="1"/>
    <col min="2" max="2" width="59.5703125" customWidth="1"/>
    <col min="3" max="3" width="16.7109375" customWidth="1"/>
    <col min="4" max="8" width="15.5703125" customWidth="1"/>
    <col min="9" max="10" width="17.85546875" customWidth="1"/>
    <col min="11" max="11" width="18" customWidth="1"/>
    <col min="12" max="13" width="17.85546875" customWidth="1"/>
    <col min="15" max="15" width="12.5703125" bestFit="1" customWidth="1"/>
    <col min="16" max="16" width="9.140625" customWidth="1"/>
    <col min="17" max="25" width="11.140625" customWidth="1"/>
    <col min="26" max="27" width="9.140625" customWidth="1"/>
    <col min="28" max="28" width="46.42578125" customWidth="1"/>
    <col min="29" max="29" width="9.140625" customWidth="1"/>
    <col min="33" max="33" width="14.5703125" bestFit="1" customWidth="1"/>
  </cols>
  <sheetData>
    <row r="1" spans="2:33" hidden="1" x14ac:dyDescent="0.25">
      <c r="L1" s="256" t="s">
        <v>197</v>
      </c>
      <c r="M1" s="257">
        <v>0</v>
      </c>
    </row>
    <row r="2" spans="2:33" hidden="1" x14ac:dyDescent="0.25">
      <c r="L2" s="256" t="s">
        <v>198</v>
      </c>
      <c r="M2" s="258"/>
    </row>
    <row r="3" spans="2:33" hidden="1" x14ac:dyDescent="0.25">
      <c r="L3" s="256" t="s">
        <v>199</v>
      </c>
      <c r="M3" s="258"/>
    </row>
    <row r="4" spans="2:33" hidden="1" x14ac:dyDescent="0.25">
      <c r="L4" s="256" t="s">
        <v>200</v>
      </c>
      <c r="M4" s="258"/>
    </row>
    <row r="5" spans="2:33" hidden="1" x14ac:dyDescent="0.25">
      <c r="L5" s="256" t="s">
        <v>201</v>
      </c>
      <c r="M5" s="259"/>
    </row>
    <row r="6" spans="2:33" ht="34.5" hidden="1" customHeight="1" x14ac:dyDescent="0.45">
      <c r="D6" s="260"/>
      <c r="L6" s="256"/>
      <c r="M6" s="257"/>
    </row>
    <row r="7" spans="2:33" hidden="1" x14ac:dyDescent="0.25">
      <c r="L7" s="256" t="s">
        <v>202</v>
      </c>
      <c r="M7" s="259"/>
    </row>
    <row r="8" spans="2:33" hidden="1" x14ac:dyDescent="0.25"/>
    <row r="9" spans="2:33" hidden="1" x14ac:dyDescent="0.25"/>
    <row r="10" spans="2:33" ht="18" x14ac:dyDescent="0.25">
      <c r="B10" s="390" t="s">
        <v>203</v>
      </c>
      <c r="C10" s="390"/>
      <c r="D10" s="390"/>
      <c r="E10" s="390"/>
      <c r="F10" s="390"/>
      <c r="G10" s="390"/>
      <c r="H10" s="390"/>
      <c r="I10" s="390"/>
      <c r="J10" s="390"/>
      <c r="K10" s="390"/>
      <c r="L10" s="390"/>
      <c r="M10" s="390"/>
    </row>
    <row r="11" spans="2:33" ht="18" x14ac:dyDescent="0.25">
      <c r="B11" s="390" t="s">
        <v>204</v>
      </c>
      <c r="C11" s="390"/>
      <c r="D11" s="390"/>
      <c r="E11" s="390"/>
      <c r="F11" s="390"/>
      <c r="G11" s="390"/>
      <c r="H11" s="390"/>
      <c r="I11" s="390"/>
      <c r="J11" s="390"/>
      <c r="K11" s="390"/>
      <c r="L11" s="390"/>
      <c r="M11" s="390"/>
    </row>
    <row r="12" spans="2:33" ht="15.75" thickBot="1" x14ac:dyDescent="0.3"/>
    <row r="13" spans="2:33" ht="60" customHeight="1" thickBot="1" x14ac:dyDescent="0.3">
      <c r="B13" s="261" t="s">
        <v>205</v>
      </c>
      <c r="C13" s="220" t="s">
        <v>206</v>
      </c>
      <c r="D13" s="262" t="s">
        <v>177</v>
      </c>
      <c r="E13" s="262" t="s">
        <v>178</v>
      </c>
      <c r="F13" s="220" t="s">
        <v>179</v>
      </c>
      <c r="G13" s="295" t="s">
        <v>180</v>
      </c>
      <c r="H13" s="220" t="s">
        <v>189</v>
      </c>
      <c r="I13" s="220" t="s">
        <v>190</v>
      </c>
      <c r="J13" s="220" t="s">
        <v>191</v>
      </c>
      <c r="K13" s="220" t="s">
        <v>192</v>
      </c>
      <c r="L13" s="220" t="s">
        <v>193</v>
      </c>
      <c r="M13" s="221" t="s">
        <v>194</v>
      </c>
    </row>
    <row r="14" spans="2:33" ht="15.75" hidden="1" thickBot="1" x14ac:dyDescent="0.3">
      <c r="B14" s="222"/>
      <c r="C14" s="263"/>
      <c r="D14" s="223" t="s">
        <v>207</v>
      </c>
      <c r="E14" s="223" t="s">
        <v>207</v>
      </c>
      <c r="F14" s="223" t="s">
        <v>207</v>
      </c>
      <c r="G14" s="306" t="s">
        <v>207</v>
      </c>
      <c r="H14" s="223" t="s">
        <v>207</v>
      </c>
      <c r="I14" s="223" t="s">
        <v>207</v>
      </c>
      <c r="J14" s="223" t="s">
        <v>207</v>
      </c>
      <c r="K14" s="223" t="s">
        <v>238</v>
      </c>
      <c r="L14" s="223" t="s">
        <v>239</v>
      </c>
      <c r="M14" s="224" t="s">
        <v>239</v>
      </c>
    </row>
    <row r="15" spans="2:33" ht="15.75" thickBot="1" x14ac:dyDescent="0.3">
      <c r="B15" s="222" t="s">
        <v>136</v>
      </c>
      <c r="C15" s="223" t="s">
        <v>1</v>
      </c>
      <c r="D15" s="223" t="s">
        <v>1</v>
      </c>
      <c r="E15" s="223" t="s">
        <v>1</v>
      </c>
      <c r="F15" s="223" t="s">
        <v>1</v>
      </c>
      <c r="G15" s="306" t="s">
        <v>1</v>
      </c>
      <c r="H15" s="223" t="s">
        <v>1</v>
      </c>
      <c r="I15" s="223" t="s">
        <v>1</v>
      </c>
      <c r="J15" s="223" t="s">
        <v>1</v>
      </c>
      <c r="K15" s="223" t="s">
        <v>1</v>
      </c>
      <c r="L15" s="223" t="s">
        <v>1</v>
      </c>
      <c r="M15" s="224" t="s">
        <v>1</v>
      </c>
      <c r="AE15" s="264" t="s">
        <v>208</v>
      </c>
      <c r="AG15" s="265" t="s">
        <v>209</v>
      </c>
    </row>
    <row r="16" spans="2:33" x14ac:dyDescent="0.25">
      <c r="B16" s="266" t="s">
        <v>210</v>
      </c>
      <c r="C16" s="267">
        <f>ROUND('App.2-JA'!C18,0)</f>
        <v>13962859</v>
      </c>
      <c r="D16" s="267">
        <f>C47</f>
        <v>14612471.960000001</v>
      </c>
      <c r="E16" s="267">
        <f t="shared" ref="E16:G16" si="0">D47</f>
        <v>13392623.480000002</v>
      </c>
      <c r="F16" s="267">
        <f t="shared" si="0"/>
        <v>13966804.76</v>
      </c>
      <c r="G16" s="320">
        <f t="shared" si="0"/>
        <v>13575036.079999996</v>
      </c>
      <c r="H16" s="322">
        <f t="shared" ref="H16:M16" si="1">G47</f>
        <v>13608219.7267</v>
      </c>
      <c r="I16" s="267">
        <f t="shared" si="1"/>
        <v>13817799.73</v>
      </c>
      <c r="J16" s="267">
        <f t="shared" si="1"/>
        <v>15692553.770000003</v>
      </c>
      <c r="K16" s="267">
        <f t="shared" si="1"/>
        <v>16472130.880000003</v>
      </c>
      <c r="L16" s="267">
        <f t="shared" si="1"/>
        <v>17644679.23</v>
      </c>
      <c r="M16" s="268">
        <f t="shared" si="1"/>
        <v>19043316</v>
      </c>
      <c r="AE16" t="s">
        <v>211</v>
      </c>
      <c r="AG16" s="269">
        <v>18600000</v>
      </c>
    </row>
    <row r="17" spans="2:33" x14ac:dyDescent="0.25">
      <c r="B17" s="270" t="s">
        <v>212</v>
      </c>
      <c r="C17" s="267"/>
      <c r="D17" s="267"/>
      <c r="E17" s="267"/>
      <c r="F17" s="267"/>
      <c r="G17" s="320"/>
      <c r="H17" s="322"/>
      <c r="I17" s="267"/>
      <c r="J17" s="267"/>
      <c r="K17" s="267"/>
      <c r="L17" s="267"/>
      <c r="M17" s="268"/>
      <c r="AF17" s="271"/>
      <c r="AG17" s="269">
        <v>90000</v>
      </c>
    </row>
    <row r="18" spans="2:33" x14ac:dyDescent="0.25">
      <c r="B18" s="272" t="s">
        <v>213</v>
      </c>
      <c r="C18" s="267">
        <v>280430.54029969964</v>
      </c>
      <c r="D18" s="267">
        <v>-30726.263721771538</v>
      </c>
      <c r="E18" s="267">
        <v>297445.22349767573</v>
      </c>
      <c r="F18" s="267">
        <v>297266.31069316063</v>
      </c>
      <c r="G18" s="320">
        <v>533056.77379853465</v>
      </c>
      <c r="H18" s="322">
        <v>169891.72186455317</v>
      </c>
      <c r="I18" s="267">
        <v>537346.93724379223</v>
      </c>
      <c r="J18" s="267">
        <v>756564.24378887378</v>
      </c>
      <c r="K18" s="267">
        <v>1080994.5665740035</v>
      </c>
      <c r="L18" s="267">
        <v>1215126.2148690186</v>
      </c>
      <c r="M18" s="268">
        <v>412607.0284233056</v>
      </c>
      <c r="AF18" s="271"/>
      <c r="AG18" s="269">
        <v>90000</v>
      </c>
    </row>
    <row r="19" spans="2:33" x14ac:dyDescent="0.25">
      <c r="B19" s="272" t="s">
        <v>214</v>
      </c>
      <c r="C19" s="267">
        <v>36470.714999999997</v>
      </c>
      <c r="D19" s="267">
        <v>18890.868867603742</v>
      </c>
      <c r="E19" s="267">
        <v>-13832.508367603761</v>
      </c>
      <c r="F19" s="267">
        <v>17636.269000000029</v>
      </c>
      <c r="G19" s="320">
        <v>9778.9049999999988</v>
      </c>
      <c r="H19" s="322">
        <v>-17154.990000000049</v>
      </c>
      <c r="I19" s="267">
        <v>-13893.907999999996</v>
      </c>
      <c r="J19" s="267">
        <v>10533.423999999999</v>
      </c>
      <c r="K19" s="267">
        <v>6377.8310000000056</v>
      </c>
      <c r="L19" s="267">
        <v>7726.2477500000095</v>
      </c>
      <c r="M19" s="268">
        <v>8112.5601374999969</v>
      </c>
      <c r="AF19" s="271"/>
      <c r="AG19" s="269"/>
    </row>
    <row r="20" spans="2:33" x14ac:dyDescent="0.25">
      <c r="B20" s="272"/>
      <c r="C20" s="267"/>
      <c r="D20" s="267"/>
      <c r="E20" s="267"/>
      <c r="F20" s="267"/>
      <c r="G20" s="320"/>
      <c r="H20" s="322"/>
      <c r="I20" s="267"/>
      <c r="J20" s="267"/>
      <c r="K20" s="267"/>
      <c r="L20" s="267"/>
      <c r="M20" s="268"/>
      <c r="AF20" s="271"/>
      <c r="AG20" s="269"/>
    </row>
    <row r="21" spans="2:33" x14ac:dyDescent="0.25">
      <c r="B21" s="270" t="s">
        <v>215</v>
      </c>
      <c r="C21" s="267"/>
      <c r="D21" s="267"/>
      <c r="E21" s="267"/>
      <c r="F21" s="267"/>
      <c r="G21" s="320"/>
      <c r="H21" s="322"/>
      <c r="I21" s="267"/>
      <c r="J21" s="267"/>
      <c r="K21" s="267"/>
      <c r="L21" s="267"/>
      <c r="M21" s="268"/>
      <c r="AF21" s="271"/>
      <c r="AG21" s="269"/>
    </row>
    <row r="22" spans="2:33" x14ac:dyDescent="0.25">
      <c r="B22" s="272" t="s">
        <v>216</v>
      </c>
      <c r="C22" s="267"/>
      <c r="D22" s="267"/>
      <c r="E22" s="267"/>
      <c r="F22" s="267"/>
      <c r="G22" s="320"/>
      <c r="H22" s="322"/>
      <c r="I22" s="267"/>
      <c r="J22" s="267"/>
      <c r="K22" s="267"/>
      <c r="L22" s="267"/>
      <c r="M22" s="268">
        <v>50000</v>
      </c>
      <c r="AF22" s="271"/>
    </row>
    <row r="23" spans="2:33" x14ac:dyDescent="0.25">
      <c r="B23" s="272" t="s">
        <v>217</v>
      </c>
      <c r="C23" s="267"/>
      <c r="D23" s="267"/>
      <c r="E23" s="267"/>
      <c r="F23" s="267"/>
      <c r="G23" s="320"/>
      <c r="H23" s="322"/>
      <c r="I23" s="267"/>
      <c r="J23" s="267"/>
      <c r="K23" s="267"/>
      <c r="L23" s="267"/>
      <c r="M23" s="268">
        <v>100000</v>
      </c>
      <c r="AF23" s="271"/>
    </row>
    <row r="24" spans="2:33" x14ac:dyDescent="0.25">
      <c r="B24" s="272" t="s">
        <v>218</v>
      </c>
      <c r="C24" s="267"/>
      <c r="D24" s="267"/>
      <c r="E24" s="267"/>
      <c r="F24" s="267"/>
      <c r="G24" s="320"/>
      <c r="H24" s="322"/>
      <c r="I24" s="267"/>
      <c r="J24" s="267"/>
      <c r="K24" s="267"/>
      <c r="L24" s="267"/>
      <c r="M24" s="268">
        <v>276180</v>
      </c>
      <c r="AF24" s="271"/>
    </row>
    <row r="25" spans="2:33" x14ac:dyDescent="0.25">
      <c r="B25" s="272"/>
      <c r="C25" s="267"/>
      <c r="D25" s="267"/>
      <c r="E25" s="267"/>
      <c r="F25" s="267"/>
      <c r="G25" s="320"/>
      <c r="H25" s="322"/>
      <c r="I25" s="267"/>
      <c r="J25" s="267"/>
      <c r="K25" s="267"/>
      <c r="L25" s="267"/>
      <c r="M25" s="268"/>
      <c r="AF25" s="271"/>
    </row>
    <row r="26" spans="2:33" x14ac:dyDescent="0.25">
      <c r="B26" s="270" t="s">
        <v>219</v>
      </c>
      <c r="C26" s="267"/>
      <c r="D26" s="267"/>
      <c r="E26" s="267"/>
      <c r="F26" s="267"/>
      <c r="G26" s="320"/>
      <c r="H26" s="322"/>
      <c r="I26" s="267"/>
      <c r="J26" s="267"/>
      <c r="K26" s="267"/>
      <c r="L26" s="267"/>
      <c r="M26" s="268"/>
      <c r="AF26" s="271"/>
    </row>
    <row r="27" spans="2:33" x14ac:dyDescent="0.25">
      <c r="B27" s="272" t="s">
        <v>220</v>
      </c>
      <c r="C27" s="267">
        <v>237604.10999999987</v>
      </c>
      <c r="D27" s="267">
        <v>-804491.49</v>
      </c>
      <c r="E27" s="267">
        <v>-105212.09999999992</v>
      </c>
      <c r="F27" s="267"/>
      <c r="G27" s="320"/>
      <c r="H27" s="322">
        <v>280149.49000000057</v>
      </c>
      <c r="I27" s="267">
        <v>277596.27999999945</v>
      </c>
      <c r="J27" s="267"/>
      <c r="K27" s="267"/>
      <c r="L27" s="267"/>
      <c r="M27" s="268">
        <v>100000</v>
      </c>
      <c r="AF27" s="271"/>
    </row>
    <row r="28" spans="2:33" x14ac:dyDescent="0.25">
      <c r="B28" s="272" t="s">
        <v>221</v>
      </c>
      <c r="C28" s="267">
        <v>-129413.31000000001</v>
      </c>
      <c r="D28" s="267">
        <v>-51544.88</v>
      </c>
      <c r="E28" s="267"/>
      <c r="F28" s="267"/>
      <c r="G28" s="320"/>
      <c r="H28" s="322"/>
      <c r="I28" s="267"/>
      <c r="J28" s="267"/>
      <c r="K28" s="267"/>
      <c r="L28" s="267"/>
      <c r="M28" s="268"/>
      <c r="AF28" s="271"/>
    </row>
    <row r="29" spans="2:33" x14ac:dyDescent="0.25">
      <c r="B29" s="272" t="s">
        <v>222</v>
      </c>
      <c r="C29" s="267">
        <v>-74203.650000000111</v>
      </c>
      <c r="D29" s="267">
        <v>-237233.52999999997</v>
      </c>
      <c r="E29" s="267"/>
      <c r="F29" s="267"/>
      <c r="G29" s="320"/>
      <c r="H29" s="322"/>
      <c r="I29" s="267"/>
      <c r="J29" s="267"/>
      <c r="K29" s="267"/>
      <c r="L29" s="267"/>
      <c r="M29" s="268"/>
      <c r="AF29" s="271"/>
    </row>
    <row r="30" spans="2:33" x14ac:dyDescent="0.25">
      <c r="B30" s="272" t="s">
        <v>223</v>
      </c>
      <c r="C30" s="267"/>
      <c r="D30" s="267"/>
      <c r="E30" s="267"/>
      <c r="F30" s="267"/>
      <c r="G30" s="320"/>
      <c r="H30" s="322">
        <v>63038</v>
      </c>
      <c r="I30" s="267">
        <v>232402</v>
      </c>
      <c r="J30" s="267"/>
      <c r="K30" s="267"/>
      <c r="L30" s="267"/>
      <c r="M30" s="268">
        <v>225000</v>
      </c>
      <c r="AF30" s="271"/>
    </row>
    <row r="31" spans="2:33" x14ac:dyDescent="0.25">
      <c r="B31" s="272" t="s">
        <v>224</v>
      </c>
      <c r="C31" s="267"/>
      <c r="D31" s="267"/>
      <c r="E31" s="267"/>
      <c r="F31" s="267"/>
      <c r="G31" s="320">
        <v>-142561.09999999998</v>
      </c>
      <c r="H31" s="322"/>
      <c r="I31" s="267">
        <v>257938.72999999998</v>
      </c>
      <c r="J31" s="267"/>
      <c r="K31" s="267"/>
      <c r="L31" s="267"/>
      <c r="M31" s="268">
        <v>100000</v>
      </c>
      <c r="AF31" s="271"/>
      <c r="AG31" s="269"/>
    </row>
    <row r="32" spans="2:33" x14ac:dyDescent="0.25">
      <c r="B32" s="272" t="s">
        <v>225</v>
      </c>
      <c r="C32" s="267"/>
      <c r="D32" s="267"/>
      <c r="E32" s="267"/>
      <c r="F32" s="267"/>
      <c r="G32" s="320"/>
      <c r="H32" s="322"/>
      <c r="I32" s="267"/>
      <c r="J32" s="267"/>
      <c r="K32" s="267">
        <v>-114979</v>
      </c>
      <c r="L32" s="267"/>
      <c r="M32" s="268"/>
      <c r="AF32" s="271"/>
      <c r="AG32" s="269"/>
    </row>
    <row r="33" spans="2:33" x14ac:dyDescent="0.25">
      <c r="B33" s="272" t="s">
        <v>226</v>
      </c>
      <c r="C33" s="267"/>
      <c r="D33" s="267"/>
      <c r="E33" s="267"/>
      <c r="F33" s="267"/>
      <c r="G33" s="320"/>
      <c r="H33" s="322">
        <v>32365</v>
      </c>
      <c r="I33" s="267">
        <v>160368</v>
      </c>
      <c r="J33" s="267"/>
      <c r="K33" s="267"/>
      <c r="L33" s="267"/>
      <c r="M33" s="268"/>
      <c r="AF33" s="271"/>
      <c r="AG33" s="269"/>
    </row>
    <row r="34" spans="2:33" x14ac:dyDescent="0.25">
      <c r="B34" s="272" t="s">
        <v>227</v>
      </c>
      <c r="C34" s="267"/>
      <c r="D34" s="267"/>
      <c r="E34" s="267"/>
      <c r="F34" s="267"/>
      <c r="G34" s="320"/>
      <c r="H34" s="322"/>
      <c r="I34" s="267"/>
      <c r="J34" s="267"/>
      <c r="K34" s="267"/>
      <c r="L34" s="267"/>
      <c r="M34" s="268">
        <v>50000</v>
      </c>
      <c r="AF34" s="271"/>
      <c r="AG34" s="269"/>
    </row>
    <row r="35" spans="2:33" x14ac:dyDescent="0.25">
      <c r="B35" s="272" t="s">
        <v>228</v>
      </c>
      <c r="C35" s="267"/>
      <c r="D35" s="267"/>
      <c r="E35" s="267"/>
      <c r="F35" s="267"/>
      <c r="G35" s="320"/>
      <c r="H35" s="322"/>
      <c r="I35" s="267"/>
      <c r="J35" s="267"/>
      <c r="K35" s="267"/>
      <c r="L35" s="267"/>
      <c r="M35" s="268">
        <v>180302</v>
      </c>
      <c r="AF35" s="271"/>
      <c r="AG35" s="269"/>
    </row>
    <row r="36" spans="2:33" x14ac:dyDescent="0.25">
      <c r="B36" s="272"/>
      <c r="C36" s="267"/>
      <c r="D36" s="267"/>
      <c r="E36" s="267"/>
      <c r="F36" s="267"/>
      <c r="G36" s="320"/>
      <c r="H36" s="322"/>
      <c r="I36" s="267"/>
      <c r="J36" s="267"/>
      <c r="K36" s="267"/>
      <c r="L36" s="267"/>
      <c r="M36" s="268"/>
      <c r="AF36" s="271"/>
    </row>
    <row r="37" spans="2:33" x14ac:dyDescent="0.25">
      <c r="B37" s="270" t="s">
        <v>167</v>
      </c>
      <c r="C37" s="267"/>
      <c r="D37" s="267"/>
      <c r="E37" s="267"/>
      <c r="F37" s="267"/>
      <c r="G37" s="320"/>
      <c r="H37" s="322"/>
      <c r="I37" s="267"/>
      <c r="J37" s="267"/>
      <c r="K37" s="267"/>
      <c r="L37" s="267"/>
      <c r="M37" s="268"/>
      <c r="AF37" s="271"/>
    </row>
    <row r="38" spans="2:33" x14ac:dyDescent="0.25">
      <c r="B38" s="272" t="s">
        <v>229</v>
      </c>
      <c r="C38" s="267"/>
      <c r="D38" s="267">
        <v>107325</v>
      </c>
      <c r="E38" s="267"/>
      <c r="F38" s="267"/>
      <c r="G38" s="320"/>
      <c r="H38" s="322"/>
      <c r="I38" s="267"/>
      <c r="J38" s="267"/>
      <c r="K38" s="267"/>
      <c r="L38" s="267"/>
      <c r="M38" s="268"/>
      <c r="AF38" s="271"/>
    </row>
    <row r="39" spans="2:33" x14ac:dyDescent="0.25">
      <c r="B39" s="272" t="s">
        <v>230</v>
      </c>
      <c r="C39" s="267"/>
      <c r="D39" s="267"/>
      <c r="E39" s="267">
        <v>-307089.60217333335</v>
      </c>
      <c r="F39" s="267">
        <v>-490782.99782666669</v>
      </c>
      <c r="G39" s="320">
        <v>-199683.26034760015</v>
      </c>
      <c r="H39" s="322">
        <v>-210760.76411792793</v>
      </c>
      <c r="I39" s="267">
        <v>-360123.73063435691</v>
      </c>
      <c r="J39" s="267">
        <v>-71259.69954882907</v>
      </c>
      <c r="K39" s="267">
        <v>-69346.102450690523</v>
      </c>
      <c r="L39" s="267">
        <v>-55610.757263237931</v>
      </c>
      <c r="M39" s="268">
        <v>-52939.707430879251</v>
      </c>
      <c r="AF39" s="271"/>
    </row>
    <row r="40" spans="2:33" x14ac:dyDescent="0.25">
      <c r="B40" s="272" t="s">
        <v>231</v>
      </c>
      <c r="C40" s="267"/>
      <c r="D40" s="267"/>
      <c r="E40" s="267">
        <v>94702.640000000014</v>
      </c>
      <c r="F40" s="267"/>
      <c r="G40" s="320"/>
      <c r="H40" s="322"/>
      <c r="I40" s="267"/>
      <c r="J40" s="267"/>
      <c r="K40" s="267"/>
      <c r="L40" s="267"/>
      <c r="M40" s="268"/>
      <c r="AF40" s="271"/>
    </row>
    <row r="41" spans="2:33" x14ac:dyDescent="0.25">
      <c r="B41" s="272" t="s">
        <v>232</v>
      </c>
      <c r="C41" s="267"/>
      <c r="D41" s="267">
        <v>-404620</v>
      </c>
      <c r="E41" s="267">
        <v>404620</v>
      </c>
      <c r="F41" s="267"/>
      <c r="G41" s="320"/>
      <c r="H41" s="322"/>
      <c r="I41" s="267"/>
      <c r="J41" s="267"/>
      <c r="K41" s="267"/>
      <c r="L41" s="267"/>
      <c r="M41" s="268"/>
      <c r="AF41" s="271"/>
    </row>
    <row r="42" spans="2:33" x14ac:dyDescent="0.25">
      <c r="B42" s="272" t="s">
        <v>233</v>
      </c>
      <c r="C42" s="267"/>
      <c r="D42" s="267"/>
      <c r="E42" s="267"/>
      <c r="F42" s="267"/>
      <c r="G42" s="320">
        <v>-334969.05999999971</v>
      </c>
      <c r="H42" s="322">
        <v>-112872.04000000027</v>
      </c>
      <c r="I42" s="267">
        <v>536961.05999999971</v>
      </c>
      <c r="J42" s="267"/>
      <c r="K42" s="267"/>
      <c r="L42" s="267"/>
      <c r="M42" s="268"/>
      <c r="AF42" s="271"/>
    </row>
    <row r="43" spans="2:33" x14ac:dyDescent="0.25">
      <c r="B43" s="272" t="s">
        <v>234</v>
      </c>
      <c r="C43" s="267">
        <v>33265.929999999993</v>
      </c>
      <c r="D43" s="267">
        <v>-51283.170000000042</v>
      </c>
      <c r="E43" s="267">
        <v>161950.52000000002</v>
      </c>
      <c r="F43" s="267">
        <v>-149027.93999999994</v>
      </c>
      <c r="G43" s="320">
        <v>158051.27999999991</v>
      </c>
      <c r="H43" s="322">
        <v>-42480.010000000009</v>
      </c>
      <c r="I43" s="267">
        <v>-99562.319999999949</v>
      </c>
      <c r="J43" s="267">
        <v>-69242.469999999972</v>
      </c>
      <c r="K43" s="267">
        <v>24138.419999999984</v>
      </c>
      <c r="L43" s="267">
        <v>88754.68</v>
      </c>
      <c r="M43" s="268">
        <v>202987</v>
      </c>
      <c r="AB43" t="s">
        <v>235</v>
      </c>
      <c r="AF43" s="271"/>
    </row>
    <row r="44" spans="2:33" x14ac:dyDescent="0.25">
      <c r="B44" s="272" t="s">
        <v>236</v>
      </c>
      <c r="C44" s="267">
        <v>144050.36814234543</v>
      </c>
      <c r="D44" s="267">
        <v>119239.33024241126</v>
      </c>
      <c r="E44" s="267">
        <v>74449.326738721153</v>
      </c>
      <c r="F44" s="267">
        <v>86418.590575426613</v>
      </c>
      <c r="G44" s="320">
        <v>109177.82312240994</v>
      </c>
      <c r="H44" s="322">
        <v>121794.44079696199</v>
      </c>
      <c r="I44" s="267">
        <v>229275.87910776227</v>
      </c>
      <c r="J44" s="267">
        <v>270159.65150972287</v>
      </c>
      <c r="K44" s="267">
        <v>354871.96734679095</v>
      </c>
      <c r="L44" s="267">
        <v>272760.35549480846</v>
      </c>
      <c r="M44" s="268">
        <v>342198.92198466865</v>
      </c>
      <c r="AF44" s="271"/>
      <c r="AG44" s="269"/>
    </row>
    <row r="45" spans="2:33" x14ac:dyDescent="0.25">
      <c r="B45" s="272" t="s">
        <v>237</v>
      </c>
      <c r="C45" s="267">
        <v>121408.2565579582</v>
      </c>
      <c r="D45" s="267">
        <v>114595.65461175703</v>
      </c>
      <c r="E45" s="267">
        <v>-32852.219695461914</v>
      </c>
      <c r="F45" s="267">
        <v>-153278.91244192421</v>
      </c>
      <c r="G45" s="320">
        <v>-99667.714873338118</v>
      </c>
      <c r="H45" s="322">
        <v>-74390.845243586227</v>
      </c>
      <c r="I45" s="267">
        <v>116445.11228280514</v>
      </c>
      <c r="J45" s="267">
        <v>-117178.03974976763</v>
      </c>
      <c r="K45" s="267">
        <v>-109509.33247010782</v>
      </c>
      <c r="L45" s="267">
        <v>-130119.97085058689</v>
      </c>
      <c r="M45" s="268">
        <v>90102.207271318883</v>
      </c>
      <c r="AF45" s="271"/>
    </row>
    <row r="46" spans="2:33" x14ac:dyDescent="0.25">
      <c r="B46" s="272"/>
      <c r="C46" s="267"/>
      <c r="D46" s="267"/>
      <c r="E46" s="267"/>
      <c r="F46" s="267"/>
      <c r="G46" s="320"/>
      <c r="H46" s="322"/>
      <c r="I46" s="267"/>
      <c r="J46" s="267"/>
      <c r="K46" s="267"/>
      <c r="L46" s="267"/>
      <c r="M46" s="268"/>
      <c r="AF46" s="271"/>
    </row>
    <row r="47" spans="2:33" ht="15.75" thickBot="1" x14ac:dyDescent="0.3">
      <c r="B47" s="273" t="s">
        <v>11</v>
      </c>
      <c r="C47" s="274">
        <f>SUM(C16:C46)</f>
        <v>14612471.960000001</v>
      </c>
      <c r="D47" s="274">
        <f>SUM(D16:D46)</f>
        <v>13392623.480000002</v>
      </c>
      <c r="E47" s="274">
        <f>SUM(E16:E46)</f>
        <v>13966804.76</v>
      </c>
      <c r="F47" s="274">
        <f>SUM(F16:F46)</f>
        <v>13575036.079999996</v>
      </c>
      <c r="G47" s="321">
        <f>SUM(G16:G46)</f>
        <v>13608219.7267</v>
      </c>
      <c r="H47" s="323">
        <f t="shared" ref="H47:M47" si="2">SUM(H16:H46)</f>
        <v>13817799.73</v>
      </c>
      <c r="I47" s="274">
        <f t="shared" si="2"/>
        <v>15692553.770000003</v>
      </c>
      <c r="J47" s="274">
        <f t="shared" si="2"/>
        <v>16472130.880000003</v>
      </c>
      <c r="K47" s="274">
        <f t="shared" si="2"/>
        <v>17644679.23</v>
      </c>
      <c r="L47" s="274">
        <f t="shared" si="2"/>
        <v>19043316</v>
      </c>
      <c r="M47" s="275">
        <f t="shared" si="2"/>
        <v>21127866.010385912</v>
      </c>
      <c r="AF47" s="271"/>
    </row>
    <row r="48" spans="2:33" x14ac:dyDescent="0.25">
      <c r="D48" s="391"/>
      <c r="E48" s="391"/>
      <c r="F48" s="391"/>
      <c r="G48" s="391"/>
      <c r="H48" s="391"/>
      <c r="I48" s="391"/>
      <c r="J48" s="391"/>
      <c r="K48" s="391"/>
      <c r="L48" s="391"/>
      <c r="M48" s="391"/>
    </row>
  </sheetData>
  <mergeCells count="3">
    <mergeCell ref="B10:M10"/>
    <mergeCell ref="B11:M11"/>
    <mergeCell ref="D48:M48"/>
  </mergeCells>
  <conditionalFormatting sqref="C18:M45">
    <cfRule type="cellIs" dxfId="2" priority="1" operator="notBetween">
      <formula>-195000</formula>
      <formula>195000</formula>
    </cfRule>
  </conditionalFormatting>
  <conditionalFormatting sqref="C45:M45">
    <cfRule type="cellIs" dxfId="1" priority="2" operator="notBetween">
      <formula>-175000</formula>
      <formula>175000</formula>
    </cfRule>
  </conditionalFormatting>
  <dataValidations count="2">
    <dataValidation allowBlank="1" showInputMessage="1" showErrorMessage="1" promptTitle="Date Format" prompt="E.g:  &quot;August 1, 2011&quot;" sqref="M7" xr:uid="{089DF84D-D34F-4DF0-9D15-CDAEA94FDCF6}"/>
    <dataValidation type="list" allowBlank="1" showInputMessage="1" showErrorMessage="1" sqref="C15:M15" xr:uid="{649F3DC8-E606-469B-A4AF-50CF7E5E5AB8}">
      <formula1>"CGAAP, MIFRS, USGAAP, ASPE"</formula1>
    </dataValidation>
  </dataValidations>
  <pageMargins left="0.25" right="0.25" top="0.75" bottom="0.75" header="0.3" footer="0.3"/>
  <pageSetup scale="48" fitToHeight="2"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9CF6-8D7B-48DF-B93B-D7CCE214EEEC}">
  <sheetPr>
    <pageSetUpPr fitToPage="1"/>
  </sheetPr>
  <dimension ref="B1:V58"/>
  <sheetViews>
    <sheetView showGridLines="0" topLeftCell="A11" zoomScale="85" zoomScaleNormal="85" workbookViewId="0">
      <pane xSplit="2" ySplit="3" topLeftCell="K31" activePane="bottomRight" state="frozen"/>
      <selection activeCell="A11" sqref="A11"/>
      <selection pane="topRight" activeCell="C11" sqref="C11"/>
      <selection pane="bottomLeft" activeCell="A14" sqref="A14"/>
      <selection pane="bottomRight" activeCell="O51" sqref="O51"/>
    </sheetView>
  </sheetViews>
  <sheetFormatPr defaultRowHeight="15" x14ac:dyDescent="0.25"/>
  <cols>
    <col min="1" max="1" width="2" customWidth="1"/>
    <col min="2" max="2" width="38.28515625" customWidth="1"/>
    <col min="3" max="17" width="14" customWidth="1"/>
    <col min="18" max="19" width="17.7109375" customWidth="1"/>
    <col min="21" max="22" width="9.140625" style="324"/>
  </cols>
  <sheetData>
    <row r="1" spans="2:19" hidden="1" x14ac:dyDescent="0.25">
      <c r="R1" s="276" t="s">
        <v>197</v>
      </c>
      <c r="S1" s="257">
        <v>0</v>
      </c>
    </row>
    <row r="2" spans="2:19" hidden="1" x14ac:dyDescent="0.25">
      <c r="R2" s="276" t="s">
        <v>198</v>
      </c>
      <c r="S2" s="258"/>
    </row>
    <row r="3" spans="2:19" hidden="1" x14ac:dyDescent="0.25">
      <c r="R3" s="276" t="s">
        <v>199</v>
      </c>
      <c r="S3" s="258"/>
    </row>
    <row r="4" spans="2:19" ht="34.5" hidden="1" x14ac:dyDescent="0.45">
      <c r="C4" s="392" t="s">
        <v>240</v>
      </c>
      <c r="D4" s="392"/>
      <c r="E4" s="277"/>
      <c r="F4" s="277"/>
      <c r="R4" s="276" t="s">
        <v>200</v>
      </c>
      <c r="S4" s="258"/>
    </row>
    <row r="5" spans="2:19" hidden="1" x14ac:dyDescent="0.25">
      <c r="R5" s="276" t="s">
        <v>201</v>
      </c>
      <c r="S5" s="259"/>
    </row>
    <row r="6" spans="2:19" hidden="1" x14ac:dyDescent="0.25">
      <c r="R6" s="276"/>
      <c r="S6" s="257"/>
    </row>
    <row r="7" spans="2:19" hidden="1" x14ac:dyDescent="0.25">
      <c r="R7" s="276" t="s">
        <v>202</v>
      </c>
      <c r="S7" s="259"/>
    </row>
    <row r="8" spans="2:19" hidden="1" x14ac:dyDescent="0.25"/>
    <row r="9" spans="2:19" ht="18" x14ac:dyDescent="0.25">
      <c r="B9" s="336" t="s">
        <v>241</v>
      </c>
      <c r="C9" s="336"/>
      <c r="D9" s="336"/>
      <c r="E9" s="336"/>
      <c r="F9" s="336"/>
      <c r="G9" s="336"/>
      <c r="H9" s="336"/>
      <c r="I9" s="336"/>
      <c r="J9" s="336"/>
      <c r="K9" s="336"/>
      <c r="L9" s="336"/>
      <c r="M9" s="336"/>
      <c r="N9" s="336"/>
      <c r="O9" s="336"/>
      <c r="P9" s="336"/>
      <c r="Q9" s="336"/>
      <c r="R9" s="336"/>
      <c r="S9" s="278"/>
    </row>
    <row r="10" spans="2:19" ht="18" x14ac:dyDescent="0.25">
      <c r="B10" s="336" t="s">
        <v>242</v>
      </c>
      <c r="C10" s="336"/>
      <c r="D10" s="336"/>
      <c r="E10" s="336"/>
      <c r="F10" s="336"/>
      <c r="G10" s="336"/>
      <c r="H10" s="336"/>
      <c r="I10" s="336"/>
      <c r="J10" s="336"/>
      <c r="K10" s="336"/>
      <c r="L10" s="336"/>
      <c r="M10" s="336"/>
      <c r="N10" s="336"/>
      <c r="O10" s="336"/>
      <c r="P10" s="336"/>
      <c r="Q10" s="336"/>
      <c r="R10" s="336"/>
      <c r="S10" s="278"/>
    </row>
    <row r="12" spans="2:19" ht="15.75" thickBot="1" x14ac:dyDescent="0.3">
      <c r="B12" s="393"/>
      <c r="C12" s="393"/>
      <c r="D12" s="393"/>
      <c r="E12" s="393"/>
      <c r="F12" s="393"/>
      <c r="G12" s="393"/>
      <c r="H12" s="393"/>
      <c r="I12" s="393"/>
      <c r="J12" s="393"/>
      <c r="K12" s="393"/>
      <c r="L12" s="393"/>
      <c r="M12" s="393"/>
      <c r="N12" s="393"/>
      <c r="O12" s="393"/>
      <c r="P12" s="393"/>
      <c r="Q12" s="393"/>
      <c r="R12" s="393"/>
    </row>
    <row r="13" spans="2:19" ht="64.5" thickBot="1" x14ac:dyDescent="0.3">
      <c r="B13" s="279" t="s">
        <v>243</v>
      </c>
      <c r="C13" s="220" t="s">
        <v>175</v>
      </c>
      <c r="D13" s="220" t="s">
        <v>176</v>
      </c>
      <c r="E13" s="220" t="s">
        <v>177</v>
      </c>
      <c r="F13" s="220" t="s">
        <v>178</v>
      </c>
      <c r="G13" s="220" t="s">
        <v>179</v>
      </c>
      <c r="H13" s="295" t="s">
        <v>180</v>
      </c>
      <c r="I13" s="220" t="s">
        <v>189</v>
      </c>
      <c r="J13" s="220" t="s">
        <v>190</v>
      </c>
      <c r="K13" s="220" t="s">
        <v>270</v>
      </c>
      <c r="L13" s="220" t="s">
        <v>191</v>
      </c>
      <c r="M13" s="220" t="s">
        <v>271</v>
      </c>
      <c r="N13" s="220" t="s">
        <v>192</v>
      </c>
      <c r="O13" s="220" t="s">
        <v>269</v>
      </c>
      <c r="P13" s="220" t="s">
        <v>193</v>
      </c>
      <c r="Q13" s="295" t="s">
        <v>194</v>
      </c>
      <c r="R13" s="220" t="str">
        <f>"Variance (Test Year vs. " &amp; N13 &amp;")"</f>
        <v>Variance (Test Year vs. 2024 Actuals)</v>
      </c>
      <c r="S13" s="98" t="str">
        <f>"Variance (Test Year vs. " &amp; C13</f>
        <v>Variance (Test Year vs. Last Rebasing Year (2016 OEB Approved Proxy)</v>
      </c>
    </row>
    <row r="14" spans="2:19" ht="15.75" thickBot="1" x14ac:dyDescent="0.3">
      <c r="B14" s="280" t="s">
        <v>136</v>
      </c>
      <c r="C14" s="223" t="s">
        <v>1</v>
      </c>
      <c r="D14" s="223" t="s">
        <v>1</v>
      </c>
      <c r="E14" s="223" t="s">
        <v>1</v>
      </c>
      <c r="F14" s="223" t="s">
        <v>1</v>
      </c>
      <c r="G14" s="223" t="s">
        <v>1</v>
      </c>
      <c r="H14" s="306" t="s">
        <v>1</v>
      </c>
      <c r="I14" s="223" t="s">
        <v>1</v>
      </c>
      <c r="J14" s="223" t="s">
        <v>1</v>
      </c>
      <c r="K14" s="223" t="s">
        <v>1</v>
      </c>
      <c r="L14" s="223" t="s">
        <v>1</v>
      </c>
      <c r="M14" s="223" t="s">
        <v>1</v>
      </c>
      <c r="N14" s="223" t="s">
        <v>1</v>
      </c>
      <c r="O14" s="223" t="s">
        <v>1</v>
      </c>
      <c r="P14" s="223" t="s">
        <v>1</v>
      </c>
      <c r="Q14" s="223" t="s">
        <v>1</v>
      </c>
      <c r="R14" s="223"/>
      <c r="S14" s="224"/>
    </row>
    <row r="15" spans="2:19" x14ac:dyDescent="0.25">
      <c r="B15" s="281"/>
      <c r="C15" s="282"/>
      <c r="D15" s="282"/>
      <c r="E15" s="282"/>
      <c r="F15" s="282"/>
      <c r="G15" s="282"/>
      <c r="H15" s="314"/>
      <c r="I15" s="282"/>
      <c r="J15" s="282"/>
      <c r="K15" s="282"/>
      <c r="L15" s="282"/>
      <c r="M15" s="282"/>
      <c r="N15" s="282"/>
      <c r="O15" s="282"/>
      <c r="P15" s="282"/>
      <c r="Q15" s="282"/>
      <c r="R15" s="296"/>
      <c r="S15" s="297"/>
    </row>
    <row r="16" spans="2:19" x14ac:dyDescent="0.25">
      <c r="B16" s="283" t="s">
        <v>244</v>
      </c>
      <c r="C16" s="284"/>
      <c r="D16" s="285"/>
      <c r="E16" s="285"/>
      <c r="F16" s="285"/>
      <c r="G16" s="285"/>
      <c r="H16" s="315"/>
      <c r="I16" s="285"/>
      <c r="J16" s="285"/>
      <c r="K16" s="285"/>
      <c r="L16" s="285"/>
      <c r="M16" s="285"/>
      <c r="N16" s="285"/>
      <c r="O16" s="285"/>
      <c r="P16" s="285"/>
      <c r="Q16" s="285"/>
      <c r="R16" s="298"/>
      <c r="S16" s="299"/>
    </row>
    <row r="17" spans="2:19" x14ac:dyDescent="0.25">
      <c r="B17" s="286" t="s">
        <v>245</v>
      </c>
      <c r="C17" s="287">
        <v>896461.95000000042</v>
      </c>
      <c r="D17" s="287">
        <v>793832.84000000008</v>
      </c>
      <c r="E17" s="287">
        <v>797314.9</v>
      </c>
      <c r="F17" s="287">
        <v>892017.54</v>
      </c>
      <c r="G17" s="287">
        <v>924313.2</v>
      </c>
      <c r="H17" s="316">
        <v>850790.10000000009</v>
      </c>
      <c r="I17" s="287">
        <v>714215.45999999973</v>
      </c>
      <c r="J17" s="287">
        <v>623342.97999999986</v>
      </c>
      <c r="K17" s="287">
        <v>579190</v>
      </c>
      <c r="L17" s="287">
        <v>704370.08000000007</v>
      </c>
      <c r="M17" s="287">
        <v>603603</v>
      </c>
      <c r="N17" s="287">
        <v>727079.27</v>
      </c>
      <c r="O17" s="287">
        <v>686112.93</v>
      </c>
      <c r="P17" s="287">
        <v>775173.79255157942</v>
      </c>
      <c r="Q17" s="287">
        <v>831969.59775196761</v>
      </c>
      <c r="R17" s="300">
        <f t="shared" ref="R17:R22" si="0">Q17-N17</f>
        <v>104890.32775196759</v>
      </c>
      <c r="S17" s="301">
        <f t="shared" ref="S17:S22" si="1">Q17-C17</f>
        <v>-64492.35224803281</v>
      </c>
    </row>
    <row r="18" spans="2:19" x14ac:dyDescent="0.25">
      <c r="B18" s="286" t="s">
        <v>246</v>
      </c>
      <c r="C18" s="287">
        <v>175072.88</v>
      </c>
      <c r="D18" s="287">
        <v>197770.08000000002</v>
      </c>
      <c r="E18" s="287">
        <v>163444.88</v>
      </c>
      <c r="F18" s="287">
        <v>181039.16</v>
      </c>
      <c r="G18" s="287">
        <v>173601.84</v>
      </c>
      <c r="H18" s="316">
        <v>160738.92000000001</v>
      </c>
      <c r="I18" s="287">
        <v>153660.24</v>
      </c>
      <c r="J18" s="287">
        <v>183151.8</v>
      </c>
      <c r="K18" s="287">
        <v>179565.3</v>
      </c>
      <c r="L18" s="287">
        <v>215478.36</v>
      </c>
      <c r="M18" s="287">
        <v>188757.90000000002</v>
      </c>
      <c r="N18" s="287">
        <v>226509.48</v>
      </c>
      <c r="O18" s="290">
        <v>202517.4</v>
      </c>
      <c r="P18" s="290">
        <v>233400</v>
      </c>
      <c r="Q18" s="290">
        <v>243200</v>
      </c>
      <c r="R18" s="300">
        <f t="shared" si="0"/>
        <v>16690.51999999999</v>
      </c>
      <c r="S18" s="301">
        <f t="shared" si="1"/>
        <v>68127.12</v>
      </c>
    </row>
    <row r="19" spans="2:19" x14ac:dyDescent="0.25">
      <c r="B19" s="286" t="s">
        <v>247</v>
      </c>
      <c r="C19" s="287">
        <v>365257.66</v>
      </c>
      <c r="D19" s="287">
        <v>457370.70999999996</v>
      </c>
      <c r="E19" s="287">
        <v>499261.20999999996</v>
      </c>
      <c r="F19" s="287">
        <v>495819.72999999992</v>
      </c>
      <c r="G19" s="287">
        <v>556825.29999999981</v>
      </c>
      <c r="H19" s="316">
        <v>528361.37999999989</v>
      </c>
      <c r="I19" s="287">
        <v>430513.46</v>
      </c>
      <c r="J19" s="287">
        <v>444776.86999999994</v>
      </c>
      <c r="K19" s="287">
        <v>306209</v>
      </c>
      <c r="L19" s="287">
        <v>434777.27</v>
      </c>
      <c r="M19" s="287">
        <v>395211</v>
      </c>
      <c r="N19" s="287">
        <v>505690.31</v>
      </c>
      <c r="O19" s="290">
        <v>292200.45</v>
      </c>
      <c r="P19" s="290">
        <v>367226</v>
      </c>
      <c r="Q19" s="290">
        <v>383341</v>
      </c>
      <c r="R19" s="300">
        <f t="shared" si="0"/>
        <v>-122349.31</v>
      </c>
      <c r="S19" s="301">
        <f t="shared" si="1"/>
        <v>18083.340000000026</v>
      </c>
    </row>
    <row r="20" spans="2:19" x14ac:dyDescent="0.25">
      <c r="B20" s="286" t="s">
        <v>248</v>
      </c>
      <c r="C20" s="287">
        <v>342799.20600000001</v>
      </c>
      <c r="D20" s="287">
        <v>603521.11</v>
      </c>
      <c r="E20" s="287">
        <v>517281.09</v>
      </c>
      <c r="F20" s="287">
        <v>489612.56999999995</v>
      </c>
      <c r="G20" s="287">
        <v>395815.47</v>
      </c>
      <c r="H20" s="316">
        <v>421441.42000000004</v>
      </c>
      <c r="I20" s="287">
        <v>364336.86</v>
      </c>
      <c r="J20" s="287">
        <v>470782.83999999997</v>
      </c>
      <c r="K20" s="287">
        <v>214700</v>
      </c>
      <c r="L20" s="287">
        <v>355764.84</v>
      </c>
      <c r="M20" s="287">
        <v>174630</v>
      </c>
      <c r="N20" s="287">
        <v>205554.22999999998</v>
      </c>
      <c r="O20" s="290">
        <v>167416.6</v>
      </c>
      <c r="P20" s="290">
        <v>152006.20196210392</v>
      </c>
      <c r="Q20" s="290">
        <v>170798.75748269973</v>
      </c>
      <c r="R20" s="300">
        <f t="shared" si="0"/>
        <v>-34755.472517300252</v>
      </c>
      <c r="S20" s="301">
        <f t="shared" si="1"/>
        <v>-172000.44851730028</v>
      </c>
    </row>
    <row r="21" spans="2:19" x14ac:dyDescent="0.25">
      <c r="B21" s="286" t="s">
        <v>249</v>
      </c>
      <c r="C21" s="287">
        <v>458396.15</v>
      </c>
      <c r="D21" s="287">
        <v>446707.26</v>
      </c>
      <c r="E21" s="287">
        <v>494423.92999999993</v>
      </c>
      <c r="F21" s="287">
        <v>495625.18</v>
      </c>
      <c r="G21" s="287">
        <v>448020.55</v>
      </c>
      <c r="H21" s="316">
        <v>451910.55000000005</v>
      </c>
      <c r="I21" s="287">
        <v>485931.3899999999</v>
      </c>
      <c r="J21" s="287">
        <v>563888.59000000008</v>
      </c>
      <c r="K21" s="287">
        <v>579324.0541666667</v>
      </c>
      <c r="L21" s="287">
        <v>695188.86500000011</v>
      </c>
      <c r="M21" s="287">
        <v>544758</v>
      </c>
      <c r="N21" s="287">
        <v>671615.91</v>
      </c>
      <c r="O21" s="290">
        <v>566111.31999999995</v>
      </c>
      <c r="P21" s="290">
        <v>743196</v>
      </c>
      <c r="Q21" s="290">
        <v>1023794</v>
      </c>
      <c r="R21" s="300">
        <f t="shared" si="0"/>
        <v>352178.08999999997</v>
      </c>
      <c r="S21" s="301">
        <f t="shared" si="1"/>
        <v>565397.85</v>
      </c>
    </row>
    <row r="22" spans="2:19" x14ac:dyDescent="0.25">
      <c r="B22" s="286" t="s">
        <v>250</v>
      </c>
      <c r="C22" s="287">
        <v>3610690.426</v>
      </c>
      <c r="D22" s="287">
        <v>4281059.16</v>
      </c>
      <c r="E22" s="287">
        <v>4293824.4600000018</v>
      </c>
      <c r="F22" s="287">
        <v>4351424.9499999993</v>
      </c>
      <c r="G22" s="287">
        <v>3904934.3599999989</v>
      </c>
      <c r="H22" s="316">
        <v>4060548.0266999989</v>
      </c>
      <c r="I22" s="287">
        <v>4289939.0300000021</v>
      </c>
      <c r="J22" s="287">
        <v>4998989.5500000035</v>
      </c>
      <c r="K22" s="287">
        <v>4481741.7791666677</v>
      </c>
      <c r="L22" s="287">
        <v>5258090.1350000016</v>
      </c>
      <c r="M22" s="287">
        <v>5149020.6583333332</v>
      </c>
      <c r="N22" s="287">
        <v>6058824.79</v>
      </c>
      <c r="O22" s="290">
        <v>5909216.9933333322</v>
      </c>
      <c r="P22" s="290">
        <v>7072718.0473161619</v>
      </c>
      <c r="Q22" s="290">
        <v>7405205.6771939322</v>
      </c>
      <c r="R22" s="300">
        <f t="shared" si="0"/>
        <v>1346380.8871939322</v>
      </c>
      <c r="S22" s="301">
        <f t="shared" si="1"/>
        <v>3794515.2511939323</v>
      </c>
    </row>
    <row r="23" spans="2:19" x14ac:dyDescent="0.25">
      <c r="B23" s="288" t="s">
        <v>56</v>
      </c>
      <c r="C23" s="289">
        <f>SUBTOTAL(9,C17:C22)</f>
        <v>5848678.2719999999</v>
      </c>
      <c r="D23" s="289">
        <f t="shared" ref="D23:H23" si="2">SUBTOTAL(9,D17:D22)</f>
        <v>6780261.1600000001</v>
      </c>
      <c r="E23" s="289">
        <f t="shared" si="2"/>
        <v>6765550.4700000016</v>
      </c>
      <c r="F23" s="289">
        <f t="shared" si="2"/>
        <v>6905539.129999999</v>
      </c>
      <c r="G23" s="289">
        <f t="shared" si="2"/>
        <v>6403510.7199999988</v>
      </c>
      <c r="H23" s="317">
        <f t="shared" si="2"/>
        <v>6473790.3966999985</v>
      </c>
      <c r="I23" s="289">
        <f>SUBTOTAL(9,I17:I22)</f>
        <v>6438596.4400000013</v>
      </c>
      <c r="J23" s="289">
        <f t="shared" ref="J23:S23" si="3">SUBTOTAL(9,J17:J22)</f>
        <v>7284932.6300000036</v>
      </c>
      <c r="K23" s="289">
        <f t="shared" si="3"/>
        <v>6340730.1333333347</v>
      </c>
      <c r="L23" s="289">
        <f t="shared" si="3"/>
        <v>7663669.5500000017</v>
      </c>
      <c r="M23" s="289">
        <f t="shared" si="3"/>
        <v>7055980.5583333336</v>
      </c>
      <c r="N23" s="289">
        <f t="shared" si="3"/>
        <v>8395273.9900000002</v>
      </c>
      <c r="O23" s="289">
        <f t="shared" si="3"/>
        <v>7823575.6933333324</v>
      </c>
      <c r="P23" s="289">
        <f t="shared" si="3"/>
        <v>9343720.0418298449</v>
      </c>
      <c r="Q23" s="289">
        <f t="shared" si="3"/>
        <v>10058309.0324286</v>
      </c>
      <c r="R23" s="300">
        <f t="shared" si="3"/>
        <v>1663035.0424285994</v>
      </c>
      <c r="S23" s="301">
        <f t="shared" si="3"/>
        <v>4209630.7604285991</v>
      </c>
    </row>
    <row r="24" spans="2:19" x14ac:dyDescent="0.25">
      <c r="B24" s="286"/>
      <c r="C24" s="290"/>
      <c r="D24" s="290"/>
      <c r="E24" s="290"/>
      <c r="F24" s="290"/>
      <c r="G24" s="290"/>
      <c r="H24" s="318"/>
      <c r="I24" s="290"/>
      <c r="J24" s="290"/>
      <c r="K24" s="290"/>
      <c r="L24" s="290"/>
      <c r="M24" s="290"/>
      <c r="N24" s="290"/>
      <c r="O24" s="290"/>
      <c r="P24" s="290"/>
      <c r="Q24" s="290"/>
      <c r="R24" s="300"/>
      <c r="S24" s="301"/>
    </row>
    <row r="25" spans="2:19" x14ac:dyDescent="0.25">
      <c r="B25" s="283" t="s">
        <v>187</v>
      </c>
      <c r="C25" s="290"/>
      <c r="D25" s="290"/>
      <c r="E25" s="290"/>
      <c r="F25" s="290"/>
      <c r="G25" s="290"/>
      <c r="H25" s="318"/>
      <c r="I25" s="290"/>
      <c r="J25" s="290"/>
      <c r="K25" s="290"/>
      <c r="L25" s="290"/>
      <c r="M25" s="290"/>
      <c r="N25" s="290"/>
      <c r="O25" s="290"/>
      <c r="P25" s="290"/>
      <c r="Q25" s="290"/>
      <c r="R25" s="300"/>
      <c r="S25" s="301"/>
    </row>
    <row r="26" spans="2:19" x14ac:dyDescent="0.25">
      <c r="B26" s="286" t="s">
        <v>187</v>
      </c>
      <c r="C26" s="287">
        <v>237844</v>
      </c>
      <c r="D26" s="287">
        <v>179029.89</v>
      </c>
      <c r="E26" s="287">
        <v>208267.41</v>
      </c>
      <c r="F26" s="287">
        <v>152854.44</v>
      </c>
      <c r="G26" s="287">
        <v>230341.35999999996</v>
      </c>
      <c r="H26" s="316">
        <v>243998.98</v>
      </c>
      <c r="I26" s="287">
        <v>278309.64999999997</v>
      </c>
      <c r="J26" s="287">
        <v>215382.56000000003</v>
      </c>
      <c r="K26" s="287">
        <v>192580.81666666671</v>
      </c>
      <c r="L26" s="287">
        <v>231096.98000000007</v>
      </c>
      <c r="M26" s="287">
        <v>176509</v>
      </c>
      <c r="N26" s="287">
        <v>209385.06</v>
      </c>
      <c r="O26" s="290">
        <v>236590.02</v>
      </c>
      <c r="P26" s="290">
        <v>221117.98813486178</v>
      </c>
      <c r="Q26" s="290">
        <v>511153.64290434401</v>
      </c>
      <c r="R26" s="300">
        <f>Q26-N26</f>
        <v>301768.58290434402</v>
      </c>
      <c r="S26" s="301">
        <f>Q26-C26</f>
        <v>273309.64290434401</v>
      </c>
    </row>
    <row r="27" spans="2:19" x14ac:dyDescent="0.25">
      <c r="B27" s="288" t="s">
        <v>56</v>
      </c>
      <c r="C27" s="289">
        <f>SUBTOTAL(9,C26:C26)</f>
        <v>237844</v>
      </c>
      <c r="D27" s="289">
        <f t="shared" ref="D27:H27" si="4">SUBTOTAL(9,D26:D26)</f>
        <v>179029.89</v>
      </c>
      <c r="E27" s="289">
        <f t="shared" si="4"/>
        <v>208267.41</v>
      </c>
      <c r="F27" s="289">
        <f t="shared" si="4"/>
        <v>152854.44</v>
      </c>
      <c r="G27" s="289">
        <f t="shared" si="4"/>
        <v>230341.35999999996</v>
      </c>
      <c r="H27" s="317">
        <f t="shared" si="4"/>
        <v>243998.98</v>
      </c>
      <c r="I27" s="289">
        <f>SUBTOTAL(9,I26:I26)</f>
        <v>278309.64999999997</v>
      </c>
      <c r="J27" s="289">
        <f t="shared" ref="J27:S27" si="5">SUBTOTAL(9,J26:J26)</f>
        <v>215382.56000000003</v>
      </c>
      <c r="K27" s="289">
        <f t="shared" si="5"/>
        <v>192580.81666666671</v>
      </c>
      <c r="L27" s="289">
        <f t="shared" si="5"/>
        <v>231096.98000000007</v>
      </c>
      <c r="M27" s="289">
        <f t="shared" si="5"/>
        <v>176509</v>
      </c>
      <c r="N27" s="289">
        <f t="shared" si="5"/>
        <v>209385.06</v>
      </c>
      <c r="O27" s="289">
        <f t="shared" si="5"/>
        <v>236590.02</v>
      </c>
      <c r="P27" s="289">
        <f t="shared" si="5"/>
        <v>221117.98813486178</v>
      </c>
      <c r="Q27" s="289">
        <f t="shared" si="5"/>
        <v>511153.64290434401</v>
      </c>
      <c r="R27" s="300">
        <f t="shared" si="5"/>
        <v>301768.58290434402</v>
      </c>
      <c r="S27" s="301">
        <f t="shared" si="5"/>
        <v>273309.64290434401</v>
      </c>
    </row>
    <row r="28" spans="2:19" x14ac:dyDescent="0.25">
      <c r="B28" s="286"/>
      <c r="C28" s="287"/>
      <c r="D28" s="287"/>
      <c r="E28" s="287"/>
      <c r="F28" s="287"/>
      <c r="G28" s="287"/>
      <c r="H28" s="316"/>
      <c r="I28" s="287"/>
      <c r="J28" s="287"/>
      <c r="K28" s="287"/>
      <c r="L28" s="287"/>
      <c r="M28" s="287"/>
      <c r="N28" s="287"/>
      <c r="O28" s="287"/>
      <c r="P28" s="287"/>
      <c r="Q28" s="287"/>
      <c r="R28" s="300"/>
      <c r="S28" s="301"/>
    </row>
    <row r="29" spans="2:19" x14ac:dyDescent="0.25">
      <c r="B29" s="283" t="s">
        <v>251</v>
      </c>
      <c r="C29" s="287"/>
      <c r="D29" s="287"/>
      <c r="E29" s="287"/>
      <c r="F29" s="287"/>
      <c r="G29" s="287"/>
      <c r="H29" s="316"/>
      <c r="I29" s="287"/>
      <c r="J29" s="287"/>
      <c r="K29" s="287"/>
      <c r="L29" s="287"/>
      <c r="M29" s="287"/>
      <c r="N29" s="287"/>
      <c r="O29" s="287"/>
      <c r="P29" s="287"/>
      <c r="Q29" s="287"/>
      <c r="R29" s="300"/>
      <c r="S29" s="301"/>
    </row>
    <row r="30" spans="2:19" x14ac:dyDescent="0.25">
      <c r="B30" s="286" t="s">
        <v>252</v>
      </c>
      <c r="C30" s="287">
        <v>361835.08</v>
      </c>
      <c r="D30" s="287">
        <v>395101.01</v>
      </c>
      <c r="E30" s="287">
        <v>363817.83999999997</v>
      </c>
      <c r="F30" s="287">
        <v>525768.36</v>
      </c>
      <c r="G30" s="287">
        <v>376740.42000000004</v>
      </c>
      <c r="H30" s="316">
        <v>534791.69999999995</v>
      </c>
      <c r="I30" s="287">
        <v>492311.68999999994</v>
      </c>
      <c r="J30" s="287">
        <v>392749.37</v>
      </c>
      <c r="K30" s="287">
        <v>317144</v>
      </c>
      <c r="L30" s="287">
        <v>323506.90000000002</v>
      </c>
      <c r="M30" s="287">
        <v>319155</v>
      </c>
      <c r="N30" s="287">
        <v>347645.32</v>
      </c>
      <c r="O30" s="302">
        <v>467933.58</v>
      </c>
      <c r="P30" s="302">
        <v>436400</v>
      </c>
      <c r="Q30" s="302">
        <v>639387</v>
      </c>
      <c r="R30" s="300">
        <f>Q30-N30</f>
        <v>291741.68</v>
      </c>
      <c r="S30" s="301">
        <f>Q30-C30</f>
        <v>277551.92</v>
      </c>
    </row>
    <row r="31" spans="2:19" x14ac:dyDescent="0.25">
      <c r="B31" s="286" t="s">
        <v>253</v>
      </c>
      <c r="C31" s="287">
        <v>2573629.1140000001</v>
      </c>
      <c r="D31" s="287">
        <v>2454835.0249744188</v>
      </c>
      <c r="E31" s="287">
        <v>2310234.0770203755</v>
      </c>
      <c r="F31" s="287">
        <v>2324635.5</v>
      </c>
      <c r="G31" s="287">
        <v>2104091.8099999996</v>
      </c>
      <c r="H31" s="316">
        <v>2095155.6699999992</v>
      </c>
      <c r="I31" s="287">
        <v>1965605.8199999991</v>
      </c>
      <c r="J31" s="287">
        <v>2537872.8099999996</v>
      </c>
      <c r="K31" s="287">
        <v>2179377.1458333335</v>
      </c>
      <c r="L31" s="287">
        <v>2435252.5750000002</v>
      </c>
      <c r="M31" s="287">
        <v>2482205.0749999997</v>
      </c>
      <c r="N31" s="287">
        <v>2798646.09</v>
      </c>
      <c r="O31" s="287">
        <v>2350208.9036284983</v>
      </c>
      <c r="P31" s="287">
        <v>2705943.0700000008</v>
      </c>
      <c r="Q31" s="287">
        <v>3010913.7020999999</v>
      </c>
      <c r="R31" s="300">
        <f>Q31-N31</f>
        <v>212267.61210000003</v>
      </c>
      <c r="S31" s="301">
        <f>Q31-C31</f>
        <v>437284.58809999982</v>
      </c>
    </row>
    <row r="32" spans="2:19" x14ac:dyDescent="0.25">
      <c r="B32" s="286" t="s">
        <v>254</v>
      </c>
      <c r="C32" s="287">
        <v>615166.18799999997</v>
      </c>
      <c r="D32" s="287">
        <v>472713.95502558269</v>
      </c>
      <c r="E32" s="287">
        <v>643013.88797962409</v>
      </c>
      <c r="F32" s="287">
        <v>775714.09000000043</v>
      </c>
      <c r="G32" s="287">
        <v>841438.19</v>
      </c>
      <c r="H32" s="316">
        <v>798956.67000000039</v>
      </c>
      <c r="I32" s="287">
        <v>708982.73999999976</v>
      </c>
      <c r="J32" s="287">
        <v>598256.31000000029</v>
      </c>
      <c r="K32" s="287">
        <v>567897.78333333321</v>
      </c>
      <c r="L32" s="287">
        <v>681477.33999999985</v>
      </c>
      <c r="M32" s="287">
        <v>481658.69999999995</v>
      </c>
      <c r="N32" s="287">
        <v>577990.43999999994</v>
      </c>
      <c r="O32" s="290">
        <v>537189.00303817005</v>
      </c>
      <c r="P32" s="290">
        <v>668012.92000000016</v>
      </c>
      <c r="Q32" s="290">
        <v>723748.32760000008</v>
      </c>
      <c r="R32" s="300">
        <f>Q32-N32</f>
        <v>145757.88760000013</v>
      </c>
      <c r="S32" s="301">
        <f>Q32-C32</f>
        <v>108582.13960000011</v>
      </c>
    </row>
    <row r="33" spans="2:19" x14ac:dyDescent="0.25">
      <c r="B33" s="288" t="s">
        <v>56</v>
      </c>
      <c r="C33" s="289">
        <f>SUBTOTAL(9,C30:C32)</f>
        <v>3550630.3820000002</v>
      </c>
      <c r="D33" s="289">
        <f t="shared" ref="D33:H33" si="6">SUBTOTAL(9,D30:D32)</f>
        <v>3322649.9900000012</v>
      </c>
      <c r="E33" s="289">
        <f t="shared" si="6"/>
        <v>3317065.8049999997</v>
      </c>
      <c r="F33" s="289">
        <f t="shared" si="6"/>
        <v>3626117.95</v>
      </c>
      <c r="G33" s="289">
        <f t="shared" si="6"/>
        <v>3322270.4199999995</v>
      </c>
      <c r="H33" s="317">
        <f t="shared" si="6"/>
        <v>3428904.0399999996</v>
      </c>
      <c r="I33" s="289">
        <f>SUBTOTAL(9,I30:I32)</f>
        <v>3166900.2499999986</v>
      </c>
      <c r="J33" s="289">
        <f t="shared" ref="J33:S33" si="7">SUBTOTAL(9,J30:J32)</f>
        <v>3528878.49</v>
      </c>
      <c r="K33" s="289">
        <f t="shared" si="7"/>
        <v>3064418.9291666667</v>
      </c>
      <c r="L33" s="289">
        <f t="shared" si="7"/>
        <v>3440236.8149999999</v>
      </c>
      <c r="M33" s="289">
        <f t="shared" si="7"/>
        <v>3283018.7749999994</v>
      </c>
      <c r="N33" s="289">
        <f t="shared" si="7"/>
        <v>3724281.8499999996</v>
      </c>
      <c r="O33" s="289">
        <f t="shared" si="7"/>
        <v>3355331.4866666682</v>
      </c>
      <c r="P33" s="289">
        <f t="shared" si="7"/>
        <v>3810355.9900000012</v>
      </c>
      <c r="Q33" s="289">
        <f t="shared" si="7"/>
        <v>4374049.0296999998</v>
      </c>
      <c r="R33" s="303">
        <f t="shared" si="7"/>
        <v>649767.17970000021</v>
      </c>
      <c r="S33" s="301">
        <f t="shared" si="7"/>
        <v>823418.64769999986</v>
      </c>
    </row>
    <row r="34" spans="2:19" x14ac:dyDescent="0.25">
      <c r="B34" s="286"/>
      <c r="C34" s="287"/>
      <c r="D34" s="287"/>
      <c r="E34" s="287"/>
      <c r="F34" s="287"/>
      <c r="G34" s="287"/>
      <c r="H34" s="316"/>
      <c r="I34" s="287"/>
      <c r="J34" s="287"/>
      <c r="K34" s="287"/>
      <c r="L34" s="287"/>
      <c r="M34" s="287"/>
      <c r="N34" s="287"/>
      <c r="O34" s="287"/>
      <c r="P34" s="287"/>
      <c r="Q34" s="287"/>
      <c r="R34" s="300">
        <f>Q34-N34</f>
        <v>0</v>
      </c>
      <c r="S34" s="301">
        <f>Q34-C34</f>
        <v>0</v>
      </c>
    </row>
    <row r="35" spans="2:19" x14ac:dyDescent="0.25">
      <c r="B35" s="283" t="s">
        <v>196</v>
      </c>
      <c r="C35" s="287"/>
      <c r="D35" s="287"/>
      <c r="E35" s="287"/>
      <c r="F35" s="287"/>
      <c r="G35" s="287"/>
      <c r="H35" s="316"/>
      <c r="I35" s="287"/>
      <c r="J35" s="287"/>
      <c r="K35" s="287"/>
      <c r="L35" s="287"/>
      <c r="M35" s="287"/>
      <c r="N35" s="287"/>
      <c r="O35" s="287"/>
      <c r="P35" s="287"/>
      <c r="Q35" s="287"/>
      <c r="R35" s="300"/>
      <c r="S35" s="301"/>
    </row>
    <row r="36" spans="2:19" x14ac:dyDescent="0.25">
      <c r="B36" s="286" t="s">
        <v>145</v>
      </c>
      <c r="C36" s="287">
        <v>120620.88</v>
      </c>
      <c r="D36" s="287">
        <v>191366</v>
      </c>
      <c r="E36" s="287">
        <v>232573</v>
      </c>
      <c r="F36" s="287">
        <v>359410</v>
      </c>
      <c r="G36" s="287">
        <v>442340</v>
      </c>
      <c r="H36" s="316">
        <v>431290</v>
      </c>
      <c r="I36" s="287">
        <v>484334</v>
      </c>
      <c r="J36" s="287">
        <v>504847</v>
      </c>
      <c r="K36" s="287">
        <v>524838</v>
      </c>
      <c r="L36" s="287">
        <v>615840</v>
      </c>
      <c r="M36" s="287">
        <v>519986</v>
      </c>
      <c r="N36" s="287">
        <v>613256</v>
      </c>
      <c r="O36" s="302">
        <v>453630</v>
      </c>
      <c r="P36" s="302">
        <v>601873</v>
      </c>
      <c r="Q36" s="302">
        <v>619929.19000000006</v>
      </c>
      <c r="R36" s="300">
        <f t="shared" ref="R36:R43" si="8">Q36-N36</f>
        <v>6673.1900000000605</v>
      </c>
      <c r="S36" s="301">
        <f t="shared" ref="S36:S43" si="9">Q36-C36</f>
        <v>499308.31000000006</v>
      </c>
    </row>
    <row r="37" spans="2:19" x14ac:dyDescent="0.25">
      <c r="B37" s="286" t="s">
        <v>255</v>
      </c>
      <c r="C37" s="287">
        <v>67930.960000000021</v>
      </c>
      <c r="D37" s="287">
        <v>64843.91</v>
      </c>
      <c r="E37" s="287">
        <v>11905.029999999999</v>
      </c>
      <c r="F37" s="287">
        <v>10537.689999999999</v>
      </c>
      <c r="G37" s="287">
        <v>36808.380000000005</v>
      </c>
      <c r="H37" s="316">
        <v>23555.58</v>
      </c>
      <c r="I37" s="287">
        <v>21130.79</v>
      </c>
      <c r="J37" s="287">
        <v>14954.619999999999</v>
      </c>
      <c r="K37" s="287">
        <v>14183.8</v>
      </c>
      <c r="L37" s="287">
        <v>17020.559999999998</v>
      </c>
      <c r="M37" s="287">
        <v>25480.208333333336</v>
      </c>
      <c r="N37" s="287">
        <v>30576.25</v>
      </c>
      <c r="O37" s="287">
        <v>58144.91</v>
      </c>
      <c r="P37" s="287">
        <v>32598.79445401494</v>
      </c>
      <c r="Q37" s="287">
        <v>34987.258560216687</v>
      </c>
      <c r="R37" s="300">
        <f t="shared" si="8"/>
        <v>4411.0085602166873</v>
      </c>
      <c r="S37" s="301">
        <f t="shared" si="9"/>
        <v>-32943.701439783334</v>
      </c>
    </row>
    <row r="38" spans="2:19" x14ac:dyDescent="0.25">
      <c r="B38" s="286" t="s">
        <v>256</v>
      </c>
      <c r="C38" s="287">
        <v>290840.00000000006</v>
      </c>
      <c r="D38" s="287">
        <v>267033.06</v>
      </c>
      <c r="E38" s="287">
        <v>203652.33000000002</v>
      </c>
      <c r="F38" s="287">
        <v>248572.1400000001</v>
      </c>
      <c r="G38" s="287">
        <v>223203.16999999998</v>
      </c>
      <c r="H38" s="316">
        <v>252347.48</v>
      </c>
      <c r="I38" s="287">
        <v>230715.09</v>
      </c>
      <c r="J38" s="287">
        <v>260341.24000000002</v>
      </c>
      <c r="K38" s="287">
        <v>272544</v>
      </c>
      <c r="L38" s="287">
        <v>279769.03999999998</v>
      </c>
      <c r="M38" s="287">
        <v>336006</v>
      </c>
      <c r="N38" s="287">
        <v>388893.7</v>
      </c>
      <c r="O38" s="304">
        <v>323720.52</v>
      </c>
      <c r="P38" s="304">
        <v>414618.07091325294</v>
      </c>
      <c r="Q38" s="304">
        <v>444996.50658073969</v>
      </c>
      <c r="R38" s="300">
        <f t="shared" si="8"/>
        <v>56102.806580739678</v>
      </c>
      <c r="S38" s="301">
        <f t="shared" si="9"/>
        <v>154156.50658073963</v>
      </c>
    </row>
    <row r="39" spans="2:19" x14ac:dyDescent="0.25">
      <c r="B39" s="286" t="s">
        <v>257</v>
      </c>
      <c r="C39" s="287">
        <v>155709.55999999994</v>
      </c>
      <c r="D39" s="287">
        <v>150691</v>
      </c>
      <c r="E39" s="287">
        <v>110917</v>
      </c>
      <c r="F39" s="287">
        <v>138280</v>
      </c>
      <c r="G39" s="287">
        <v>247069</v>
      </c>
      <c r="H39" s="316">
        <v>186299</v>
      </c>
      <c r="I39" s="287">
        <v>214924</v>
      </c>
      <c r="J39" s="287">
        <v>170384</v>
      </c>
      <c r="K39" s="287">
        <v>228426</v>
      </c>
      <c r="L39" s="287">
        <v>293745</v>
      </c>
      <c r="M39" s="287">
        <v>186479</v>
      </c>
      <c r="N39" s="287">
        <v>216765</v>
      </c>
      <c r="O39" s="302">
        <v>252852</v>
      </c>
      <c r="P39" s="302">
        <v>238178</v>
      </c>
      <c r="Q39" s="302">
        <v>245323.34</v>
      </c>
      <c r="R39" s="300">
        <f t="shared" si="8"/>
        <v>28558.339999999997</v>
      </c>
      <c r="S39" s="301">
        <f t="shared" si="9"/>
        <v>89613.780000000057</v>
      </c>
    </row>
    <row r="40" spans="2:19" x14ac:dyDescent="0.25">
      <c r="B40" s="286" t="s">
        <v>258</v>
      </c>
      <c r="C40" s="287">
        <v>624474.1100000001</v>
      </c>
      <c r="D40" s="287">
        <v>862078.22</v>
      </c>
      <c r="E40" s="287">
        <v>497586.73</v>
      </c>
      <c r="F40" s="287">
        <v>392374.63000000006</v>
      </c>
      <c r="G40" s="287">
        <v>435866.58000000013</v>
      </c>
      <c r="H40" s="316">
        <v>430608.5199999999</v>
      </c>
      <c r="I40" s="287">
        <v>710758.01000000047</v>
      </c>
      <c r="J40" s="287">
        <v>988354.28999999992</v>
      </c>
      <c r="K40" s="287">
        <v>869087.21666666679</v>
      </c>
      <c r="L40" s="287">
        <v>1042904.6600000001</v>
      </c>
      <c r="M40" s="287">
        <v>864971.98333333305</v>
      </c>
      <c r="N40" s="287">
        <v>1037966.3799999997</v>
      </c>
      <c r="O40" s="287">
        <v>831482.49</v>
      </c>
      <c r="P40" s="287">
        <v>1228292.5788686709</v>
      </c>
      <c r="Q40" s="287">
        <v>1361408.0144848651</v>
      </c>
      <c r="R40" s="300">
        <f t="shared" si="8"/>
        <v>323441.63448486547</v>
      </c>
      <c r="S40" s="301">
        <f t="shared" si="9"/>
        <v>736933.90448486502</v>
      </c>
    </row>
    <row r="41" spans="2:19" x14ac:dyDescent="0.25">
      <c r="B41" s="286" t="s">
        <v>259</v>
      </c>
      <c r="C41" s="287">
        <v>158738.84</v>
      </c>
      <c r="D41" s="287">
        <v>96594.999999999985</v>
      </c>
      <c r="E41" s="287">
        <v>166175.23000000001</v>
      </c>
      <c r="F41" s="287">
        <v>149859.31999999998</v>
      </c>
      <c r="G41" s="287">
        <v>76173.64</v>
      </c>
      <c r="H41" s="316">
        <v>61621.369999999988</v>
      </c>
      <c r="I41" s="287">
        <v>93330.989999999991</v>
      </c>
      <c r="J41" s="287">
        <v>173346.96</v>
      </c>
      <c r="K41" s="287">
        <v>108200.41666666666</v>
      </c>
      <c r="L41" s="287">
        <v>129840.49999999999</v>
      </c>
      <c r="M41" s="287">
        <v>99285</v>
      </c>
      <c r="N41" s="287">
        <v>138576.85999999999</v>
      </c>
      <c r="O41" s="290">
        <v>122653.83</v>
      </c>
      <c r="P41" s="290">
        <v>147743.38171694713</v>
      </c>
      <c r="Q41" s="290">
        <v>158568.31466523689</v>
      </c>
      <c r="R41" s="300">
        <f t="shared" si="8"/>
        <v>19991.454665236903</v>
      </c>
      <c r="S41" s="301">
        <f t="shared" si="9"/>
        <v>-170.52533476310782</v>
      </c>
    </row>
    <row r="42" spans="2:19" x14ac:dyDescent="0.25">
      <c r="B42" s="286" t="s">
        <v>260</v>
      </c>
      <c r="C42" s="287">
        <v>411116.61799999996</v>
      </c>
      <c r="D42" s="287">
        <v>321442.49</v>
      </c>
      <c r="E42" s="287">
        <v>278236.28000000003</v>
      </c>
      <c r="F42" s="287">
        <v>280247.74</v>
      </c>
      <c r="G42" s="287">
        <v>380282.77999999997</v>
      </c>
      <c r="H42" s="316">
        <v>237721.68</v>
      </c>
      <c r="I42" s="287">
        <v>306664.17000000004</v>
      </c>
      <c r="J42" s="287">
        <v>564602.9</v>
      </c>
      <c r="K42" s="287">
        <v>340671</v>
      </c>
      <c r="L42" s="287">
        <v>435911.36000000004</v>
      </c>
      <c r="M42" s="287">
        <v>307894</v>
      </c>
      <c r="N42" s="287">
        <v>412501.42000000004</v>
      </c>
      <c r="O42" s="290">
        <v>338139.54</v>
      </c>
      <c r="P42" s="290">
        <v>362994</v>
      </c>
      <c r="Q42" s="290">
        <v>482817.44216419396</v>
      </c>
      <c r="R42" s="300">
        <f t="shared" si="8"/>
        <v>70316.022164193913</v>
      </c>
      <c r="S42" s="301">
        <f t="shared" si="9"/>
        <v>71700.824164193997</v>
      </c>
    </row>
    <row r="43" spans="2:19" x14ac:dyDescent="0.25">
      <c r="B43" s="286" t="s">
        <v>221</v>
      </c>
      <c r="C43" s="287">
        <v>201450.1</v>
      </c>
      <c r="D43" s="287">
        <v>72036.789999999994</v>
      </c>
      <c r="E43" s="287">
        <v>20491.909999999996</v>
      </c>
      <c r="F43" s="287">
        <v>52034.879999999997</v>
      </c>
      <c r="G43" s="287">
        <v>90048.840000000011</v>
      </c>
      <c r="H43" s="316">
        <v>41476.68</v>
      </c>
      <c r="I43" s="287">
        <v>31872.009999999995</v>
      </c>
      <c r="J43" s="287">
        <v>36602.999999999993</v>
      </c>
      <c r="K43" s="287">
        <v>6520</v>
      </c>
      <c r="L43" s="287">
        <v>52241.740000000005</v>
      </c>
      <c r="M43" s="287">
        <v>1646</v>
      </c>
      <c r="N43" s="287">
        <v>76270.14</v>
      </c>
      <c r="O43" s="290">
        <v>90312.06</v>
      </c>
      <c r="P43" s="290">
        <v>81315.223967587357</v>
      </c>
      <c r="Q43" s="290">
        <v>87273.066795435196</v>
      </c>
      <c r="R43" s="300">
        <f t="shared" si="8"/>
        <v>11002.926795435196</v>
      </c>
      <c r="S43" s="301">
        <f t="shared" si="9"/>
        <v>-114177.03320456481</v>
      </c>
    </row>
    <row r="44" spans="2:19" x14ac:dyDescent="0.25">
      <c r="B44" s="288" t="s">
        <v>56</v>
      </c>
      <c r="C44" s="289">
        <f>SUBTOTAL(9,C36:C43)</f>
        <v>2030881.0680000004</v>
      </c>
      <c r="D44" s="289">
        <f t="shared" ref="D44:H44" si="10">SUBTOTAL(9,D36:D43)</f>
        <v>2026086.47</v>
      </c>
      <c r="E44" s="289">
        <f t="shared" si="10"/>
        <v>1521537.5099999998</v>
      </c>
      <c r="F44" s="289">
        <f t="shared" si="10"/>
        <v>1631316.4000000001</v>
      </c>
      <c r="G44" s="289">
        <f t="shared" si="10"/>
        <v>1931792.3900000001</v>
      </c>
      <c r="H44" s="317">
        <f t="shared" si="10"/>
        <v>1664920.3099999998</v>
      </c>
      <c r="I44" s="289">
        <f>SUBTOTAL(9,I36:I43)</f>
        <v>2093729.0600000008</v>
      </c>
      <c r="J44" s="289">
        <f t="shared" ref="J44:S44" si="11">SUBTOTAL(9,J36:J43)</f>
        <v>2713434.01</v>
      </c>
      <c r="K44" s="289">
        <f t="shared" si="11"/>
        <v>2364470.4333333336</v>
      </c>
      <c r="L44" s="289">
        <f t="shared" si="11"/>
        <v>2867272.8600000003</v>
      </c>
      <c r="M44" s="289">
        <f t="shared" si="11"/>
        <v>2341748.1916666664</v>
      </c>
      <c r="N44" s="289">
        <f t="shared" si="11"/>
        <v>2914805.7499999995</v>
      </c>
      <c r="O44" s="289">
        <f t="shared" si="11"/>
        <v>2470935.35</v>
      </c>
      <c r="P44" s="289">
        <f t="shared" si="11"/>
        <v>3107613.0499204732</v>
      </c>
      <c r="Q44" s="289">
        <f t="shared" si="11"/>
        <v>3435303.1332506877</v>
      </c>
      <c r="R44" s="303">
        <f t="shared" si="11"/>
        <v>520497.38325068791</v>
      </c>
      <c r="S44" s="301">
        <f t="shared" si="11"/>
        <v>1404422.0652506875</v>
      </c>
    </row>
    <row r="45" spans="2:19" x14ac:dyDescent="0.25">
      <c r="B45" s="286"/>
      <c r="C45" s="290"/>
      <c r="D45" s="290"/>
      <c r="E45" s="290"/>
      <c r="F45" s="290"/>
      <c r="G45" s="290"/>
      <c r="H45" s="318"/>
      <c r="I45" s="290"/>
      <c r="J45" s="290"/>
      <c r="K45" s="290"/>
      <c r="L45" s="290"/>
      <c r="M45" s="290"/>
      <c r="N45" s="290"/>
      <c r="O45" s="290"/>
      <c r="P45" s="290"/>
      <c r="Q45" s="290"/>
      <c r="R45" s="300">
        <f t="shared" ref="R45:R54" si="12">Q45-N45</f>
        <v>0</v>
      </c>
      <c r="S45" s="301">
        <f t="shared" ref="S45:S54" si="13">Q45-C45</f>
        <v>0</v>
      </c>
    </row>
    <row r="46" spans="2:19" x14ac:dyDescent="0.25">
      <c r="B46" s="283" t="s">
        <v>181</v>
      </c>
      <c r="C46" s="290"/>
      <c r="D46" s="290"/>
      <c r="E46" s="290"/>
      <c r="F46" s="290"/>
      <c r="G46" s="290"/>
      <c r="H46" s="318"/>
      <c r="I46" s="290"/>
      <c r="J46" s="290"/>
      <c r="K46" s="290"/>
      <c r="L46" s="290"/>
      <c r="M46" s="290"/>
      <c r="N46" s="290"/>
      <c r="O46" s="290"/>
      <c r="P46" s="290"/>
      <c r="Q46" s="290"/>
      <c r="R46" s="300">
        <f t="shared" si="12"/>
        <v>0</v>
      </c>
      <c r="S46" s="301">
        <f t="shared" si="13"/>
        <v>0</v>
      </c>
    </row>
    <row r="47" spans="2:19" x14ac:dyDescent="0.25">
      <c r="B47" s="286" t="s">
        <v>261</v>
      </c>
      <c r="C47" s="287">
        <v>123199.72</v>
      </c>
      <c r="D47" s="287">
        <v>99001.65</v>
      </c>
      <c r="E47" s="287">
        <v>187760.75</v>
      </c>
      <c r="F47" s="287">
        <v>343336.05999999994</v>
      </c>
      <c r="G47" s="287">
        <v>418953.2</v>
      </c>
      <c r="H47" s="316">
        <v>481577.52000000008</v>
      </c>
      <c r="I47" s="287">
        <v>501668.00999999995</v>
      </c>
      <c r="J47" s="287">
        <v>503685.35</v>
      </c>
      <c r="K47" s="287">
        <v>463440</v>
      </c>
      <c r="L47" s="287">
        <v>647290.62</v>
      </c>
      <c r="M47" s="287">
        <f>615943-265617</f>
        <v>350326</v>
      </c>
      <c r="N47" s="287">
        <v>532311.30000000005</v>
      </c>
      <c r="O47" s="287">
        <v>259819.53999999998</v>
      </c>
      <c r="P47" s="287">
        <v>557833.25814210391</v>
      </c>
      <c r="Q47" s="287">
        <v>586759.06079816364</v>
      </c>
      <c r="R47" s="300">
        <f t="shared" si="12"/>
        <v>54447.760798163596</v>
      </c>
      <c r="S47" s="301">
        <f t="shared" si="13"/>
        <v>463559.34079816367</v>
      </c>
    </row>
    <row r="48" spans="2:19" x14ac:dyDescent="0.25">
      <c r="B48" s="286" t="s">
        <v>262</v>
      </c>
      <c r="C48" s="287">
        <v>143575.56</v>
      </c>
      <c r="D48" s="287">
        <v>60733</v>
      </c>
      <c r="E48" s="287">
        <v>6770</v>
      </c>
      <c r="F48" s="287">
        <v>8384</v>
      </c>
      <c r="G48" s="287">
        <v>23655</v>
      </c>
      <c r="H48" s="316">
        <v>15992</v>
      </c>
      <c r="I48" s="287">
        <v>15648</v>
      </c>
      <c r="J48" s="287">
        <v>13953</v>
      </c>
      <c r="K48" s="287">
        <v>10086</v>
      </c>
      <c r="L48" s="287">
        <v>15310</v>
      </c>
      <c r="M48" s="287">
        <v>23508</v>
      </c>
      <c r="N48" s="287">
        <v>26012</v>
      </c>
      <c r="O48" s="304">
        <v>30893</v>
      </c>
      <c r="P48" s="304">
        <v>39468</v>
      </c>
      <c r="Q48" s="304">
        <v>40652.04</v>
      </c>
      <c r="R48" s="300">
        <f t="shared" si="12"/>
        <v>14640.04</v>
      </c>
      <c r="S48" s="301">
        <f t="shared" si="13"/>
        <v>-102923.51999999999</v>
      </c>
    </row>
    <row r="49" spans="2:19" x14ac:dyDescent="0.25">
      <c r="B49" s="286" t="s">
        <v>263</v>
      </c>
      <c r="C49" s="287">
        <v>287845.90000000002</v>
      </c>
      <c r="D49" s="287">
        <v>237449.18999999997</v>
      </c>
      <c r="E49" s="287">
        <v>63596.39</v>
      </c>
      <c r="F49" s="287">
        <v>89371.26</v>
      </c>
      <c r="G49" s="287">
        <v>97802.77</v>
      </c>
      <c r="H49" s="316">
        <v>150361.76000000004</v>
      </c>
      <c r="I49" s="287">
        <v>151557.97999999998</v>
      </c>
      <c r="J49" s="287">
        <v>125815.11000000002</v>
      </c>
      <c r="K49" s="287">
        <v>189405.06666666665</v>
      </c>
      <c r="L49" s="287">
        <v>227286.08</v>
      </c>
      <c r="M49" s="287">
        <v>190102.65833333335</v>
      </c>
      <c r="N49" s="287">
        <v>228123.19</v>
      </c>
      <c r="O49" s="290">
        <v>128992.81</v>
      </c>
      <c r="P49" s="290">
        <v>243212.98331234854</v>
      </c>
      <c r="Q49" s="290">
        <v>261032.82881685748</v>
      </c>
      <c r="R49" s="300">
        <f t="shared" si="12"/>
        <v>32909.638816857478</v>
      </c>
      <c r="S49" s="301">
        <f t="shared" si="13"/>
        <v>-26813.071183142543</v>
      </c>
    </row>
    <row r="50" spans="2:19" x14ac:dyDescent="0.25">
      <c r="B50" s="286" t="s">
        <v>264</v>
      </c>
      <c r="C50" s="287">
        <v>1263557.017</v>
      </c>
      <c r="D50" s="287">
        <v>1381157.09</v>
      </c>
      <c r="E50" s="287">
        <v>747679.62499999977</v>
      </c>
      <c r="F50" s="287">
        <v>657017.68999999994</v>
      </c>
      <c r="G50" s="287">
        <v>566822.29999999818</v>
      </c>
      <c r="H50" s="316">
        <v>665339.00000000163</v>
      </c>
      <c r="I50" s="287">
        <v>622082.09000000008</v>
      </c>
      <c r="J50" s="287">
        <v>792772.29</v>
      </c>
      <c r="K50" s="287">
        <v>753825.88749999995</v>
      </c>
      <c r="L50" s="287">
        <v>904591.06499999994</v>
      </c>
      <c r="M50" s="287">
        <v>824147.67500000005</v>
      </c>
      <c r="N50" s="287">
        <v>988977.21</v>
      </c>
      <c r="O50" s="290">
        <v>1001984.3599999999</v>
      </c>
      <c r="P50" s="290">
        <v>1053109.9199826827</v>
      </c>
      <c r="Q50" s="290">
        <v>1144860.8303590962</v>
      </c>
      <c r="R50" s="300">
        <f t="shared" si="12"/>
        <v>155883.62035909621</v>
      </c>
      <c r="S50" s="301">
        <f t="shared" si="13"/>
        <v>-118696.18664090382</v>
      </c>
    </row>
    <row r="51" spans="2:19" x14ac:dyDescent="0.25">
      <c r="B51" s="286" t="s">
        <v>265</v>
      </c>
      <c r="C51" s="287">
        <v>156499.52000000002</v>
      </c>
      <c r="D51" s="287">
        <v>126573.51000000001</v>
      </c>
      <c r="E51" s="287">
        <v>134505.07</v>
      </c>
      <c r="F51" s="287">
        <v>163292.47999999998</v>
      </c>
      <c r="G51" s="287">
        <v>148635.79999999999</v>
      </c>
      <c r="H51" s="316">
        <v>138730.5</v>
      </c>
      <c r="I51" s="287">
        <v>164283.12</v>
      </c>
      <c r="J51" s="287">
        <v>201714.52999999997</v>
      </c>
      <c r="K51" s="287">
        <v>123143.00833333329</v>
      </c>
      <c r="L51" s="287">
        <v>147771.60999999996</v>
      </c>
      <c r="M51" s="287">
        <v>129156.10833333334</v>
      </c>
      <c r="N51" s="287">
        <v>154987.33000000002</v>
      </c>
      <c r="O51" s="290">
        <v>246618.26</v>
      </c>
      <c r="P51" s="290">
        <v>165239.36433168175</v>
      </c>
      <c r="Q51" s="290">
        <v>177346.20132513402</v>
      </c>
      <c r="R51" s="300">
        <f t="shared" si="12"/>
        <v>22358.871325134009</v>
      </c>
      <c r="S51" s="301">
        <f t="shared" si="13"/>
        <v>20846.681325134006</v>
      </c>
    </row>
    <row r="52" spans="2:19" x14ac:dyDescent="0.25">
      <c r="B52" s="286" t="s">
        <v>266</v>
      </c>
      <c r="C52" s="287">
        <v>55075.399999999994</v>
      </c>
      <c r="D52" s="287">
        <v>122179.97000000002</v>
      </c>
      <c r="E52" s="287">
        <v>145668.91000000003</v>
      </c>
      <c r="F52" s="287">
        <v>170280.61</v>
      </c>
      <c r="G52" s="287">
        <v>238694.74999999997</v>
      </c>
      <c r="H52" s="316">
        <v>198064.58000000002</v>
      </c>
      <c r="I52" s="287">
        <v>187628.05</v>
      </c>
      <c r="J52" s="287">
        <v>165217.76999999999</v>
      </c>
      <c r="K52" s="287">
        <v>189266.63333333333</v>
      </c>
      <c r="L52" s="287">
        <v>227119.96</v>
      </c>
      <c r="M52" s="287">
        <v>190007.03333333335</v>
      </c>
      <c r="N52" s="287">
        <v>228008.44</v>
      </c>
      <c r="O52" s="287">
        <v>260055.96</v>
      </c>
      <c r="P52" s="287">
        <v>243090.64287937857</v>
      </c>
      <c r="Q52" s="287">
        <v>260901.52468637106</v>
      </c>
      <c r="R52" s="300">
        <f t="shared" si="12"/>
        <v>32893.084686371061</v>
      </c>
      <c r="S52" s="301">
        <f t="shared" si="13"/>
        <v>205826.12468637107</v>
      </c>
    </row>
    <row r="53" spans="2:19" x14ac:dyDescent="0.25">
      <c r="B53" s="286" t="s">
        <v>267</v>
      </c>
      <c r="C53" s="287">
        <v>2705.95</v>
      </c>
      <c r="D53" s="287">
        <v>7068.67</v>
      </c>
      <c r="E53" s="287">
        <v>7748.2000000000007</v>
      </c>
      <c r="F53" s="287">
        <v>355.63</v>
      </c>
      <c r="G53" s="287">
        <v>7000.6699999999992</v>
      </c>
      <c r="H53" s="316">
        <v>5138.5800000000008</v>
      </c>
      <c r="I53" s="287">
        <v>25357.130000000005</v>
      </c>
      <c r="J53" s="287">
        <v>9610.1</v>
      </c>
      <c r="K53" s="287">
        <v>6956.6583333333347</v>
      </c>
      <c r="L53" s="287">
        <v>8347.9900000000016</v>
      </c>
      <c r="M53" s="287">
        <v>19724.283333333333</v>
      </c>
      <c r="N53" s="287">
        <v>23669.14</v>
      </c>
      <c r="O53" s="290">
        <v>45.19</v>
      </c>
      <c r="P53" s="290">
        <v>25234.795953176181</v>
      </c>
      <c r="Q53" s="290">
        <v>27083.711085498293</v>
      </c>
      <c r="R53" s="300">
        <f t="shared" si="12"/>
        <v>3414.5710854982935</v>
      </c>
      <c r="S53" s="301">
        <f t="shared" si="13"/>
        <v>24377.761085498292</v>
      </c>
    </row>
    <row r="54" spans="2:19" x14ac:dyDescent="0.25">
      <c r="B54" s="286" t="s">
        <v>268</v>
      </c>
      <c r="C54" s="287">
        <v>262366.47100000002</v>
      </c>
      <c r="D54" s="287">
        <v>270281.36999999994</v>
      </c>
      <c r="E54" s="287">
        <v>286473.33999999997</v>
      </c>
      <c r="F54" s="287">
        <v>218939.11000000002</v>
      </c>
      <c r="G54" s="287">
        <v>185556.69999999998</v>
      </c>
      <c r="H54" s="316">
        <v>141402.06</v>
      </c>
      <c r="I54" s="287">
        <v>172039.95</v>
      </c>
      <c r="J54" s="287">
        <v>137157.93</v>
      </c>
      <c r="K54" s="287">
        <v>76781.125000000015</v>
      </c>
      <c r="L54" s="287">
        <v>92137.35000000002</v>
      </c>
      <c r="M54" s="287">
        <v>182369.97500000001</v>
      </c>
      <c r="N54" s="287">
        <v>218843.97</v>
      </c>
      <c r="O54" s="290">
        <v>118398.84999999998</v>
      </c>
      <c r="P54" s="290">
        <v>233319.96551344954</v>
      </c>
      <c r="Q54" s="290">
        <v>250414.9646452493</v>
      </c>
      <c r="R54" s="300">
        <f t="shared" si="12"/>
        <v>31570.994645249302</v>
      </c>
      <c r="S54" s="301">
        <f t="shared" si="13"/>
        <v>-11951.506354750716</v>
      </c>
    </row>
    <row r="55" spans="2:19" x14ac:dyDescent="0.25">
      <c r="B55" s="288" t="s">
        <v>56</v>
      </c>
      <c r="C55" s="289">
        <f>SUBTOTAL(9,C47:C54)</f>
        <v>2294825.5380000002</v>
      </c>
      <c r="D55" s="289">
        <f t="shared" ref="D55:H55" si="14">SUBTOTAL(9,D47:D54)</f>
        <v>2304444.4500000002</v>
      </c>
      <c r="E55" s="289">
        <f t="shared" si="14"/>
        <v>1580202.2849999997</v>
      </c>
      <c r="F55" s="289">
        <f t="shared" si="14"/>
        <v>1650976.8399999996</v>
      </c>
      <c r="G55" s="289">
        <f t="shared" si="14"/>
        <v>1687121.1899999981</v>
      </c>
      <c r="H55" s="317">
        <f t="shared" si="14"/>
        <v>1796606.0000000019</v>
      </c>
      <c r="I55" s="289">
        <f>SUBTOTAL(9,I47:I54)</f>
        <v>1840264.3300000003</v>
      </c>
      <c r="J55" s="289">
        <f t="shared" ref="J55:S55" si="15">SUBTOTAL(9,J47:J54)</f>
        <v>1949926.08</v>
      </c>
      <c r="K55" s="289">
        <f t="shared" si="15"/>
        <v>1812904.3791666667</v>
      </c>
      <c r="L55" s="289">
        <f t="shared" si="15"/>
        <v>2269854.6750000003</v>
      </c>
      <c r="M55" s="289">
        <f t="shared" si="15"/>
        <v>1909341.7333333339</v>
      </c>
      <c r="N55" s="289">
        <f t="shared" si="15"/>
        <v>2400932.5800000005</v>
      </c>
      <c r="O55" s="289">
        <f t="shared" ref="O55" si="16">SUBTOTAL(9,O47:O54)</f>
        <v>2046807.9699999997</v>
      </c>
      <c r="P55" s="289">
        <f t="shared" si="15"/>
        <v>2560508.9301148211</v>
      </c>
      <c r="Q55" s="289">
        <f t="shared" si="15"/>
        <v>2749051.1617163699</v>
      </c>
      <c r="R55" s="303">
        <f t="shared" si="15"/>
        <v>348118.58171636995</v>
      </c>
      <c r="S55" s="301">
        <f t="shared" si="15"/>
        <v>454225.62371636997</v>
      </c>
    </row>
    <row r="56" spans="2:19" ht="15.75" thickBot="1" x14ac:dyDescent="0.3">
      <c r="B56" s="286"/>
      <c r="C56" s="290"/>
      <c r="D56" s="290"/>
      <c r="E56" s="290"/>
      <c r="F56" s="290"/>
      <c r="G56" s="290"/>
      <c r="H56" s="318"/>
      <c r="I56" s="290"/>
      <c r="J56" s="290"/>
      <c r="K56" s="290"/>
      <c r="L56" s="290"/>
      <c r="M56" s="290"/>
      <c r="N56" s="290"/>
      <c r="O56" s="290"/>
      <c r="P56" s="290"/>
      <c r="Q56" s="290"/>
      <c r="R56" s="300">
        <f>Q56-N56</f>
        <v>0</v>
      </c>
      <c r="S56" s="305">
        <f>Q56-C56</f>
        <v>0</v>
      </c>
    </row>
    <row r="57" spans="2:19" ht="16.5" thickTop="1" thickBot="1" x14ac:dyDescent="0.3">
      <c r="B57" s="291" t="s">
        <v>63</v>
      </c>
      <c r="C57" s="292">
        <f>SUBTOTAL(9,C15:C56)</f>
        <v>13962859.260000004</v>
      </c>
      <c r="D57" s="292">
        <f>SUBTOTAL(9,D17:D56)</f>
        <v>14612471.960000003</v>
      </c>
      <c r="E57" s="292">
        <f t="shared" ref="E57:H57" si="17">SUBTOTAL(9,E15:E56)</f>
        <v>13392623.480000002</v>
      </c>
      <c r="F57" s="292">
        <f t="shared" si="17"/>
        <v>13966804.760000002</v>
      </c>
      <c r="G57" s="292">
        <f t="shared" si="17"/>
        <v>13575036.079999996</v>
      </c>
      <c r="H57" s="319">
        <f t="shared" si="17"/>
        <v>13608219.726699999</v>
      </c>
      <c r="I57" s="292">
        <f>SUBTOTAL(9,I15:I56)</f>
        <v>13817799.729999999</v>
      </c>
      <c r="J57" s="292">
        <f t="shared" ref="J57:S57" si="18">SUBTOTAL(9,J15:J56)</f>
        <v>15692553.77</v>
      </c>
      <c r="K57" s="292">
        <f t="shared" si="18"/>
        <v>13775104.691666666</v>
      </c>
      <c r="L57" s="292">
        <f t="shared" si="18"/>
        <v>16472130.880000001</v>
      </c>
      <c r="M57" s="292">
        <f t="shared" si="18"/>
        <v>14766598.258333331</v>
      </c>
      <c r="N57" s="292">
        <f t="shared" si="18"/>
        <v>17644679.229999997</v>
      </c>
      <c r="O57" s="292">
        <f t="shared" ref="O57" si="19">SUBTOTAL(9,O15:O56)</f>
        <v>15933240.519999998</v>
      </c>
      <c r="P57" s="292">
        <f t="shared" si="18"/>
        <v>19043316.000000004</v>
      </c>
      <c r="Q57" s="292">
        <f t="shared" si="18"/>
        <v>21127865.999999996</v>
      </c>
      <c r="R57" s="292">
        <f t="shared" si="18"/>
        <v>3483186.7700000005</v>
      </c>
      <c r="S57" s="293">
        <f t="shared" si="18"/>
        <v>7165006.7400000012</v>
      </c>
    </row>
    <row r="58" spans="2:19" x14ac:dyDescent="0.25">
      <c r="C58" s="294">
        <f>'App.2-JB'!C16-C57</f>
        <v>-0.26000000350177288</v>
      </c>
      <c r="D58" s="294">
        <f>'App.2-JB'!D16-D57</f>
        <v>0</v>
      </c>
      <c r="E58" s="294">
        <f>'App.2-JB'!E16-E57</f>
        <v>0</v>
      </c>
      <c r="F58" s="294">
        <f>'App.2-JB'!F16-F57</f>
        <v>0</v>
      </c>
      <c r="G58" s="294">
        <f>'App.2-JB'!G16-G57</f>
        <v>0</v>
      </c>
      <c r="H58" s="294">
        <f>'App.2-JB'!H16-H57</f>
        <v>0</v>
      </c>
      <c r="R58" s="294">
        <f>R57-(Q57-N57)</f>
        <v>0</v>
      </c>
      <c r="S58" s="294">
        <f>S57-(Q57-C57)</f>
        <v>8.3819031715393066E-9</v>
      </c>
    </row>
  </sheetData>
  <mergeCells count="4">
    <mergeCell ref="C4:D4"/>
    <mergeCell ref="B9:R9"/>
    <mergeCell ref="B10:R10"/>
    <mergeCell ref="B12:R12"/>
  </mergeCells>
  <conditionalFormatting sqref="R17:S22 R26:S26 R30:S32 R36:S43 R47:S54">
    <cfRule type="cellIs" dxfId="0" priority="2" operator="notBetween">
      <formula>-195000</formula>
      <formula>195000</formula>
    </cfRule>
  </conditionalFormatting>
  <dataValidations count="1">
    <dataValidation type="list" allowBlank="1" showInputMessage="1" showErrorMessage="1" sqref="R14:S14 C14:Q15" xr:uid="{B9F6DC47-8F84-4CBC-940D-758E9B453DC3}">
      <formula1>"CGAAP, MIFRS, USGAAP, ASPE"</formula1>
    </dataValidation>
  </dataValidations>
  <pageMargins left="0.25" right="0.25" top="0.75" bottom="0.75" header="0.3" footer="0.3"/>
  <pageSetup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FD1B8F994FD74EB04191FA7022E3AA" ma:contentTypeVersion="3" ma:contentTypeDescription="Create a new document." ma:contentTypeScope="" ma:versionID="36e57a022602849020cd575beb1405fd">
  <xsd:schema xmlns:xsd="http://www.w3.org/2001/XMLSchema" xmlns:xs="http://www.w3.org/2001/XMLSchema" xmlns:p="http://schemas.microsoft.com/office/2006/metadata/properties" xmlns:ns2="dc8d3a7c-639d-4f3f-b61a-ade618713626" targetNamespace="http://schemas.microsoft.com/office/2006/metadata/properties" ma:root="true" ma:fieldsID="9529516d4e430cc41d78feff31c8bd93" ns2:_="">
    <xsd:import namespace="dc8d3a7c-639d-4f3f-b61a-ade61871362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8d3a7c-639d-4f3f-b61a-ade618713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45D5D0-B04B-4C39-A39C-6167522E0815}">
  <ds:schemaRefs>
    <ds:schemaRef ds:uri="http://www.w3.org/XML/1998/namespace"/>
    <ds:schemaRef ds:uri="http://schemas.microsoft.com/office/2006/documentManagement/types"/>
    <ds:schemaRef ds:uri="http://schemas.openxmlformats.org/package/2006/metadata/core-properties"/>
    <ds:schemaRef ds:uri="http://purl.org/dc/dcmitype/"/>
    <ds:schemaRef ds:uri="dc8d3a7c-639d-4f3f-b61a-ade618713626"/>
    <ds:schemaRef ds:uri="http://purl.org/dc/terms/"/>
    <ds:schemaRef ds:uri="http://schemas.microsoft.com/office/2006/metadata/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6DF4DFD8-837F-4EE6-9A14-E3D4242D7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8d3a7c-639d-4f3f-b61a-ade618713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1A9A21-63E0-4716-81B9-81104FB7CB35}">
  <ds:schemaRefs>
    <ds:schemaRef ds:uri="http://schemas.microsoft.com/sharepoint/v3/contenttype/forms"/>
  </ds:schemaRefs>
</ds:datastoreItem>
</file>

<file path=docMetadata/LabelInfo.xml><?xml version="1.0" encoding="utf-8"?>
<clbl:labelList xmlns:clbl="http://schemas.microsoft.com/office/2020/mipLabelMetadata">
  <clbl:label id="{2f86f0e4-a396-404b-9fd9-41c4cf25f9c0}" enabled="1" method="Standard" siteId="{198a3c7d-74ec-4699-ac61-64893df4bed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App.2-BA</vt:lpstr>
      <vt:lpstr>App.2-K</vt:lpstr>
      <vt:lpstr>App.2-AA</vt:lpstr>
      <vt:lpstr>App.2-AB</vt:lpstr>
      <vt:lpstr>App.2-JA</vt:lpstr>
      <vt:lpstr>App.2-JB</vt:lpstr>
      <vt:lpstr>App.2-JC</vt:lpstr>
      <vt:lpstr>'App.2-JA'!Print_Area</vt:lpstr>
      <vt:lpstr>'App.2-JB'!Print_Area</vt:lpstr>
      <vt:lpstr>'App.2-JC'!Print_Area</vt:lpstr>
      <vt:lpstr>'App.2-JB'!Print_Titles</vt:lpstr>
    </vt:vector>
  </TitlesOfParts>
  <Company>Entegrus Powerlines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Forgeron</dc:creator>
  <cp:lastModifiedBy>Chris Towne</cp:lastModifiedBy>
  <dcterms:created xsi:type="dcterms:W3CDTF">2025-11-14T21:39:07Z</dcterms:created>
  <dcterms:modified xsi:type="dcterms:W3CDTF">2025-11-26T15:13:46Z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y fmtid="{D5CDD505-2E9C-101B-9397-08002B2CF9AE}" pid="3" name="ContentTypeId">
    <vt:lpwstr>0x01010076FD1B8F994FD74EB04191FA7022E3AA</vt:lpwstr>
  </property>
</Properties>
</file>