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BoardSec\12. Jessy Serrao\Cases\2025\EB-2025-0020\"/>
    </mc:Choice>
  </mc:AlternateContent>
  <xr:revisionPtr revIDLastSave="0" documentId="8_{DCE020A3-4695-4906-9EA6-5564F70DBDC5}" xr6:coauthVersionLast="47" xr6:coauthVersionMax="47" xr10:uidLastSave="{00000000-0000-0000-0000-000000000000}"/>
  <bookViews>
    <workbookView xWindow="-120" yWindow="-120" windowWidth="29040" windowHeight="16080" xr2:uid="{00000000-000D-0000-FFFF-FFFF00000000}"/>
  </bookViews>
  <sheets>
    <sheet name="Sheet1" sheetId="1" r:id="rId1"/>
  </sheets>
  <definedNames>
    <definedName name="MidPeak">#REF!</definedName>
    <definedName name="MidPeakPer">#REF!</definedName>
    <definedName name="OER">#REF!</definedName>
    <definedName name="OffPeak">#REF!</definedName>
    <definedName name="OffPeakPer">#REF!</definedName>
    <definedName name="OnPeak">#REF!</definedName>
    <definedName name="OnPeakPer">#REF!</definedName>
    <definedName name="S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4" i="1"/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E27" i="1"/>
  <c r="H26" i="1"/>
  <c r="E26" i="1"/>
  <c r="H24" i="1"/>
  <c r="E24" i="1"/>
  <c r="H23" i="1"/>
  <c r="E23" i="1"/>
  <c r="H22" i="1"/>
  <c r="C22" i="1"/>
  <c r="E22" i="1" s="1"/>
  <c r="H21" i="1"/>
  <c r="D21" i="1"/>
  <c r="E21" i="1" s="1"/>
  <c r="H19" i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G36" i="1"/>
  <c r="H41" i="1"/>
  <c r="I11" i="1" l="1"/>
  <c r="J11" i="1" s="1"/>
  <c r="H36" i="1"/>
  <c r="I19" i="1"/>
  <c r="J19" i="1" s="1"/>
  <c r="I23" i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E17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6" i="1" l="1"/>
  <c r="J36" i="1" s="1"/>
  <c r="I33" i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<sst xmlns="http://schemas.openxmlformats.org/spreadsheetml/2006/main" count="64" uniqueCount="52">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</sst>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Alignment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Font="1" applyFill="1" applyBorder="1" applyAlignment="1" applyProtection="1">
      <alignment horizontal="left"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Font="1" applyFill="1" applyBorder="1" applyAlignment="1" applyProtection="1">
      <alignment horizontal="left"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1" fillId="0" borderId="9" xfId="1" applyNumberForma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9" fillId="3" borderId="1" xfId="4" applyNumberFormat="1" applyFont="1" applyFill="1" applyBorder="1" applyAlignment="1" applyProtection="1">
      <alignment horizontal="left"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vertical="top" wrapText="1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167" fontId="2" fillId="5" borderId="9" xfId="4" applyNumberFormat="1" applyFont="1" applyFill="1" applyBorder="1" applyAlignment="1" applyProtection="1">
      <alignment horizontal="left" vertical="center"/>
      <protection locked="0"/>
    </xf>
    <xf numFmtId="167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7" fontId="1" fillId="6" borderId="14" xfId="4" applyNumberFormat="1" applyFont="1" applyFill="1" applyBorder="1" applyAlignment="1" applyProtection="1">
      <alignment vertical="top"/>
      <protection locked="0"/>
    </xf>
    <xf numFmtId="44" fontId="1" fillId="6" borderId="13" xfId="4" applyFont="1" applyFill="1" applyBorder="1" applyAlignment="1" applyProtection="1">
      <alignment vertical="center"/>
      <protection locked="0"/>
    </xf>
    <xf numFmtId="44" fontId="1" fillId="6" borderId="14" xfId="1" applyNumberForma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top"/>
      <protection locked="0"/>
    </xf>
    <xf numFmtId="9" fontId="1" fillId="0" borderId="9" xfId="1" applyNumberFormat="1" applyBorder="1" applyAlignment="1" applyProtection="1">
      <alignment vertical="top"/>
      <protection locked="0"/>
    </xf>
    <xf numFmtId="44" fontId="2" fillId="0" borderId="17" xfId="1" applyNumberFormat="1" applyFont="1" applyBorder="1" applyAlignment="1" applyProtection="1">
      <alignment vertical="center"/>
      <protection locked="0"/>
    </xf>
    <xf numFmtId="9" fontId="2" fillId="0" borderId="9" xfId="1" applyNumberFormat="1" applyFont="1" applyBorder="1" applyAlignment="1" applyProtection="1">
      <alignment vertical="center"/>
      <protection locked="0"/>
    </xf>
    <xf numFmtId="44" fontId="2" fillId="0" borderId="9" xfId="1" applyNumberFormat="1" applyFont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44" fontId="1" fillId="0" borderId="17" xfId="1" applyNumberFormat="1" applyBorder="1" applyAlignment="1" applyProtection="1">
      <alignment vertical="center"/>
      <protection locked="0"/>
    </xf>
    <xf numFmtId="9" fontId="1" fillId="0" borderId="9" xfId="1" applyNumberFormat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8" fontId="1" fillId="0" borderId="9" xfId="1" applyNumberFormat="1" applyBorder="1" applyAlignment="1" applyProtection="1">
      <alignment vertical="top"/>
      <protection locked="0"/>
    </xf>
    <xf numFmtId="0" fontId="1" fillId="7" borderId="2" xfId="1" applyFill="1" applyBorder="1" applyAlignment="1" applyProtection="1">
      <alignment vertical="top"/>
      <protection locked="0"/>
    </xf>
    <xf numFmtId="4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44" fontId="2" fillId="7" borderId="18" xfId="1" applyNumberFormat="1" applyFont="1" applyFill="1" applyBorder="1" applyAlignment="1" applyProtection="1">
      <alignment vertical="center"/>
      <protection locked="0"/>
    </xf>
    <xf numFmtId="4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ont="1" applyFill="1" applyBorder="1" applyAlignment="1" applyProtection="1">
      <alignment vertical="top"/>
      <protection locked="0"/>
    </xf>
    <xf numFmtId="44" fontId="1" fillId="6" borderId="19" xfId="4" applyFont="1" applyFill="1" applyBorder="1" applyAlignment="1" applyProtection="1">
      <alignment vertical="center"/>
      <protection locked="0"/>
    </xf>
    <xf numFmtId="44" fontId="1" fillId="6" borderId="15" xfId="1" applyNumberFormat="1" applyFill="1" applyBorder="1" applyAlignment="1" applyProtection="1">
      <alignment vertical="center"/>
      <protection locked="0"/>
    </xf>
    <xf numFmtId="167" fontId="1" fillId="6" borderId="15" xfId="4" applyNumberFormat="1" applyFill="1" applyBorder="1" applyAlignment="1" applyProtection="1">
      <alignment vertical="top"/>
      <protection locked="0"/>
    </xf>
    <xf numFmtId="44" fontId="1" fillId="6" borderId="19" xfId="4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69" fontId="1" fillId="0" borderId="0" xfId="5" applyNumberFormat="1" applyFont="1" applyProtection="1">
      <protection locked="0"/>
    </xf>
    <xf numFmtId="169" fontId="2" fillId="0" borderId="0" xfId="5" applyNumberFormat="1" applyFont="1" applyAlignment="1" applyProtection="1">
      <alignment horizontal="center"/>
      <protection locked="0"/>
    </xf>
    <xf numFmtId="169" fontId="2" fillId="0" borderId="6" xfId="5" applyNumberFormat="1" applyFont="1" applyBorder="1" applyAlignment="1" applyProtection="1">
      <alignment horizontal="center"/>
      <protection locked="0"/>
    </xf>
    <xf numFmtId="169" fontId="2" fillId="0" borderId="2" xfId="5" quotePrefix="1" applyNumberFormat="1" applyFont="1" applyBorder="1" applyAlignment="1" applyProtection="1">
      <alignment horizontal="center"/>
      <protection locked="0"/>
    </xf>
    <xf numFmtId="169" fontId="1" fillId="0" borderId="9" xfId="5" applyNumberFormat="1" applyFont="1" applyFill="1" applyBorder="1" applyAlignment="1" applyProtection="1">
      <alignment vertical="center"/>
      <protection locked="0"/>
    </xf>
    <xf numFmtId="169" fontId="2" fillId="3" borderId="1" xfId="5" applyNumberFormat="1" applyFont="1" applyFill="1" applyBorder="1" applyAlignment="1" applyProtection="1">
      <alignment vertical="center"/>
      <protection locked="0"/>
    </xf>
    <xf numFmtId="169" fontId="1" fillId="3" borderId="1" xfId="5" applyNumberFormat="1" applyFont="1" applyFill="1" applyBorder="1" applyAlignment="1" applyProtection="1">
      <alignment vertical="center"/>
      <protection locked="0"/>
    </xf>
    <xf numFmtId="169" fontId="1" fillId="4" borderId="9" xfId="5" applyNumberFormat="1" applyFont="1" applyFill="1" applyBorder="1" applyAlignment="1" applyProtection="1">
      <alignment vertical="center"/>
      <protection locked="0"/>
    </xf>
    <xf numFmtId="169" fontId="1" fillId="2" borderId="9" xfId="5" applyNumberFormat="1" applyFont="1" applyFill="1" applyBorder="1" applyAlignment="1" applyProtection="1">
      <alignment vertical="center"/>
      <protection locked="0"/>
    </xf>
    <xf numFmtId="169" fontId="1" fillId="6" borderId="15" xfId="5" applyNumberFormat="1" applyFont="1" applyFill="1" applyBorder="1" applyAlignment="1" applyProtection="1">
      <alignment vertical="center"/>
      <protection locked="0"/>
    </xf>
    <xf numFmtId="169" fontId="1" fillId="0" borderId="0" xfId="5" applyNumberFormat="1" applyFont="1" applyFill="1" applyBorder="1" applyAlignment="1" applyProtection="1">
      <alignment vertical="center"/>
      <protection locked="0"/>
    </xf>
    <xf numFmtId="169" fontId="1" fillId="7" borderId="11" xfId="5" applyNumberFormat="1" applyFont="1" applyFill="1" applyBorder="1" applyAlignment="1" applyProtection="1">
      <alignment vertical="center"/>
      <protection locked="0"/>
    </xf>
    <xf numFmtId="169" fontId="1" fillId="7" borderId="0" xfId="5" applyNumberFormat="1" applyFont="1" applyFill="1" applyBorder="1" applyAlignment="1" applyProtection="1">
      <alignment vertical="center"/>
      <protection locked="0"/>
    </xf>
    <xf numFmtId="169" fontId="1" fillId="6" borderId="13" xfId="5" applyNumberFormat="1" applyFont="1" applyFill="1" applyBorder="1" applyAlignment="1" applyProtection="1">
      <alignment vertical="center"/>
      <protection locked="0"/>
    </xf>
    <xf numFmtId="169" fontId="0" fillId="0" borderId="0" xfId="5" applyNumberFormat="1" applyFont="1"/>
    <xf numFmtId="169" fontId="5" fillId="2" borderId="0" xfId="5" applyNumberFormat="1" applyFont="1" applyFill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horizontal="center"/>
      <protection locked="0"/>
    </xf>
    <xf numFmtId="169" fontId="2" fillId="0" borderId="8" xfId="5" applyNumberFormat="1" applyFont="1" applyBorder="1" applyAlignment="1" applyProtection="1">
      <alignment horizontal="center"/>
      <protection locked="0"/>
    </xf>
    <xf numFmtId="169" fontId="2" fillId="0" borderId="10" xfId="5" quotePrefix="1" applyNumberFormat="1" applyFont="1" applyBorder="1" applyAlignment="1" applyProtection="1">
      <alignment horizontal="center"/>
      <protection locked="0"/>
    </xf>
    <xf numFmtId="169" fontId="7" fillId="0" borderId="7" xfId="5" applyNumberFormat="1" applyFont="1" applyFill="1" applyBorder="1" applyAlignment="1" applyProtection="1">
      <alignment vertical="center"/>
      <protection locked="0"/>
    </xf>
    <xf numFmtId="169" fontId="7" fillId="0" borderId="9" xfId="5" applyNumberFormat="1" applyFont="1" applyFill="1" applyBorder="1" applyAlignment="1" applyProtection="1">
      <alignment vertical="center"/>
      <protection locked="0"/>
    </xf>
    <xf numFmtId="169" fontId="2" fillId="3" borderId="5" xfId="5" applyNumberFormat="1" applyFont="1" applyFill="1" applyBorder="1" applyAlignment="1" applyProtection="1">
      <alignment vertical="center"/>
      <protection locked="0"/>
    </xf>
    <xf numFmtId="169" fontId="1" fillId="3" borderId="5" xfId="5" applyNumberFormat="1" applyFont="1" applyFill="1" applyBorder="1" applyAlignment="1" applyProtection="1">
      <alignment vertical="center"/>
      <protection locked="0"/>
    </xf>
    <xf numFmtId="169" fontId="7" fillId="4" borderId="9" xfId="5" applyNumberFormat="1" applyFont="1" applyFill="1" applyBorder="1" applyAlignment="1" applyProtection="1">
      <alignment vertical="center"/>
      <protection locked="0"/>
    </xf>
    <xf numFmtId="169" fontId="7" fillId="2" borderId="9" xfId="5" applyNumberFormat="1" applyFont="1" applyFill="1" applyBorder="1" applyAlignment="1" applyProtection="1">
      <alignment vertical="center"/>
      <protection locked="0"/>
    </xf>
    <xf numFmtId="169" fontId="1" fillId="6" borderId="14" xfId="5" applyNumberFormat="1" applyFont="1" applyFill="1" applyBorder="1" applyAlignment="1" applyProtection="1">
      <alignment vertical="center"/>
      <protection locked="0"/>
    </xf>
    <xf numFmtId="169" fontId="2" fillId="0" borderId="9" xfId="5" applyNumberFormat="1" applyFont="1" applyFill="1" applyBorder="1" applyAlignment="1" applyProtection="1">
      <alignment vertical="center"/>
      <protection locked="0"/>
    </xf>
    <xf numFmtId="169" fontId="2" fillId="7" borderId="2" xfId="5" applyNumberFormat="1" applyFont="1" applyFill="1" applyBorder="1" applyAlignment="1" applyProtection="1">
      <alignment vertical="center"/>
      <protection locked="0"/>
    </xf>
    <xf numFmtId="169" fontId="2" fillId="7" borderId="9" xfId="5" applyNumberFormat="1" applyFon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</cellXfs>
  <cellStyles count="6">
    <cellStyle name="Comma" xfId="5" builtinId="3"/>
    <cellStyle name="Comma 4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M9" sqref="M9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style="96" customWidth="1"/>
    <col min="5" max="5" width="15.140625" customWidth="1"/>
    <col min="6" max="6" width="16.140625" customWidth="1"/>
    <col min="7" max="7" width="10.85546875" style="96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12" t="s">
        <v>1</v>
      </c>
      <c r="C1" s="112"/>
      <c r="D1" s="112"/>
      <c r="E1" s="112"/>
      <c r="F1" s="112"/>
      <c r="G1" s="112"/>
      <c r="H1" s="2"/>
      <c r="I1" s="2"/>
      <c r="J1" s="2"/>
    </row>
    <row r="2" spans="1:10" x14ac:dyDescent="0.25">
      <c r="A2" s="1" t="s">
        <v>2</v>
      </c>
      <c r="B2" s="113" t="s">
        <v>3</v>
      </c>
      <c r="C2" s="113"/>
      <c r="D2" s="113"/>
      <c r="E2" s="3"/>
      <c r="F2" s="3"/>
      <c r="G2" s="82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82"/>
      <c r="E3" s="2"/>
      <c r="F3" s="2"/>
      <c r="G3" s="97"/>
      <c r="H3" s="6"/>
      <c r="I3" s="6"/>
      <c r="J3" s="6"/>
    </row>
    <row r="4" spans="1:10" ht="15.75" x14ac:dyDescent="0.25">
      <c r="A4" s="1" t="s">
        <v>6</v>
      </c>
      <c r="B4" s="4">
        <v>0</v>
      </c>
      <c r="C4" s="7" t="s">
        <v>7</v>
      </c>
      <c r="D4" s="83"/>
      <c r="E4" s="8"/>
      <c r="F4" s="8"/>
      <c r="G4" s="98"/>
      <c r="H4" s="2"/>
      <c r="I4" s="2"/>
      <c r="J4" s="2"/>
    </row>
    <row r="5" spans="1:10" x14ac:dyDescent="0.25">
      <c r="A5" s="1" t="s">
        <v>8</v>
      </c>
      <c r="B5" s="9">
        <v>1.0423</v>
      </c>
      <c r="C5" s="2"/>
      <c r="D5" s="82"/>
      <c r="E5" s="2"/>
      <c r="F5" s="2"/>
      <c r="G5" s="82"/>
      <c r="H5" s="2"/>
      <c r="I5" s="2"/>
      <c r="J5" s="2"/>
    </row>
    <row r="6" spans="1:10" x14ac:dyDescent="0.25">
      <c r="A6" s="1" t="s">
        <v>9</v>
      </c>
      <c r="B6" s="9">
        <v>1.0423</v>
      </c>
      <c r="C6" s="2"/>
      <c r="D6" s="82"/>
      <c r="E6" s="2"/>
      <c r="F6" s="2"/>
      <c r="G6" s="82"/>
      <c r="H6" s="2"/>
      <c r="I6" s="2"/>
      <c r="J6" s="2"/>
    </row>
    <row r="7" spans="1:10" x14ac:dyDescent="0.25">
      <c r="A7" s="2"/>
      <c r="B7" s="2"/>
      <c r="C7" s="2"/>
      <c r="D7" s="82"/>
      <c r="E7" s="2"/>
      <c r="F7" s="2"/>
      <c r="G7" s="82"/>
      <c r="H7" s="2"/>
      <c r="I7" s="2"/>
      <c r="J7" s="2"/>
    </row>
    <row r="8" spans="1:10" x14ac:dyDescent="0.25">
      <c r="A8" s="2"/>
      <c r="B8" s="5"/>
      <c r="C8" s="114" t="s">
        <v>10</v>
      </c>
      <c r="D8" s="115"/>
      <c r="E8" s="116"/>
      <c r="F8" s="114" t="s">
        <v>11</v>
      </c>
      <c r="G8" s="115"/>
      <c r="H8" s="116"/>
      <c r="I8" s="114" t="s">
        <v>12</v>
      </c>
      <c r="J8" s="116"/>
    </row>
    <row r="9" spans="1:10" x14ac:dyDescent="0.25">
      <c r="A9" s="2"/>
      <c r="B9" s="117"/>
      <c r="C9" s="10" t="s">
        <v>13</v>
      </c>
      <c r="D9" s="84" t="s">
        <v>14</v>
      </c>
      <c r="E9" s="11" t="s">
        <v>15</v>
      </c>
      <c r="F9" s="10" t="s">
        <v>13</v>
      </c>
      <c r="G9" s="99" t="s">
        <v>14</v>
      </c>
      <c r="H9" s="11" t="s">
        <v>15</v>
      </c>
      <c r="I9" s="119" t="s">
        <v>16</v>
      </c>
      <c r="J9" s="121" t="s">
        <v>17</v>
      </c>
    </row>
    <row r="10" spans="1:10" x14ac:dyDescent="0.25">
      <c r="A10" s="2"/>
      <c r="B10" s="118"/>
      <c r="C10" s="12" t="s">
        <v>18</v>
      </c>
      <c r="D10" s="85"/>
      <c r="E10" s="13" t="s">
        <v>18</v>
      </c>
      <c r="F10" s="12" t="s">
        <v>18</v>
      </c>
      <c r="G10" s="100"/>
      <c r="H10" s="13" t="s">
        <v>18</v>
      </c>
      <c r="I10" s="120"/>
      <c r="J10" s="122"/>
    </row>
    <row r="11" spans="1:10" x14ac:dyDescent="0.25">
      <c r="A11" s="14" t="s">
        <v>19</v>
      </c>
      <c r="B11" s="15"/>
      <c r="C11" s="16">
        <v>162.94999999999999</v>
      </c>
      <c r="D11" s="86">
        <v>1</v>
      </c>
      <c r="E11" s="17">
        <f>D11*C11</f>
        <v>162.94999999999999</v>
      </c>
      <c r="F11" s="18">
        <v>168.73</v>
      </c>
      <c r="G11" s="101">
        <f>D11</f>
        <v>1</v>
      </c>
      <c r="H11" s="19">
        <f>G11*F11</f>
        <v>168.73</v>
      </c>
      <c r="I11" s="20">
        <f>H11-E11</f>
        <v>5.7800000000000011</v>
      </c>
      <c r="J11" s="21">
        <f>IF(ISERROR(I11/E11), "", I11/E11)</f>
        <v>3.5471003375268498E-2</v>
      </c>
    </row>
    <row r="12" spans="1:10" x14ac:dyDescent="0.25">
      <c r="A12" s="14" t="s">
        <v>20</v>
      </c>
      <c r="B12" s="15"/>
      <c r="C12" s="22">
        <v>0</v>
      </c>
      <c r="D12" s="86">
        <f>IF($B4&gt;0, $B4, $B3)</f>
        <v>117359</v>
      </c>
      <c r="E12" s="17">
        <f t="shared" ref="E12:E23" si="0">D12*C12</f>
        <v>0</v>
      </c>
      <c r="F12" s="23">
        <v>0</v>
      </c>
      <c r="G12" s="101">
        <f>IF($B4&gt;0, $B4, $B3)</f>
        <v>117359</v>
      </c>
      <c r="H12" s="19">
        <f>G12*F12</f>
        <v>0</v>
      </c>
      <c r="I12" s="20">
        <f t="shared" ref="I12:I31" si="1">H12-E12</f>
        <v>0</v>
      </c>
      <c r="J12" s="21" t="str">
        <f>IF(ISERROR(I12/E12), "", I12/E12)</f>
        <v/>
      </c>
    </row>
    <row r="13" spans="1:10" hidden="1" outlineLevel="1" x14ac:dyDescent="0.25">
      <c r="A13" s="14" t="s">
        <v>21</v>
      </c>
      <c r="B13" s="15"/>
      <c r="C13" s="22"/>
      <c r="D13" s="86">
        <v>117359</v>
      </c>
      <c r="E13" s="17">
        <v>0</v>
      </c>
      <c r="F13" s="23"/>
      <c r="G13" s="101">
        <f>IF($E4&gt;0, $E4, $E3)</f>
        <v>0</v>
      </c>
      <c r="H13" s="19">
        <v>0</v>
      </c>
      <c r="I13" s="20"/>
      <c r="J13" s="21"/>
    </row>
    <row r="14" spans="1:10" hidden="1" outlineLevel="1" x14ac:dyDescent="0.25">
      <c r="A14" s="14" t="s">
        <v>22</v>
      </c>
      <c r="B14" s="15"/>
      <c r="C14" s="22"/>
      <c r="D14" s="86">
        <v>117359</v>
      </c>
      <c r="E14" s="17">
        <v>0</v>
      </c>
      <c r="F14" s="23"/>
      <c r="G14" s="102">
        <f>IF($E4&gt;0, $E4, $E3)</f>
        <v>0</v>
      </c>
      <c r="H14" s="19">
        <v>0</v>
      </c>
      <c r="I14" s="20">
        <f>H14-E14</f>
        <v>0</v>
      </c>
      <c r="J14" s="21" t="str">
        <f>IF(ISERROR(I14/E14), "", I14/E14)</f>
        <v/>
      </c>
    </row>
    <row r="15" spans="1:10" collapsed="1" x14ac:dyDescent="0.25">
      <c r="A15" s="14" t="s">
        <v>23</v>
      </c>
      <c r="B15" s="15"/>
      <c r="C15" s="16">
        <v>0</v>
      </c>
      <c r="D15" s="86">
        <v>1</v>
      </c>
      <c r="E15" s="17">
        <f t="shared" si="0"/>
        <v>0</v>
      </c>
      <c r="F15" s="18">
        <v>0</v>
      </c>
      <c r="G15" s="101">
        <f>D15</f>
        <v>1</v>
      </c>
      <c r="H15" s="19">
        <f t="shared" ref="H15:H21" si="2">G15*F15</f>
        <v>0</v>
      </c>
      <c r="I15" s="20">
        <f t="shared" si="1"/>
        <v>0</v>
      </c>
      <c r="J15" s="21" t="str">
        <f t="shared" ref="J15:J21" si="3">IF(ISERROR(I15/E15), "", I15/E15)</f>
        <v/>
      </c>
    </row>
    <row r="16" spans="1:10" x14ac:dyDescent="0.25">
      <c r="A16" s="14" t="s">
        <v>24</v>
      </c>
      <c r="B16" s="15"/>
      <c r="C16" s="22">
        <v>0</v>
      </c>
      <c r="D16" s="86">
        <f>IF($B4&gt;0, $B4, $B3)</f>
        <v>117359</v>
      </c>
      <c r="E16" s="17">
        <f t="shared" si="0"/>
        <v>0</v>
      </c>
      <c r="F16" s="23">
        <v>0</v>
      </c>
      <c r="G16" s="101">
        <f>IF($B4&gt;0, $B4, $B3)</f>
        <v>117359</v>
      </c>
      <c r="H16" s="19">
        <f t="shared" si="2"/>
        <v>0</v>
      </c>
      <c r="I16" s="20">
        <f t="shared" si="1"/>
        <v>0</v>
      </c>
      <c r="J16" s="21" t="str">
        <f t="shared" si="3"/>
        <v/>
      </c>
    </row>
    <row r="17" spans="1:10" x14ac:dyDescent="0.25">
      <c r="A17" s="24" t="s">
        <v>25</v>
      </c>
      <c r="B17" s="25"/>
      <c r="C17" s="26"/>
      <c r="D17" s="87"/>
      <c r="E17" s="27">
        <f>SUM(E11:E16)</f>
        <v>162.94999999999999</v>
      </c>
      <c r="F17" s="28"/>
      <c r="G17" s="103"/>
      <c r="H17" s="27">
        <f>SUM(H11:H16)</f>
        <v>168.73</v>
      </c>
      <c r="I17" s="29">
        <f t="shared" si="1"/>
        <v>5.7800000000000011</v>
      </c>
      <c r="J17" s="30">
        <f>IF((E17)=0,"",(I17/E17))</f>
        <v>3.5471003375268498E-2</v>
      </c>
    </row>
    <row r="18" spans="1:10" x14ac:dyDescent="0.25">
      <c r="A18" s="31" t="s">
        <v>26</v>
      </c>
      <c r="B18" s="15"/>
      <c r="C18" s="22">
        <v>-1.2999999999999999E-3</v>
      </c>
      <c r="D18" s="86">
        <f>B3</f>
        <v>117359</v>
      </c>
      <c r="E18" s="17">
        <f t="shared" si="0"/>
        <v>-152.5667</v>
      </c>
      <c r="F18" s="46">
        <v>-2.0000000000000001E-4</v>
      </c>
      <c r="G18" s="102">
        <f>IF($B4&gt;0, $B4, $B3)</f>
        <v>117359</v>
      </c>
      <c r="H18" s="19">
        <f t="shared" si="2"/>
        <v>-23.471800000000002</v>
      </c>
      <c r="I18" s="20">
        <f t="shared" si="1"/>
        <v>129.0949</v>
      </c>
      <c r="J18" s="21">
        <f t="shared" si="3"/>
        <v>-0.84615384615384615</v>
      </c>
    </row>
    <row r="19" spans="1:10" x14ac:dyDescent="0.25">
      <c r="A19" s="31" t="s">
        <v>27</v>
      </c>
      <c r="B19" s="15"/>
      <c r="C19" s="22">
        <v>2.0000000000000001E-4</v>
      </c>
      <c r="D19" s="86">
        <f>B3</f>
        <v>117359</v>
      </c>
      <c r="E19" s="17">
        <f>D19*C19</f>
        <v>23.471800000000002</v>
      </c>
      <c r="F19" s="22">
        <v>5.9999999999999995E-4</v>
      </c>
      <c r="G19" s="102">
        <f>IF($B4&gt;0, $B4, $B3)</f>
        <v>117359</v>
      </c>
      <c r="H19" s="19">
        <f>G19*F19</f>
        <v>70.415399999999991</v>
      </c>
      <c r="I19" s="20">
        <f>H19-E19</f>
        <v>46.943599999999989</v>
      </c>
      <c r="J19" s="21">
        <f t="shared" si="3"/>
        <v>1.9999999999999993</v>
      </c>
    </row>
    <row r="20" spans="1:10" x14ac:dyDescent="0.25">
      <c r="A20" s="31" t="s">
        <v>28</v>
      </c>
      <c r="B20" s="15"/>
      <c r="C20" s="22">
        <v>-2.0000000000000001E-4</v>
      </c>
      <c r="D20" s="86">
        <f>B3</f>
        <v>117359</v>
      </c>
      <c r="E20" s="17">
        <f>D20*C20</f>
        <v>-23.471800000000002</v>
      </c>
      <c r="F20" s="23">
        <v>4.0000000000000002E-4</v>
      </c>
      <c r="G20" s="102">
        <f>B3</f>
        <v>117359</v>
      </c>
      <c r="H20" s="19">
        <f t="shared" si="2"/>
        <v>46.943600000000004</v>
      </c>
      <c r="I20" s="20">
        <f t="shared" si="1"/>
        <v>70.415400000000005</v>
      </c>
      <c r="J20" s="21">
        <f t="shared" si="3"/>
        <v>-3</v>
      </c>
    </row>
    <row r="21" spans="1:10" x14ac:dyDescent="0.25">
      <c r="A21" s="14" t="s">
        <v>29</v>
      </c>
      <c r="B21" s="15"/>
      <c r="C21" s="22">
        <v>0</v>
      </c>
      <c r="D21" s="86">
        <f>IF($E4&gt;0, $E4, $E3)</f>
        <v>0</v>
      </c>
      <c r="E21" s="17">
        <f t="shared" si="0"/>
        <v>0</v>
      </c>
      <c r="F21" s="23"/>
      <c r="G21" s="102">
        <f>IF($B4&gt;0, $B4, $B3)</f>
        <v>117359</v>
      </c>
      <c r="H21" s="19">
        <f t="shared" si="2"/>
        <v>0</v>
      </c>
      <c r="I21" s="20">
        <f t="shared" si="1"/>
        <v>0</v>
      </c>
      <c r="J21" s="21" t="str">
        <f t="shared" si="3"/>
        <v/>
      </c>
    </row>
    <row r="22" spans="1:10" x14ac:dyDescent="0.25">
      <c r="A22" s="31" t="s">
        <v>30</v>
      </c>
      <c r="B22" s="15"/>
      <c r="C22" s="32">
        <f>IF(OR(ISNUMBER(SEARCH("RESIDENTIAL", B1))=TRUE, ISNUMBER(SEARCH("GENERAL SERVICE LESS THAN 50", B1))=TRUE), 0.43, 0)</f>
        <v>0</v>
      </c>
      <c r="D22" s="86">
        <v>1</v>
      </c>
      <c r="E22" s="17">
        <f>D22*C22</f>
        <v>0</v>
      </c>
      <c r="F22" s="33">
        <v>0</v>
      </c>
      <c r="G22" s="102">
        <v>1</v>
      </c>
      <c r="H22" s="19">
        <f>G22*F22</f>
        <v>0</v>
      </c>
      <c r="I22" s="20">
        <f t="shared" si="1"/>
        <v>0</v>
      </c>
      <c r="J22" s="21" t="str">
        <f>IF(ISERROR(I22/E22), "", I22/E22)</f>
        <v/>
      </c>
    </row>
    <row r="23" spans="1:10" x14ac:dyDescent="0.25">
      <c r="A23" s="14" t="s">
        <v>31</v>
      </c>
      <c r="B23" s="15"/>
      <c r="C23" s="16">
        <v>0</v>
      </c>
      <c r="D23" s="86">
        <v>1</v>
      </c>
      <c r="E23" s="17">
        <f t="shared" si="0"/>
        <v>0</v>
      </c>
      <c r="F23" s="18">
        <v>0</v>
      </c>
      <c r="G23" s="102">
        <v>1</v>
      </c>
      <c r="H23" s="19">
        <f>G23*F23</f>
        <v>0</v>
      </c>
      <c r="I23" s="20">
        <f>H23-E23</f>
        <v>0</v>
      </c>
      <c r="J23" s="21" t="str">
        <f>IF(ISERROR(I23/E23), "", I23/E23)</f>
        <v/>
      </c>
    </row>
    <row r="24" spans="1:10" x14ac:dyDescent="0.25">
      <c r="A24" s="14" t="s">
        <v>32</v>
      </c>
      <c r="B24" s="15"/>
      <c r="C24" s="22">
        <v>0</v>
      </c>
      <c r="D24" s="86">
        <f>IF($B4&gt;0, $B4, $B3)</f>
        <v>117359</v>
      </c>
      <c r="E24" s="17">
        <f>D24*C24</f>
        <v>0</v>
      </c>
      <c r="F24" s="23">
        <v>0</v>
      </c>
      <c r="G24" s="102">
        <f>IF($B4&gt;0, $B4, $B3)</f>
        <v>117359</v>
      </c>
      <c r="H24" s="19">
        <f>G24*F24</f>
        <v>0</v>
      </c>
      <c r="I24" s="20">
        <f t="shared" si="1"/>
        <v>0</v>
      </c>
      <c r="J24" s="21" t="str">
        <f>IF(ISERROR(I24/E24), "", I24/E24)</f>
        <v/>
      </c>
    </row>
    <row r="25" spans="1:10" x14ac:dyDescent="0.25">
      <c r="A25" s="34" t="s">
        <v>33</v>
      </c>
      <c r="B25" s="35"/>
      <c r="C25" s="36"/>
      <c r="D25" s="88"/>
      <c r="E25" s="37">
        <f>SUM(E17:E24)</f>
        <v>10.383299999999991</v>
      </c>
      <c r="F25" s="38"/>
      <c r="G25" s="104"/>
      <c r="H25" s="37">
        <f>SUM(H17:H24)</f>
        <v>262.61719999999997</v>
      </c>
      <c r="I25" s="29">
        <f t="shared" si="1"/>
        <v>252.23389999999998</v>
      </c>
      <c r="J25" s="30">
        <f>IF((E25)=0,"",(I25/E25))</f>
        <v>24.29226739090657</v>
      </c>
    </row>
    <row r="26" spans="1:10" x14ac:dyDescent="0.25">
      <c r="A26" s="39" t="s">
        <v>34</v>
      </c>
      <c r="B26" s="15"/>
      <c r="C26" s="22">
        <v>0</v>
      </c>
      <c r="D26" s="89">
        <f>IF($B4&gt;0, $B4, $B3*$B5)</f>
        <v>122323.28570000001</v>
      </c>
      <c r="E26" s="17">
        <f>D26*C26</f>
        <v>0</v>
      </c>
      <c r="F26" s="40">
        <v>0</v>
      </c>
      <c r="G26" s="105">
        <f>IF($B4&gt;0, $B4, $B3*$B6)</f>
        <v>122323.28570000001</v>
      </c>
      <c r="H26" s="19">
        <f>G26*F26</f>
        <v>0</v>
      </c>
      <c r="I26" s="20">
        <f t="shared" si="1"/>
        <v>0</v>
      </c>
      <c r="J26" s="21" t="str">
        <f>IF(ISERROR(I26/E26), "", I26/E26)</f>
        <v/>
      </c>
    </row>
    <row r="27" spans="1:10" ht="25.5" x14ac:dyDescent="0.25">
      <c r="A27" s="41" t="s">
        <v>35</v>
      </c>
      <c r="B27" s="15"/>
      <c r="C27" s="22">
        <v>0</v>
      </c>
      <c r="D27" s="89">
        <f>IF($B4&gt;0, $B4, $B3*$B5)</f>
        <v>122323.28570000001</v>
      </c>
      <c r="E27" s="17">
        <f>D27*C27</f>
        <v>0</v>
      </c>
      <c r="F27" s="40">
        <v>0</v>
      </c>
      <c r="G27" s="105">
        <f>IF($B4&gt;0, $B4, $B3*$B6)</f>
        <v>122323.28570000001</v>
      </c>
      <c r="H27" s="19">
        <f>G27*F27</f>
        <v>0</v>
      </c>
      <c r="I27" s="20">
        <f t="shared" si="1"/>
        <v>0</v>
      </c>
      <c r="J27" s="21" t="str">
        <f>IF(ISERROR(I27/E27), "", I27/E27)</f>
        <v/>
      </c>
    </row>
    <row r="28" spans="1:10" x14ac:dyDescent="0.25">
      <c r="A28" s="34" t="s">
        <v>36</v>
      </c>
      <c r="B28" s="25"/>
      <c r="C28" s="36"/>
      <c r="D28" s="88"/>
      <c r="E28" s="37">
        <f>SUM(E25:E27)</f>
        <v>10.383299999999991</v>
      </c>
      <c r="F28" s="38"/>
      <c r="G28" s="103"/>
      <c r="H28" s="37">
        <f>SUM(H25:H27)</f>
        <v>262.61719999999997</v>
      </c>
      <c r="I28" s="29">
        <f t="shared" si="1"/>
        <v>252.23389999999998</v>
      </c>
      <c r="J28" s="30">
        <f>IF((E28)=0,"",(I28/E28))</f>
        <v>24.29226739090657</v>
      </c>
    </row>
    <row r="29" spans="1:10" x14ac:dyDescent="0.25">
      <c r="A29" s="42" t="s">
        <v>37</v>
      </c>
      <c r="B29" s="15"/>
      <c r="C29" s="23">
        <v>4.4999999999999997E-3</v>
      </c>
      <c r="D29" s="89">
        <f>B3*B5</f>
        <v>122323.28570000001</v>
      </c>
      <c r="E29" s="43">
        <f>D29*C29</f>
        <v>550.45478564999996</v>
      </c>
      <c r="F29" s="23">
        <v>4.4999999999999997E-3</v>
      </c>
      <c r="G29" s="105">
        <f>B3*B6</f>
        <v>122323.28570000001</v>
      </c>
      <c r="H29" s="19">
        <f>G29*F29</f>
        <v>550.45478564999996</v>
      </c>
      <c r="I29" s="20">
        <f t="shared" si="1"/>
        <v>0</v>
      </c>
      <c r="J29" s="21">
        <f t="shared" ref="J29:J37" si="4">IF(ISERROR(I29/E29), "", I29/E29)</f>
        <v>0</v>
      </c>
    </row>
    <row r="30" spans="1:10" x14ac:dyDescent="0.25">
      <c r="A30" s="42" t="s">
        <v>38</v>
      </c>
      <c r="B30" s="15"/>
      <c r="C30" s="23">
        <v>1.5E-3</v>
      </c>
      <c r="D30" s="89">
        <f>B3*B5</f>
        <v>122323.28570000001</v>
      </c>
      <c r="E30" s="43">
        <f t="shared" ref="E30:E31" si="5">D30*C30</f>
        <v>183.48492855000001</v>
      </c>
      <c r="F30" s="23">
        <v>1.5E-3</v>
      </c>
      <c r="G30" s="105">
        <f>B3*B6</f>
        <v>122323.28570000001</v>
      </c>
      <c r="H30" s="19">
        <f>G30*F30</f>
        <v>183.48492855000001</v>
      </c>
      <c r="I30" s="20">
        <f t="shared" si="1"/>
        <v>0</v>
      </c>
      <c r="J30" s="21">
        <f t="shared" si="4"/>
        <v>0</v>
      </c>
    </row>
    <row r="31" spans="1:10" x14ac:dyDescent="0.25">
      <c r="A31" s="44" t="s">
        <v>39</v>
      </c>
      <c r="B31" s="15"/>
      <c r="C31" s="23">
        <v>0.25</v>
      </c>
      <c r="D31" s="86">
        <v>1</v>
      </c>
      <c r="E31" s="43">
        <f t="shared" si="5"/>
        <v>0.25</v>
      </c>
      <c r="F31" s="23">
        <v>0.25</v>
      </c>
      <c r="G31" s="101">
        <v>1</v>
      </c>
      <c r="H31" s="19">
        <f>G31*F31</f>
        <v>0.25</v>
      </c>
      <c r="I31" s="20">
        <f t="shared" si="1"/>
        <v>0</v>
      </c>
      <c r="J31" s="21">
        <f t="shared" si="4"/>
        <v>0</v>
      </c>
    </row>
    <row r="32" spans="1:10" ht="25.5" hidden="1" outlineLevel="1" x14ac:dyDescent="0.25">
      <c r="A32" s="42" t="s">
        <v>40</v>
      </c>
      <c r="B32" s="15"/>
      <c r="C32" s="22"/>
      <c r="D32" s="89"/>
      <c r="E32" s="43"/>
      <c r="F32" s="23"/>
      <c r="G32" s="105"/>
      <c r="H32" s="19"/>
      <c r="I32" s="20"/>
      <c r="J32" s="21"/>
    </row>
    <row r="33" spans="1:10" hidden="1" outlineLevel="1" x14ac:dyDescent="0.25">
      <c r="A33" s="44" t="s">
        <v>41</v>
      </c>
      <c r="B33" s="15"/>
      <c r="C33" s="45">
        <v>7.3999999999999996E-2</v>
      </c>
      <c r="D33" s="90">
        <f>IF(AND(B3*12&gt;=150000),0.64*B3*B5,0.64*B3)</f>
        <v>78286.902847999998</v>
      </c>
      <c r="E33" s="43">
        <f t="shared" ref="E33:E35" si="6">D33*C33</f>
        <v>5793.2308107519993</v>
      </c>
      <c r="F33" s="46">
        <v>7.3999999999999996E-2</v>
      </c>
      <c r="G33" s="106">
        <f>IF(AND(B3*12&gt;=150000),0.64*B3*B6,0.64*B3)</f>
        <v>78286.902847999998</v>
      </c>
      <c r="H33" s="19">
        <f t="shared" ref="H33:H35" si="7">G33*F33</f>
        <v>5793.2308107519993</v>
      </c>
      <c r="I33" s="20">
        <f>H33-E33</f>
        <v>0</v>
      </c>
      <c r="J33" s="21">
        <f t="shared" si="4"/>
        <v>0</v>
      </c>
    </row>
    <row r="34" spans="1:10" hidden="1" outlineLevel="1" x14ac:dyDescent="0.25">
      <c r="A34" s="44" t="s">
        <v>42</v>
      </c>
      <c r="B34" s="15"/>
      <c r="C34" s="45">
        <v>0.10199999999999999</v>
      </c>
      <c r="D34" s="90">
        <f>IF(AND(B3*12&gt;=150000),0.18*B3*B5,0.18*B3)</f>
        <v>22018.191425999998</v>
      </c>
      <c r="E34" s="43">
        <f t="shared" si="6"/>
        <v>2245.8555254519997</v>
      </c>
      <c r="F34" s="46">
        <v>0.10199999999999999</v>
      </c>
      <c r="G34" s="106">
        <f>IF(AND(B3*12&gt;=150000),0.18*B3*B6,0.18*B3)</f>
        <v>22018.191425999998</v>
      </c>
      <c r="H34" s="19">
        <f t="shared" si="7"/>
        <v>2245.8555254519997</v>
      </c>
      <c r="I34" s="20">
        <f>H34-E34</f>
        <v>0</v>
      </c>
      <c r="J34" s="21">
        <f t="shared" si="4"/>
        <v>0</v>
      </c>
    </row>
    <row r="35" spans="1:10" hidden="1" outlineLevel="1" x14ac:dyDescent="0.25">
      <c r="A35" s="2" t="s">
        <v>43</v>
      </c>
      <c r="B35" s="15"/>
      <c r="C35" s="45">
        <v>0.151</v>
      </c>
      <c r="D35" s="90">
        <f>IF(AND(B3*12&gt;=150000),0.18*B3*B5,0.18*B3)</f>
        <v>22018.191425999998</v>
      </c>
      <c r="E35" s="43">
        <f t="shared" si="6"/>
        <v>3324.7469053259997</v>
      </c>
      <c r="F35" s="46">
        <v>0.151</v>
      </c>
      <c r="G35" s="106">
        <f>IF(AND(B3*12&gt;=150000),0.18*B3*B6,0.18*B3)</f>
        <v>22018.191425999998</v>
      </c>
      <c r="H35" s="19">
        <f t="shared" si="7"/>
        <v>3324.7469053259997</v>
      </c>
      <c r="I35" s="20">
        <f>H35-E35</f>
        <v>0</v>
      </c>
      <c r="J35" s="21">
        <f t="shared" si="4"/>
        <v>0</v>
      </c>
    </row>
    <row r="36" spans="1:10" hidden="1" outlineLevel="1" x14ac:dyDescent="0.25">
      <c r="A36" s="44" t="s">
        <v>44</v>
      </c>
      <c r="B36" s="15"/>
      <c r="C36" s="47">
        <v>9.6699999999999994E-2</v>
      </c>
      <c r="D36" s="90">
        <f>IF(AND(B3*12&gt;=150000),B3*B5,B3)</f>
        <v>122323.28570000001</v>
      </c>
      <c r="E36" s="43">
        <f>D36*C36</f>
        <v>11828.66172719</v>
      </c>
      <c r="F36" s="48">
        <f>C36</f>
        <v>9.6699999999999994E-2</v>
      </c>
      <c r="G36" s="106">
        <f>IF(AND(B3*12&gt;=150000),B3*B6,B3)</f>
        <v>122323.28570000001</v>
      </c>
      <c r="H36" s="19">
        <f>G36*F36</f>
        <v>11828.66172719</v>
      </c>
      <c r="I36" s="20">
        <f>H36-E36</f>
        <v>0</v>
      </c>
      <c r="J36" s="21">
        <f t="shared" si="4"/>
        <v>0</v>
      </c>
    </row>
    <row r="37" spans="1:10" ht="15.75" collapsed="1" thickBot="1" x14ac:dyDescent="0.3">
      <c r="A37" s="44" t="s">
        <v>45</v>
      </c>
      <c r="B37" s="15"/>
      <c r="C37" s="47">
        <v>0.1076</v>
      </c>
      <c r="D37" s="90">
        <f>IF(AND(B3*12&gt;=150000),B3*B5,B3)</f>
        <v>122323.28570000001</v>
      </c>
      <c r="E37" s="43">
        <f>D37*C37</f>
        <v>13161.98554132</v>
      </c>
      <c r="F37" s="48">
        <f>C37</f>
        <v>0.1076</v>
      </c>
      <c r="G37" s="106">
        <f>IF(AND(B3*12&gt;=150000),B3*B6,B3)</f>
        <v>122323.28570000001</v>
      </c>
      <c r="H37" s="19">
        <f>G37*F37</f>
        <v>13161.98554132</v>
      </c>
      <c r="I37" s="20">
        <f>H37-E37</f>
        <v>0</v>
      </c>
      <c r="J37" s="21">
        <f t="shared" si="4"/>
        <v>0</v>
      </c>
    </row>
    <row r="38" spans="1:10" ht="15.75" hidden="1" outlineLevel="1" thickBot="1" x14ac:dyDescent="0.3">
      <c r="A38" s="49"/>
      <c r="B38" s="50"/>
      <c r="C38" s="51"/>
      <c r="D38" s="91"/>
      <c r="E38" s="52"/>
      <c r="F38" s="51"/>
      <c r="G38" s="107"/>
      <c r="H38" s="52"/>
      <c r="I38" s="53"/>
      <c r="J38" s="54"/>
    </row>
    <row r="39" spans="1:10" hidden="1" outlineLevel="1" x14ac:dyDescent="0.25">
      <c r="A39" s="55" t="s">
        <v>46</v>
      </c>
      <c r="B39" s="44"/>
      <c r="C39" s="56"/>
      <c r="D39" s="92"/>
      <c r="E39" s="57">
        <f>SUM(E29:E35,E28)</f>
        <v>12108.406255729997</v>
      </c>
      <c r="F39" s="58"/>
      <c r="G39" s="108"/>
      <c r="H39" s="57">
        <f>SUM(H29:H35,H28)</f>
        <v>12360.640155729998</v>
      </c>
      <c r="I39" s="59">
        <f>H39-E39</f>
        <v>252.23390000000109</v>
      </c>
      <c r="J39" s="60">
        <f>IF((E39)=0,"",(I39/E39))</f>
        <v>2.0831304688066422E-2</v>
      </c>
    </row>
    <row r="40" spans="1:10" hidden="1" outlineLevel="1" x14ac:dyDescent="0.25">
      <c r="A40" s="61" t="s">
        <v>47</v>
      </c>
      <c r="B40" s="44"/>
      <c r="C40" s="56">
        <v>0.13</v>
      </c>
      <c r="D40" s="92"/>
      <c r="E40" s="62">
        <f>E39*C40</f>
        <v>1574.0928132448996</v>
      </c>
      <c r="F40" s="63">
        <v>0.13</v>
      </c>
      <c r="G40" s="86"/>
      <c r="H40" s="62">
        <f>H39*F40</f>
        <v>1606.8832202448998</v>
      </c>
      <c r="I40" s="20">
        <f>H40-E40</f>
        <v>32.790407000000187</v>
      </c>
      <c r="J40" s="64">
        <f>IF((E40)=0,"",(I40/E40))</f>
        <v>2.0831304688066453E-2</v>
      </c>
    </row>
    <row r="41" spans="1:10" hidden="1" outlineLevel="1" x14ac:dyDescent="0.25">
      <c r="A41" s="61" t="s">
        <v>48</v>
      </c>
      <c r="C41" s="65">
        <v>0.11700000000000001</v>
      </c>
      <c r="D41" s="92"/>
      <c r="E41" s="62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65">
        <v>0.11700000000000001</v>
      </c>
      <c r="G41" s="86"/>
      <c r="H41" s="62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20">
        <f>H41-E41</f>
        <v>0</v>
      </c>
      <c r="J41" s="64"/>
    </row>
    <row r="42" spans="1:10" ht="15.75" hidden="1" outlineLevel="1" thickBot="1" x14ac:dyDescent="0.3">
      <c r="A42" s="111" t="s">
        <v>49</v>
      </c>
      <c r="B42" s="111"/>
      <c r="C42" s="66"/>
      <c r="D42" s="93"/>
      <c r="E42" s="67">
        <f>E39+E40+E41</f>
        <v>13682.499068974896</v>
      </c>
      <c r="F42" s="68"/>
      <c r="G42" s="109"/>
      <c r="H42" s="69">
        <f>H39+H40+H41</f>
        <v>13967.523375974897</v>
      </c>
      <c r="I42" s="70">
        <f>H42-E42</f>
        <v>285.0243070000015</v>
      </c>
      <c r="J42" s="71">
        <f>IF((E42)=0,"",(I42/E42))</f>
        <v>2.0831304688066443E-2</v>
      </c>
    </row>
    <row r="43" spans="1:10" ht="15.75" hidden="1" outlineLevel="1" thickBot="1" x14ac:dyDescent="0.3">
      <c r="A43" s="49"/>
      <c r="B43" s="50"/>
      <c r="C43" s="51"/>
      <c r="D43" s="91"/>
      <c r="E43" s="52"/>
      <c r="F43" s="51"/>
      <c r="G43" s="107"/>
      <c r="H43" s="52"/>
      <c r="I43" s="53"/>
      <c r="J43" s="54"/>
    </row>
    <row r="44" spans="1:10" hidden="1" outlineLevel="1" x14ac:dyDescent="0.25">
      <c r="A44" s="55" t="s">
        <v>50</v>
      </c>
      <c r="B44" s="44"/>
      <c r="C44" s="56"/>
      <c r="D44" s="92"/>
      <c r="E44" s="57">
        <f>SUM(E36,E29:E32,E28)</f>
        <v>12573.234741389999</v>
      </c>
      <c r="F44" s="58"/>
      <c r="G44" s="108"/>
      <c r="H44" s="57">
        <f>SUM(H36,H29:H32,H28)</f>
        <v>12825.46864139</v>
      </c>
      <c r="I44" s="59">
        <f>H44-E44</f>
        <v>252.23390000000109</v>
      </c>
      <c r="J44" s="60">
        <f>IF((E44)=0,"",(I44/E44))</f>
        <v>2.006117798546057E-2</v>
      </c>
    </row>
    <row r="45" spans="1:10" hidden="1" outlineLevel="1" x14ac:dyDescent="0.25">
      <c r="A45" s="61" t="s">
        <v>47</v>
      </c>
      <c r="B45" s="44"/>
      <c r="C45" s="56">
        <v>0.13</v>
      </c>
      <c r="D45" s="92"/>
      <c r="E45" s="62">
        <f>E44*C45</f>
        <v>1634.5205163807</v>
      </c>
      <c r="F45" s="56">
        <v>0.13</v>
      </c>
      <c r="G45" s="86"/>
      <c r="H45" s="62">
        <f>H44*F45</f>
        <v>1667.3109233806999</v>
      </c>
      <c r="I45" s="20">
        <f>H45-E45</f>
        <v>32.790406999999959</v>
      </c>
      <c r="J45" s="64">
        <f>IF((E45)=0,"",(I45/E45))</f>
        <v>2.0061177985460459E-2</v>
      </c>
    </row>
    <row r="46" spans="1:10" hidden="1" outlineLevel="1" x14ac:dyDescent="0.25">
      <c r="A46" s="61" t="s">
        <v>48</v>
      </c>
      <c r="C46" s="65">
        <v>0.11700000000000001</v>
      </c>
      <c r="D46" s="92"/>
      <c r="E46" s="62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65">
        <v>0.11700000000000001</v>
      </c>
      <c r="G46" s="86"/>
      <c r="H46" s="62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20"/>
      <c r="J46" s="64"/>
    </row>
    <row r="47" spans="1:10" ht="15.75" hidden="1" outlineLevel="1" thickBot="1" x14ac:dyDescent="0.3">
      <c r="A47" s="111" t="s">
        <v>50</v>
      </c>
      <c r="B47" s="111"/>
      <c r="C47" s="72"/>
      <c r="D47" s="94"/>
      <c r="E47" s="67">
        <f>SUM(E44,E45)</f>
        <v>14207.755257770699</v>
      </c>
      <c r="F47" s="73"/>
      <c r="G47" s="110"/>
      <c r="H47" s="67">
        <f>SUM(H44,H45)</f>
        <v>14492.779564770699</v>
      </c>
      <c r="I47" s="74">
        <f>H47-E47</f>
        <v>285.02430699999968</v>
      </c>
      <c r="J47" s="75">
        <f>IF((E47)=0,"",(I47/E47))</f>
        <v>2.0061177985460463E-2</v>
      </c>
    </row>
    <row r="48" spans="1:10" ht="15.75" collapsed="1" thickBot="1" x14ac:dyDescent="0.3">
      <c r="A48" s="49"/>
      <c r="B48" s="50"/>
      <c r="C48" s="76"/>
      <c r="D48" s="95"/>
      <c r="E48" s="77"/>
      <c r="F48" s="76"/>
      <c r="G48" s="91"/>
      <c r="H48" s="77"/>
      <c r="I48" s="78"/>
      <c r="J48" s="54"/>
    </row>
    <row r="49" spans="1:10" x14ac:dyDescent="0.25">
      <c r="A49" s="55" t="s">
        <v>51</v>
      </c>
      <c r="B49" s="44"/>
      <c r="C49" s="56"/>
      <c r="D49" s="92"/>
      <c r="E49" s="57">
        <f>SUM(E37,E29:E32,E28)</f>
        <v>13906.55855552</v>
      </c>
      <c r="F49" s="58"/>
      <c r="G49" s="108"/>
      <c r="H49" s="57">
        <f>SUM(H37,H29:H32,H28)</f>
        <v>14158.792455520001</v>
      </c>
      <c r="I49" s="59">
        <f>H49-E49</f>
        <v>252.23390000000109</v>
      </c>
      <c r="J49" s="60">
        <f>IF((E49)=0,"",(I49/E49))</f>
        <v>1.8137765644389469E-2</v>
      </c>
    </row>
    <row r="50" spans="1:10" x14ac:dyDescent="0.25">
      <c r="A50" s="61" t="s">
        <v>47</v>
      </c>
      <c r="B50" s="44"/>
      <c r="C50" s="56">
        <v>0.13</v>
      </c>
      <c r="D50" s="92"/>
      <c r="E50" s="62">
        <f>E49*C50</f>
        <v>1807.8526122175999</v>
      </c>
      <c r="F50" s="56">
        <v>0.13</v>
      </c>
      <c r="G50" s="86"/>
      <c r="H50" s="62">
        <f>H49*F50</f>
        <v>1840.6430192176001</v>
      </c>
      <c r="I50" s="20">
        <f>H50-E50</f>
        <v>32.790407000000187</v>
      </c>
      <c r="J50" s="64">
        <f>IF((E50)=0,"",(I50/E50))</f>
        <v>1.8137765644389493E-2</v>
      </c>
    </row>
    <row r="51" spans="1:10" x14ac:dyDescent="0.25">
      <c r="A51" s="61" t="s">
        <v>48</v>
      </c>
      <c r="C51" s="65">
        <v>0.193</v>
      </c>
      <c r="D51" s="92"/>
      <c r="E51" s="62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65">
        <v>0.193</v>
      </c>
      <c r="G51" s="86"/>
      <c r="H51" s="62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20"/>
      <c r="J51" s="64"/>
    </row>
    <row r="52" spans="1:10" ht="15.75" thickBot="1" x14ac:dyDescent="0.3">
      <c r="A52" s="111" t="s">
        <v>51</v>
      </c>
      <c r="B52" s="111"/>
      <c r="C52" s="72"/>
      <c r="D52" s="94"/>
      <c r="E52" s="67">
        <f>SUM(E49,E50)</f>
        <v>15714.411167737599</v>
      </c>
      <c r="F52" s="73"/>
      <c r="G52" s="110"/>
      <c r="H52" s="67">
        <f>SUM(H49,H50)</f>
        <v>15999.4354747376</v>
      </c>
      <c r="I52" s="74">
        <f>H52-E52</f>
        <v>285.0243070000015</v>
      </c>
      <c r="J52" s="75">
        <f>IF((E52)=0,"",(I52/E52))</f>
        <v>1.8137765644389486E-2</v>
      </c>
    </row>
    <row r="53" spans="1:10" ht="15.75" thickBot="1" x14ac:dyDescent="0.3">
      <c r="A53" s="49"/>
      <c r="B53" s="50"/>
      <c r="C53" s="79"/>
      <c r="D53" s="95"/>
      <c r="E53" s="80"/>
      <c r="F53" s="79"/>
      <c r="G53" s="91"/>
      <c r="H53" s="80"/>
      <c r="I53" s="78"/>
      <c r="J53" s="81"/>
    </row>
    <row r="54" spans="1:10" x14ac:dyDescent="0.25">
      <c r="A54" s="2"/>
      <c r="B54" s="2"/>
      <c r="C54" s="2"/>
      <c r="D54" s="82"/>
      <c r="E54" s="2"/>
      <c r="F54" s="2"/>
      <c r="G54" s="82"/>
      <c r="H54" s="2"/>
      <c r="I54" s="2"/>
      <c r="J54" s="2"/>
    </row>
    <row r="55" spans="1:10" x14ac:dyDescent="0.25">
      <c r="A55" s="2"/>
      <c r="B55" s="2"/>
      <c r="C55" s="2"/>
      <c r="D55" s="82"/>
      <c r="E55" s="2"/>
      <c r="F55" s="2"/>
      <c r="G55" s="82"/>
      <c r="H55" s="2"/>
      <c r="I55" s="2"/>
      <c r="J55" s="2"/>
    </row>
  </sheetData>
  <mergeCells count="11">
    <mergeCell ref="I8:J8"/>
    <mergeCell ref="B9:B10"/>
    <mergeCell ref="I9:I10"/>
    <mergeCell ref="J9:J10"/>
    <mergeCell ref="A42:B42"/>
    <mergeCell ref="A47:B47"/>
    <mergeCell ref="A52:B52"/>
    <mergeCell ref="B1:G1"/>
    <mergeCell ref="B2:D2"/>
    <mergeCell ref="C8:E8"/>
    <mergeCell ref="F8:H8"/>
  </mergeCells>
  <dataValidations disablePrompts="1" count="1">
    <dataValidation type="list" allowBlank="1" showInputMessage="1" showErrorMessage="1" prompt="Select Charge Unit - monthly, per kWh, per kW" sqref="B43 B48 B53 B38" xr:uid="{00000000-0002-0000-0000-000000000000}">
      <formula1>"Monthly, per kWh, per kW"</formula1>
    </dataValidation>
  </dataValidations>
  <pageMargins left="0.7" right="0.7" top="0.75" bottom="0.75" header="0.3" footer="0.3"/>
  <pageSetup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Jessy Serrao</cp:lastModifiedBy>
  <cp:lastPrinted>2025-08-08T12:41:47Z</cp:lastPrinted>
  <dcterms:created xsi:type="dcterms:W3CDTF">2023-08-14T18:30:12Z</dcterms:created>
  <dcterms:modified xsi:type="dcterms:W3CDTF">2025-08-10T18:08:09Z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2025-08-01T13:19:11Z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833d3df6-cab2-4e7f-9964-d14d20bed040</vt:lpwstr>
  </property>
  <property fmtid="{D5CDD505-2E9C-101B-9397-08002B2CF9AE}" pid="7" name="MSIP_Label_defa4170-0d19-0005-0004-bc88714345d2_ActionId">
    <vt:lpwstr>d561e508-e645-42de-8412-1aa7f40831fc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