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J:\04 - Regulatory Affairs\NWS Application Filing 2025\Application filed 12012025\"/>
    </mc:Choice>
  </mc:AlternateContent>
  <xr:revisionPtr revIDLastSave="0" documentId="13_ncr:1_{7ED0A260-9935-4CC0-9294-A87322B4AE45}" xr6:coauthVersionLast="47" xr6:coauthVersionMax="47" xr10:uidLastSave="{00000000-0000-0000-0000-000000000000}"/>
  <bookViews>
    <workbookView xWindow="28680" yWindow="-120" windowWidth="29040" windowHeight="15720" tabRatio="818" firstSheet="1" activeTab="1" xr2:uid="{00000000-000D-0000-FFFF-FFFF00000000}"/>
  </bookViews>
  <sheets>
    <sheet name="02 Annual Values" sheetId="4" state="hidden" r:id="rId1"/>
    <sheet name="Summary" sheetId="2" r:id="rId2"/>
    <sheet name="NWS" sheetId="10" r:id="rId3"/>
    <sheet name="Benefit 1 - Unplanned Outages" sheetId="14" r:id="rId4"/>
    <sheet name="Benefit 2 - Planned Outages" sheetId="16" r:id="rId5"/>
    <sheet name="Benefit 3 - Transmission Charge" sheetId="15" r:id="rId6"/>
    <sheet name="99 LookUps" sheetId="3" state="hidden" r:id="rId7"/>
  </sheets>
  <externalReferences>
    <externalReference r:id="rId8"/>
  </externalReferences>
  <definedNames>
    <definedName name="_xlnm.Print_Area" localSheetId="2">NWS!$A$1:$I$55</definedName>
    <definedName name="_xlnm.Print_Area" localSheetId="1">Summary!$A$1:$I$47</definedName>
    <definedName name="WACC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5" l="1"/>
  <c r="E51" i="10"/>
  <c r="F51" i="10"/>
  <c r="D51" i="10"/>
  <c r="E47" i="10"/>
  <c r="F47" i="10"/>
  <c r="D47" i="10"/>
  <c r="B21" i="14"/>
  <c r="C21" i="14"/>
  <c r="O26" i="15"/>
  <c r="O28" i="15" s="1"/>
  <c r="D19" i="2" s="1"/>
  <c r="O23" i="15"/>
  <c r="O24" i="15"/>
  <c r="O25" i="15"/>
  <c r="O22" i="15"/>
  <c r="F22" i="16"/>
  <c r="D18" i="2" s="1"/>
  <c r="F20" i="16"/>
  <c r="F19" i="16"/>
  <c r="H20" i="14"/>
  <c r="H19" i="14"/>
  <c r="F21" i="16"/>
  <c r="N28" i="15" l="1"/>
  <c r="F19" i="14"/>
  <c r="G19" i="14"/>
  <c r="F20" i="14"/>
  <c r="G20" i="14"/>
  <c r="F21" i="14"/>
  <c r="F22" i="14"/>
  <c r="B7" i="15" l="1"/>
  <c r="L6" i="15"/>
  <c r="B6" i="15"/>
  <c r="L5" i="15"/>
  <c r="K5" i="15"/>
  <c r="J5" i="15"/>
  <c r="M5" i="15" s="1"/>
  <c r="N5" i="15" s="1"/>
  <c r="L4" i="15"/>
  <c r="K4" i="15"/>
  <c r="J4" i="15"/>
  <c r="M4" i="15" s="1"/>
  <c r="N4" i="15" s="1"/>
  <c r="L3" i="15"/>
  <c r="L7" i="15" s="1"/>
  <c r="J3" i="15"/>
  <c r="B7" i="16"/>
  <c r="D6" i="16"/>
  <c r="C6" i="16"/>
  <c r="B6" i="16"/>
  <c r="B7" i="14"/>
  <c r="B8" i="14" s="1"/>
  <c r="D6" i="14"/>
  <c r="C6" i="14"/>
  <c r="B6" i="14"/>
  <c r="M3" i="15" l="1"/>
  <c r="N3" i="15" s="1"/>
  <c r="K25" i="15"/>
  <c r="J25" i="15"/>
  <c r="K24" i="15"/>
  <c r="J24" i="15"/>
  <c r="K23" i="15"/>
  <c r="J23" i="15"/>
  <c r="K22" i="15"/>
  <c r="K26" i="15" s="1"/>
  <c r="J22" i="15"/>
  <c r="K16" i="15"/>
  <c r="J16" i="15"/>
  <c r="K15" i="15"/>
  <c r="J15" i="15"/>
  <c r="K14" i="15"/>
  <c r="J14" i="15"/>
  <c r="K13" i="15"/>
  <c r="K17" i="15" s="1"/>
  <c r="J13" i="15"/>
  <c r="K6" i="15"/>
  <c r="K7" i="15" s="1"/>
  <c r="J6" i="15"/>
  <c r="L25" i="15"/>
  <c r="L24" i="15"/>
  <c r="L23" i="15"/>
  <c r="L22" i="15"/>
  <c r="L26" i="15" s="1"/>
  <c r="L16" i="15"/>
  <c r="L15" i="15"/>
  <c r="L14" i="15"/>
  <c r="L13" i="15"/>
  <c r="L17" i="15" s="1"/>
  <c r="B9" i="16"/>
  <c r="B8" i="16"/>
  <c r="B19" i="16" s="1"/>
  <c r="C7" i="16"/>
  <c r="B9" i="14"/>
  <c r="B19" i="14"/>
  <c r="C7" i="14"/>
  <c r="C8" i="14" s="1"/>
  <c r="B22" i="16" l="1"/>
  <c r="M6" i="15"/>
  <c r="N6" i="15" s="1"/>
  <c r="J7" i="15"/>
  <c r="M7" i="15" s="1"/>
  <c r="N7" i="15" s="1"/>
  <c r="J17" i="15"/>
  <c r="M17" i="15" s="1"/>
  <c r="N17" i="15" s="1"/>
  <c r="M13" i="15"/>
  <c r="N13" i="15" s="1"/>
  <c r="M14" i="15"/>
  <c r="N14" i="15" s="1"/>
  <c r="M15" i="15"/>
  <c r="N15" i="15" s="1"/>
  <c r="M16" i="15"/>
  <c r="N16" i="15" s="1"/>
  <c r="J26" i="15"/>
  <c r="M26" i="15" s="1"/>
  <c r="N26" i="15" s="1"/>
  <c r="M22" i="15"/>
  <c r="N22" i="15" s="1"/>
  <c r="M23" i="15"/>
  <c r="N23" i="15" s="1"/>
  <c r="M24" i="15"/>
  <c r="N24" i="15" s="1"/>
  <c r="M25" i="15"/>
  <c r="N25" i="15" s="1"/>
  <c r="C8" i="16"/>
  <c r="B20" i="16" s="1"/>
  <c r="D7" i="16"/>
  <c r="D8" i="16" s="1"/>
  <c r="B21" i="16" s="1"/>
  <c r="B10" i="16"/>
  <c r="C19" i="16" s="1"/>
  <c r="C9" i="16"/>
  <c r="B20" i="14"/>
  <c r="D7" i="14"/>
  <c r="B10" i="14"/>
  <c r="C19" i="14" s="1"/>
  <c r="D19" i="14" s="1"/>
  <c r="C9" i="14"/>
  <c r="D19" i="16" l="1"/>
  <c r="D8" i="14"/>
  <c r="C10" i="16"/>
  <c r="C20" i="16" s="1"/>
  <c r="C22" i="16" s="1"/>
  <c r="D9" i="16"/>
  <c r="D10" i="16" s="1"/>
  <c r="C21" i="16" s="1"/>
  <c r="D21" i="16" s="1"/>
  <c r="E21" i="16" s="1"/>
  <c r="C10" i="14"/>
  <c r="C20" i="14" s="1"/>
  <c r="D20" i="14" s="1"/>
  <c r="E20" i="14" s="1"/>
  <c r="D9" i="14"/>
  <c r="D10" i="14" s="1"/>
  <c r="C22" i="14"/>
  <c r="D20" i="16" l="1"/>
  <c r="E20" i="16" s="1"/>
  <c r="E19" i="16"/>
  <c r="D22" i="16"/>
  <c r="B22" i="14"/>
  <c r="D21" i="14"/>
  <c r="E21" i="14" s="1"/>
  <c r="G21" i="14" s="1"/>
  <c r="D22" i="14"/>
  <c r="E19" i="14"/>
  <c r="H21" i="14" l="1"/>
  <c r="H22" i="14" s="1"/>
  <c r="D17" i="2" s="1"/>
  <c r="G22" i="14"/>
  <c r="E22" i="16"/>
  <c r="E22" i="14"/>
  <c r="C11" i="10"/>
  <c r="E23" i="10" l="1"/>
  <c r="F23" i="10" s="1"/>
  <c r="G23" i="10" s="1"/>
  <c r="H23" i="10" s="1"/>
  <c r="I23" i="10" s="1"/>
  <c r="E22" i="10"/>
  <c r="F22" i="10" s="1"/>
  <c r="G22" i="10" s="1"/>
  <c r="H22" i="10" s="1"/>
  <c r="I22" i="10" s="1"/>
  <c r="C8" i="10"/>
  <c r="D22" i="2" l="1"/>
  <c r="E5" i="4" l="1"/>
  <c r="D5" i="4"/>
  <c r="C5" i="4"/>
  <c r="D25" i="10" l="1"/>
  <c r="D28" i="10" l="1"/>
  <c r="D29" i="10" l="1"/>
  <c r="D38" i="10"/>
  <c r="D39" i="10" s="1"/>
  <c r="D40" i="10" s="1"/>
  <c r="E38" i="10" s="1"/>
  <c r="E39" i="10" s="1"/>
  <c r="E40" i="10" s="1"/>
  <c r="F38" i="10" s="1"/>
  <c r="F39" i="10" s="1"/>
  <c r="F40" i="10" s="1"/>
  <c r="G38" i="10" s="1"/>
  <c r="G39" i="10" s="1"/>
  <c r="G40" i="10" s="1"/>
  <c r="H38" i="10" s="1"/>
  <c r="H39" i="10" s="1"/>
  <c r="H40" i="10" s="1"/>
  <c r="I38" i="10" s="1"/>
  <c r="I39" i="10" s="1"/>
  <c r="I40" i="10" s="1"/>
  <c r="D30" i="10"/>
  <c r="E28" i="10" s="1"/>
  <c r="D32" i="10"/>
  <c r="D35" i="10" l="1"/>
  <c r="D36" i="10"/>
  <c r="D34" i="10"/>
  <c r="D26" i="10"/>
  <c r="E29" i="10" s="1"/>
  <c r="E34" i="10" s="1"/>
  <c r="E26" i="10" l="1"/>
  <c r="F29" i="10" s="1"/>
  <c r="F34" i="10" s="1"/>
  <c r="E30" i="10"/>
  <c r="D42" i="10"/>
  <c r="D43" i="10" s="1"/>
  <c r="D45" i="10" s="1"/>
  <c r="F26" i="10" l="1"/>
  <c r="G29" i="10" s="1"/>
  <c r="G34" i="10" s="1"/>
  <c r="F28" i="10"/>
  <c r="E32" i="10"/>
  <c r="D49" i="10"/>
  <c r="D53" i="10" s="1"/>
  <c r="G26" i="10"/>
  <c r="H29" i="10" s="1"/>
  <c r="E35" i="10" l="1"/>
  <c r="E36" i="10"/>
  <c r="E42" i="10" s="1"/>
  <c r="E43" i="10" s="1"/>
  <c r="E45" i="10" s="1"/>
  <c r="E49" i="10" s="1"/>
  <c r="E53" i="10" s="1"/>
  <c r="F30" i="10"/>
  <c r="G28" i="10" s="1"/>
  <c r="H26" i="10"/>
  <c r="I29" i="10" s="1"/>
  <c r="I26" i="10" s="1"/>
  <c r="H34" i="10"/>
  <c r="I34" i="10" l="1"/>
  <c r="F32" i="10"/>
  <c r="G30" i="10"/>
  <c r="H28" i="10" s="1"/>
  <c r="G32" i="10"/>
  <c r="F36" i="10" l="1"/>
  <c r="F42" i="10" s="1"/>
  <c r="F43" i="10" s="1"/>
  <c r="F35" i="10"/>
  <c r="F45" i="10" s="1"/>
  <c r="F49" i="10" s="1"/>
  <c r="F53" i="10" s="1"/>
  <c r="G35" i="10"/>
  <c r="G36" i="10"/>
  <c r="G42" i="10" s="1"/>
  <c r="G43" i="10" s="1"/>
  <c r="G45" i="10" s="1"/>
  <c r="G49" i="10" s="1"/>
  <c r="G53" i="10" s="1"/>
  <c r="H30" i="10"/>
  <c r="I28" i="10" s="1"/>
  <c r="H32" i="10" l="1"/>
  <c r="H36" i="10"/>
  <c r="H42" i="10" s="1"/>
  <c r="H43" i="10" s="1"/>
  <c r="H35" i="10"/>
  <c r="I30" i="10"/>
  <c r="I32" i="10" s="1"/>
  <c r="I36" i="10" l="1"/>
  <c r="I42" i="10" s="1"/>
  <c r="I43" i="10" s="1"/>
  <c r="I35" i="10"/>
  <c r="H45" i="10"/>
  <c r="H49" i="10" s="1"/>
  <c r="H53" i="10" s="1"/>
  <c r="I45" i="10" l="1"/>
  <c r="I49" i="10" s="1"/>
  <c r="I53" i="10" s="1"/>
  <c r="C55" i="10" s="1"/>
  <c r="D27" i="2" l="1"/>
  <c r="D30" i="2" l="1"/>
  <c r="C30" i="2"/>
</calcChain>
</file>

<file path=xl/sharedStrings.xml><?xml version="1.0" encoding="utf-8"?>
<sst xmlns="http://schemas.openxmlformats.org/spreadsheetml/2006/main" count="254" uniqueCount="153">
  <si>
    <t>Use only such rows as are required. Insert additional columns as required.</t>
  </si>
  <si>
    <t>Distribution Service Benefits</t>
  </si>
  <si>
    <t>Distribution Service Costs</t>
  </si>
  <si>
    <t>Energy System Benefits</t>
  </si>
  <si>
    <t>Energy System Costs</t>
  </si>
  <si>
    <t>Calendar Year</t>
  </si>
  <si>
    <t>Benefit 4 [replace name]</t>
  </si>
  <si>
    <t>Benefit 5 [replace name]</t>
  </si>
  <si>
    <t>Benefit 6 [replace name]</t>
  </si>
  <si>
    <t>Cost 1
[replace name]</t>
  </si>
  <si>
    <t>Cost 2
[replace name]</t>
  </si>
  <si>
    <t>Cost 3
[replace name]</t>
  </si>
  <si>
    <t>Cost 4
[replace name]</t>
  </si>
  <si>
    <t>Cost 5
[replace name]</t>
  </si>
  <si>
    <t>Cost 6
[replace name]</t>
  </si>
  <si>
    <t>Benefit 1 [replace name]</t>
  </si>
  <si>
    <t>Benefit 2 [replace name]</t>
  </si>
  <si>
    <t>Benefit 3 [replace name]</t>
  </si>
  <si>
    <t>General Information</t>
  </si>
  <si>
    <t>Electricity Distributor Name</t>
  </si>
  <si>
    <t>Grandbridge Energy Inc.</t>
  </si>
  <si>
    <t>Project or Program Name</t>
  </si>
  <si>
    <t>2026 Capacity Auction</t>
  </si>
  <si>
    <t>Description of NWS(s) (&lt;150 words)</t>
  </si>
  <si>
    <t>Year for Net Present Value</t>
  </si>
  <si>
    <t>Constant Dollar Year (i.e., nominal values deflated to this year)</t>
  </si>
  <si>
    <t>Distribution Service Test</t>
  </si>
  <si>
    <t>DST Benefits</t>
  </si>
  <si>
    <t>(Add more rows as required)</t>
  </si>
  <si>
    <t>Benefit</t>
  </si>
  <si>
    <t>Benefit Type</t>
  </si>
  <si>
    <t>NPV</t>
  </si>
  <si>
    <t>Avoided Unplanned Outages (Probability Weighted)</t>
  </si>
  <si>
    <t>Reliability (Net Avoided Outage Costs)</t>
  </si>
  <si>
    <t>Avoided Planned Outages</t>
  </si>
  <si>
    <t>Avoided Transmission Charges</t>
  </si>
  <si>
    <t>Other</t>
  </si>
  <si>
    <t>Total DST Benefit</t>
  </si>
  <si>
    <t>DST Costs</t>
  </si>
  <si>
    <t>Cost</t>
  </si>
  <si>
    <t>Cost Type</t>
  </si>
  <si>
    <t>NWS Capacity Auction</t>
  </si>
  <si>
    <t>DER Acquisition Cost</t>
  </si>
  <si>
    <t>Total DST Cost</t>
  </si>
  <si>
    <t>NPV Net DST Benefit</t>
  </si>
  <si>
    <t>DST Ratio</t>
  </si>
  <si>
    <t>Energy System Test</t>
  </si>
  <si>
    <t>EST Benefits</t>
  </si>
  <si>
    <t>Total EST Benefit</t>
  </si>
  <si>
    <t>EST Costs</t>
  </si>
  <si>
    <t>Total EST Cost</t>
  </si>
  <si>
    <t>NPV Net EST Benefit</t>
  </si>
  <si>
    <t>Calc 1</t>
  </si>
  <si>
    <t>Calc 2</t>
  </si>
  <si>
    <t>Key Parameters</t>
  </si>
  <si>
    <t>ROE</t>
  </si>
  <si>
    <t>Equity Share</t>
  </si>
  <si>
    <t>Interest</t>
  </si>
  <si>
    <t>Debt Share</t>
  </si>
  <si>
    <t>EUL</t>
  </si>
  <si>
    <t>Depreciation Rate</t>
  </si>
  <si>
    <t>CCA (Class 10) rate</t>
  </si>
  <si>
    <t>Societal Discount Rate</t>
  </si>
  <si>
    <t>Inflation</t>
  </si>
  <si>
    <t>Combined Tax Rate</t>
  </si>
  <si>
    <t>Capital Detail</t>
  </si>
  <si>
    <t>2026 Capital Investment</t>
  </si>
  <si>
    <t>2025 Capital Deferred</t>
  </si>
  <si>
    <t>2025 Capital Avoided</t>
  </si>
  <si>
    <t>Year</t>
  </si>
  <si>
    <t>CAPEX / ISA</t>
  </si>
  <si>
    <t>Net Asset Balance</t>
  </si>
  <si>
    <t>Opening PPE</t>
  </si>
  <si>
    <t>Depreciation</t>
  </si>
  <si>
    <t>Closing PPE</t>
  </si>
  <si>
    <t>Average PPE</t>
  </si>
  <si>
    <t>Depreciation Expense</t>
  </si>
  <si>
    <t>UCC Open</t>
  </si>
  <si>
    <t>CCA (Class 47 @ 8%)</t>
  </si>
  <si>
    <t>UCC Close</t>
  </si>
  <si>
    <t>Taxable Earnings</t>
  </si>
  <si>
    <t>Grossed-Up PILS</t>
  </si>
  <si>
    <t>Capital Related Revenue Requirement</t>
  </si>
  <si>
    <t>OM&amp;A</t>
  </si>
  <si>
    <t>Revenue Requirement</t>
  </si>
  <si>
    <t>NRCan Funding Offset</t>
  </si>
  <si>
    <t>Revenue Requirement for Distribution Rates</t>
  </si>
  <si>
    <t>NPV Cost of Revenue Requirement</t>
  </si>
  <si>
    <t>Inputs</t>
  </si>
  <si>
    <t>NWS Capacity</t>
  </si>
  <si>
    <t>Hours of Activation</t>
  </si>
  <si>
    <t>Number of Activations</t>
  </si>
  <si>
    <t>Total Hours of Activation</t>
  </si>
  <si>
    <t>Residential Load Portion</t>
  </si>
  <si>
    <t>Residential Load</t>
  </si>
  <si>
    <t>Commercial/Industrial Load Portion</t>
  </si>
  <si>
    <t>Commercial/Industrial Load</t>
  </si>
  <si>
    <t>VOLL Residential</t>
  </si>
  <si>
    <t>VOLL Commercial/Industrial</t>
  </si>
  <si>
    <t>Total kW (all Stations)</t>
  </si>
  <si>
    <t>Residential</t>
  </si>
  <si>
    <t>Commercial</t>
  </si>
  <si>
    <t>Industrial</t>
  </si>
  <si>
    <t>Benefit 1 - Avoided Unplanned Outages (VOLL)</t>
  </si>
  <si>
    <t>Commercial/
Industrial</t>
  </si>
  <si>
    <t>Total</t>
  </si>
  <si>
    <t>Present Value of Benefits</t>
  </si>
  <si>
    <t>Probability Weighting</t>
  </si>
  <si>
    <t>Probability Weighted PV of Benefits</t>
  </si>
  <si>
    <t>50% Discount in 2028 only</t>
  </si>
  <si>
    <t>Benefit 2 - Avoided Planned Outages (VOLL)</t>
  </si>
  <si>
    <t>Benefit 3 - Avoided Transmission Charges</t>
  </si>
  <si>
    <t>2026 (Peak Reductions in MW)</t>
  </si>
  <si>
    <t>2026 ($ Savings in Transmission Charges)</t>
  </si>
  <si>
    <t>Preston</t>
  </si>
  <si>
    <t>Galt</t>
  </si>
  <si>
    <t>MTS1</t>
  </si>
  <si>
    <t>Present Value</t>
  </si>
  <si>
    <t>Network Service Rate</t>
  </si>
  <si>
    <t>per kW</t>
  </si>
  <si>
    <t>Jun</t>
  </si>
  <si>
    <t>Line Connection Service Rate</t>
  </si>
  <si>
    <t>Jul</t>
  </si>
  <si>
    <t>Transformation Connection Service Rate</t>
  </si>
  <si>
    <t>Aug</t>
  </si>
  <si>
    <t>TOTAL: Preston TS and Galt TS Only</t>
  </si>
  <si>
    <t>Sep</t>
  </si>
  <si>
    <r>
      <rPr>
        <b/>
        <sz val="11"/>
        <color rgb="FF000000"/>
        <rFont val="Calibri"/>
        <family val="2"/>
        <scheme val="minor"/>
      </rPr>
      <t xml:space="preserve">TOTAL: MTS#1 </t>
    </r>
    <r>
      <rPr>
        <sz val="8"/>
        <color rgb="FF000000"/>
        <rFont val="Calibri"/>
        <family val="2"/>
        <scheme val="minor"/>
      </rPr>
      <t>(no transformation charge at GBE owned MTS#1)</t>
    </r>
  </si>
  <si>
    <t>2025 Uniform Transmission Rates</t>
  </si>
  <si>
    <t>2027 (Peak Reductions in MW)</t>
  </si>
  <si>
    <t>2027 ($ Savings in Transmission Charges)</t>
  </si>
  <si>
    <t>2028 (Peak Reductions in MW)</t>
  </si>
  <si>
    <t>2028 ($ Savings in Transmission Charges)</t>
  </si>
  <si>
    <t>Total: PV of Avoided Transmission Charges</t>
  </si>
  <si>
    <t>DST Benefit Types</t>
  </si>
  <si>
    <t>Distribution Capacity (Deferral or Avoidance Benefit)</t>
  </si>
  <si>
    <t>Resilience (Critical Load Benefits)</t>
  </si>
  <si>
    <t>Innovation &amp; Market</t>
  </si>
  <si>
    <t>Transformation</t>
  </si>
  <si>
    <t>Planning Value</t>
  </si>
  <si>
    <t>DST Cost Types</t>
  </si>
  <si>
    <t>DER Operations, Maintenance, and Administrative (OM&amp;A) Costs</t>
  </si>
  <si>
    <t>Distribution System Ancillary Services Costs</t>
  </si>
  <si>
    <t>Risks (Distribution System)</t>
  </si>
  <si>
    <t>EST Benefit Types</t>
  </si>
  <si>
    <t>Transmission Capacity</t>
  </si>
  <si>
    <t>Avoided Energy Costs</t>
  </si>
  <si>
    <t>Avoided Generation Capacity Costs</t>
  </si>
  <si>
    <t>Innovation &amp; Market Transformation</t>
  </si>
  <si>
    <t>EST Cost Types</t>
  </si>
  <si>
    <t>DER (OM&amp;A) Costs</t>
  </si>
  <si>
    <t>Energy System Ancillary Costs</t>
  </si>
  <si>
    <t>Risks (Energy System)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</si>
</sst>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;[Red]\-&quot;$&quot;#,##0"/>
    <numFmt numFmtId="165" formatCode="&quot;$&quot;#,##0.00;[Red]\-&quot;$&quot;#,##0.00"/>
    <numFmt numFmtId="166" formatCode="_-* #,##0.00_-;\-* #,##0.00_-;_-* &quot;-&quot;??_-;_-@_-"/>
    <numFmt numFmtId="167" formatCode="&quot;$&quot;#,##0"/>
    <numFmt numFmtId="168" formatCode="0.0%"/>
    <numFmt numFmtId="169" formatCode="_-&quot;$&quot;* #,##0_-;\-&quot;$&quot;* #,##0_-;_-&quot;$&quot;* &quot;-&quot;??_-;_-@_-"/>
    <numFmt numFmtId="170" formatCode="_(&quot;$&quot;* #,##0_);_(&quot;$&quot;* \(#,##0\);_(&quot;$&quot;* &quot;-&quot;??_);_(@_)"/>
    <numFmt numFmtId="171" formatCode="_(* #,##0_);_(* \(#,##0\);_(* &quot;-&quot;??_);_(@_)"/>
    <numFmt numFmtId="172" formatCode="_(* #,##0_);_(* \(#,##0\);_(* &quot;-&quot;?_);_(@_)"/>
    <numFmt numFmtId="173" formatCode="_(&quot;$&quot;* #,##0.0_);_(&quot;$&quot;* \(#,##0.0\);_(&quot;$&quot;* &quot;-&quot;??_);_(@_)"/>
    <numFmt numFmtId="174" formatCode="_(&quot;$&quot;* #,##0.0_);_(&quot;$&quot;* \(#,##0.0\);_(&quot;$&quot;* &quot;-&quot;?_);_(@_)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name val="Arial"/>
      <family val="2"/>
    </font>
    <font>
      <b/>
      <sz val="10"/>
      <color rgb="FFFFFFFF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i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  <font>
      <b/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Times New Roman"/>
      <family val="1"/>
    </font>
    <font>
      <i/>
      <sz val="9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color theme="0"/>
      <name val="Calibri"/>
      <family val="2"/>
      <scheme val="minor"/>
    </font>
    <font>
      <b/>
      <sz val="11"/>
      <color theme="0"/>
      <name val="Aptos Narrow"/>
      <family val="2"/>
    </font>
    <font>
      <b/>
      <sz val="11"/>
      <color theme="1"/>
      <name val="Aptos Narrow"/>
      <family val="2"/>
    </font>
    <font>
      <b/>
      <sz val="11"/>
      <color theme="0" tint="-0.24997711111789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C4E5F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4472C4"/>
      </top>
      <bottom style="medium">
        <color rgb="FF4472C4"/>
      </bottom>
      <diagonal/>
    </border>
    <border>
      <left style="medium">
        <color rgb="FF4472C4"/>
      </left>
      <right style="medium">
        <color rgb="FF4472C4"/>
      </right>
      <top style="medium">
        <color rgb="FF4472C4"/>
      </top>
      <bottom style="medium">
        <color rgb="FF4472C4"/>
      </bottom>
      <diagonal/>
    </border>
    <border>
      <left style="medium">
        <color rgb="FF4472C4"/>
      </left>
      <right style="medium">
        <color rgb="FF4472C4"/>
      </right>
      <top style="medium">
        <color rgb="FF4472C4"/>
      </top>
      <bottom/>
      <diagonal/>
    </border>
    <border>
      <left style="medium">
        <color rgb="FF4472C4"/>
      </left>
      <right style="medium">
        <color rgb="FF4472C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1576AB"/>
      </left>
      <right style="thin">
        <color rgb="FF1576AB"/>
      </right>
      <top style="thin">
        <color rgb="FF1576AB"/>
      </top>
      <bottom/>
      <diagonal/>
    </border>
    <border>
      <left style="thin">
        <color rgb="FF1576AB"/>
      </left>
      <right style="thin">
        <color rgb="FF1576AB"/>
      </right>
      <top/>
      <bottom/>
      <diagonal/>
    </border>
    <border>
      <left style="thin">
        <color rgb="FF1576AB"/>
      </left>
      <right style="thin">
        <color rgb="FF1576AB"/>
      </right>
      <top/>
      <bottom style="thin">
        <color rgb="FF1576AB"/>
      </bottom>
      <diagonal/>
    </border>
    <border>
      <left style="medium">
        <color rgb="FF4472C4"/>
      </left>
      <right style="medium">
        <color rgb="FF4472C4"/>
      </right>
      <top style="medium">
        <color rgb="FF4472C4"/>
      </top>
      <bottom style="thin">
        <color rgb="FF1576AB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472C4"/>
      </left>
      <right style="medium">
        <color rgb="FF4472C4"/>
      </right>
      <top style="medium">
        <color rgb="FF4472C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4472C4"/>
      </right>
      <top style="medium">
        <color rgb="FF4472C4"/>
      </top>
      <bottom style="medium">
        <color theme="0"/>
      </bottom>
      <diagonal/>
    </border>
    <border>
      <left style="medium">
        <color rgb="FF4472C4"/>
      </left>
      <right style="medium">
        <color indexed="64"/>
      </right>
      <top style="medium">
        <color rgb="FF4472C4"/>
      </top>
      <bottom style="medium">
        <color rgb="FF4472C4"/>
      </bottom>
      <diagonal/>
    </border>
    <border>
      <left style="medium">
        <color indexed="64"/>
      </left>
      <right style="medium">
        <color rgb="FF4472C4"/>
      </right>
      <top/>
      <bottom/>
      <diagonal/>
    </border>
    <border>
      <left style="medium">
        <color indexed="64"/>
      </left>
      <right style="medium">
        <color rgb="FF4472C4"/>
      </right>
      <top style="medium">
        <color theme="0"/>
      </top>
      <bottom style="medium">
        <color rgb="FF4472C4"/>
      </bottom>
      <diagonal/>
    </border>
    <border>
      <left style="medium">
        <color indexed="64"/>
      </left>
      <right style="medium">
        <color rgb="FF4472C4"/>
      </right>
      <top style="medium">
        <color theme="0"/>
      </top>
      <bottom style="medium">
        <color indexed="64"/>
      </bottom>
      <diagonal/>
    </border>
    <border>
      <left style="medium">
        <color rgb="FF4472C4"/>
      </left>
      <right style="medium">
        <color indexed="64"/>
      </right>
      <top style="medium">
        <color rgb="FF4472C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4472C4"/>
      </right>
      <top style="medium">
        <color rgb="FF4472C4"/>
      </top>
      <bottom style="medium">
        <color rgb="FF4472C4"/>
      </bottom>
      <diagonal/>
    </border>
    <border>
      <left style="medium">
        <color indexed="64"/>
      </left>
      <right/>
      <top style="medium">
        <color rgb="FF4472C4"/>
      </top>
      <bottom style="medium">
        <color rgb="FF4472C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rgb="FF4472C4"/>
      </right>
      <top style="medium">
        <color rgb="FF4472C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5">
    <xf numFmtId="0" fontId="0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177">
    <xf numFmtId="0" fontId="0" fillId="0" borderId="0" xfId="0"/>
    <xf numFmtId="0" fontId="0" fillId="2" borderId="0" xfId="0" applyFill="1"/>
    <xf numFmtId="0" fontId="0" fillId="2" borderId="8" xfId="0" applyFill="1" applyBorder="1"/>
    <xf numFmtId="0" fontId="0" fillId="2" borderId="9" xfId="0" applyFill="1" applyBorder="1"/>
    <xf numFmtId="0" fontId="1" fillId="2" borderId="6" xfId="0" applyFont="1" applyFill="1" applyBorder="1"/>
    <xf numFmtId="0" fontId="0" fillId="2" borderId="7" xfId="0" applyFill="1" applyBorder="1"/>
    <xf numFmtId="0" fontId="2" fillId="2" borderId="0" xfId="0" applyFont="1" applyFill="1"/>
    <xf numFmtId="0" fontId="2" fillId="2" borderId="1" xfId="0" applyFont="1" applyFill="1" applyBorder="1"/>
    <xf numFmtId="0" fontId="5" fillId="0" borderId="3" xfId="0" applyFont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0" fontId="7" fillId="2" borderId="0" xfId="0" applyFont="1" applyFill="1"/>
    <xf numFmtId="0" fontId="5" fillId="4" borderId="3" xfId="0" applyFont="1" applyFill="1" applyBorder="1" applyAlignment="1">
      <alignment vertical="center" wrapText="1"/>
    </xf>
    <xf numFmtId="0" fontId="2" fillId="2" borderId="2" xfId="0" applyFont="1" applyFill="1" applyBorder="1"/>
    <xf numFmtId="0" fontId="2" fillId="2" borderId="3" xfId="0" applyFont="1" applyFill="1" applyBorder="1"/>
    <xf numFmtId="0" fontId="4" fillId="3" borderId="3" xfId="0" applyFont="1" applyFill="1" applyBorder="1" applyAlignment="1">
      <alignment vertical="center" wrapText="1"/>
    </xf>
    <xf numFmtId="0" fontId="10" fillId="2" borderId="0" xfId="0" applyFont="1" applyFill="1" applyAlignment="1">
      <alignment vertical="center"/>
    </xf>
    <xf numFmtId="0" fontId="4" fillId="3" borderId="4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vertical="center" wrapText="1"/>
    </xf>
    <xf numFmtId="0" fontId="11" fillId="2" borderId="10" xfId="0" applyFont="1" applyFill="1" applyBorder="1" applyAlignment="1">
      <alignment vertical="center" wrapText="1"/>
    </xf>
    <xf numFmtId="167" fontId="11" fillId="2" borderId="10" xfId="0" applyNumberFormat="1" applyFont="1" applyFill="1" applyBorder="1" applyAlignment="1">
      <alignment vertical="center" wrapText="1"/>
    </xf>
    <xf numFmtId="0" fontId="11" fillId="2" borderId="11" xfId="0" applyFont="1" applyFill="1" applyBorder="1" applyAlignment="1">
      <alignment vertical="center" wrapText="1"/>
    </xf>
    <xf numFmtId="167" fontId="11" fillId="2" borderId="11" xfId="0" applyNumberFormat="1" applyFont="1" applyFill="1" applyBorder="1" applyAlignment="1">
      <alignment vertical="center" wrapText="1"/>
    </xf>
    <xf numFmtId="0" fontId="11" fillId="2" borderId="12" xfId="0" applyFont="1" applyFill="1" applyBorder="1" applyAlignment="1">
      <alignment vertical="center" wrapText="1"/>
    </xf>
    <xf numFmtId="167" fontId="11" fillId="2" borderId="12" xfId="0" applyNumberFormat="1" applyFont="1" applyFill="1" applyBorder="1" applyAlignment="1">
      <alignment vertical="center" wrapText="1"/>
    </xf>
    <xf numFmtId="0" fontId="0" fillId="5" borderId="0" xfId="0" applyFill="1"/>
    <xf numFmtId="0" fontId="0" fillId="6" borderId="0" xfId="0" applyFill="1"/>
    <xf numFmtId="0" fontId="1" fillId="0" borderId="14" xfId="0" applyFont="1" applyBorder="1"/>
    <xf numFmtId="0" fontId="0" fillId="0" borderId="14" xfId="0" applyBorder="1"/>
    <xf numFmtId="1" fontId="0" fillId="0" borderId="0" xfId="0" applyNumberFormat="1"/>
    <xf numFmtId="0" fontId="0" fillId="0" borderId="1" xfId="0" applyBorder="1"/>
    <xf numFmtId="168" fontId="0" fillId="0" borderId="1" xfId="1" applyNumberFormat="1" applyFont="1" applyBorder="1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5" xfId="0" applyBorder="1"/>
    <xf numFmtId="0" fontId="1" fillId="0" borderId="15" xfId="0" applyFont="1" applyBorder="1" applyAlignment="1">
      <alignment horizontal="center"/>
    </xf>
    <xf numFmtId="170" fontId="0" fillId="0" borderId="0" xfId="2" applyNumberFormat="1" applyFont="1"/>
    <xf numFmtId="170" fontId="0" fillId="5" borderId="0" xfId="2" applyNumberFormat="1" applyFont="1" applyFill="1"/>
    <xf numFmtId="170" fontId="13" fillId="6" borderId="0" xfId="2" applyNumberFormat="1" applyFont="1" applyFill="1"/>
    <xf numFmtId="169" fontId="0" fillId="0" borderId="0" xfId="2" applyNumberFormat="1" applyFont="1"/>
    <xf numFmtId="170" fontId="0" fillId="0" borderId="0" xfId="2" applyNumberFormat="1" applyFont="1" applyFill="1" applyBorder="1"/>
    <xf numFmtId="170" fontId="0" fillId="6" borderId="0" xfId="2" applyNumberFormat="1" applyFont="1" applyFill="1"/>
    <xf numFmtId="168" fontId="0" fillId="0" borderId="0" xfId="0" applyNumberFormat="1"/>
    <xf numFmtId="0" fontId="1" fillId="0" borderId="0" xfId="0" applyFont="1" applyAlignment="1">
      <alignment horizontal="right"/>
    </xf>
    <xf numFmtId="170" fontId="1" fillId="0" borderId="0" xfId="2" applyNumberFormat="1" applyFont="1"/>
    <xf numFmtId="0" fontId="1" fillId="0" borderId="0" xfId="0" applyFont="1"/>
    <xf numFmtId="170" fontId="0" fillId="0" borderId="0" xfId="0" applyNumberFormat="1"/>
    <xf numFmtId="164" fontId="0" fillId="0" borderId="0" xfId="0" applyNumberFormat="1"/>
    <xf numFmtId="8" fontId="0" fillId="0" borderId="0" xfId="0" applyNumberFormat="1"/>
    <xf numFmtId="165" fontId="0" fillId="0" borderId="0" xfId="0" applyNumberFormat="1"/>
    <xf numFmtId="9" fontId="0" fillId="0" borderId="0" xfId="1" applyFont="1"/>
    <xf numFmtId="164" fontId="5" fillId="0" borderId="3" xfId="0" applyNumberFormat="1" applyFont="1" applyBorder="1" applyAlignment="1">
      <alignment vertical="center" wrapText="1"/>
    </xf>
    <xf numFmtId="164" fontId="5" fillId="4" borderId="3" xfId="0" applyNumberFormat="1" applyFont="1" applyFill="1" applyBorder="1" applyAlignment="1">
      <alignment vertical="center" wrapText="1"/>
    </xf>
    <xf numFmtId="164" fontId="2" fillId="2" borderId="3" xfId="0" applyNumberFormat="1" applyFont="1" applyFill="1" applyBorder="1"/>
    <xf numFmtId="2" fontId="5" fillId="0" borderId="3" xfId="0" applyNumberFormat="1" applyFont="1" applyBorder="1" applyAlignment="1">
      <alignment vertical="center" wrapText="1"/>
    </xf>
    <xf numFmtId="10" fontId="0" fillId="0" borderId="0" xfId="1" applyNumberFormat="1" applyFont="1"/>
    <xf numFmtId="168" fontId="0" fillId="0" borderId="0" xfId="1" applyNumberFormat="1" applyFont="1" applyAlignment="1">
      <alignment horizontal="right"/>
    </xf>
    <xf numFmtId="168" fontId="0" fillId="0" borderId="0" xfId="1" applyNumberFormat="1" applyFont="1"/>
    <xf numFmtId="10" fontId="1" fillId="0" borderId="14" xfId="1" applyNumberFormat="1" applyFont="1" applyBorder="1"/>
    <xf numFmtId="169" fontId="0" fillId="0" borderId="1" xfId="2" applyNumberFormat="1" applyFont="1" applyBorder="1"/>
    <xf numFmtId="0" fontId="0" fillId="0" borderId="0" xfId="2" applyNumberFormat="1" applyFont="1" applyAlignment="1">
      <alignment horizontal="center"/>
    </xf>
    <xf numFmtId="170" fontId="0" fillId="0" borderId="6" xfId="2" applyNumberFormat="1" applyFont="1" applyBorder="1"/>
    <xf numFmtId="170" fontId="12" fillId="0" borderId="0" xfId="2" applyNumberFormat="1" applyFont="1"/>
    <xf numFmtId="164" fontId="0" fillId="0" borderId="0" xfId="0" applyNumberFormat="1" applyAlignment="1">
      <alignment horizontal="center"/>
    </xf>
    <xf numFmtId="0" fontId="1" fillId="7" borderId="0" xfId="0" applyFont="1" applyFill="1" applyAlignment="1">
      <alignment horizontal="right"/>
    </xf>
    <xf numFmtId="164" fontId="1" fillId="7" borderId="0" xfId="0" applyNumberFormat="1" applyFont="1" applyFill="1" applyAlignment="1">
      <alignment horizontal="center"/>
    </xf>
    <xf numFmtId="0" fontId="0" fillId="0" borderId="0" xfId="0" applyAlignment="1">
      <alignment wrapText="1"/>
    </xf>
    <xf numFmtId="0" fontId="0" fillId="0" borderId="17" xfId="0" applyBorder="1"/>
    <xf numFmtId="0" fontId="0" fillId="0" borderId="16" xfId="0" applyBorder="1"/>
    <xf numFmtId="3" fontId="0" fillId="8" borderId="16" xfId="3" applyNumberFormat="1" applyFont="1" applyFill="1" applyBorder="1" applyAlignment="1">
      <alignment horizontal="center"/>
    </xf>
    <xf numFmtId="0" fontId="0" fillId="8" borderId="16" xfId="0" applyFill="1" applyBorder="1" applyAlignment="1">
      <alignment horizontal="center"/>
    </xf>
    <xf numFmtId="9" fontId="0" fillId="0" borderId="16" xfId="1" applyFont="1" applyBorder="1" applyAlignment="1">
      <alignment horizontal="center"/>
    </xf>
    <xf numFmtId="9" fontId="0" fillId="0" borderId="16" xfId="0" applyNumberFormat="1" applyBorder="1" applyAlignment="1">
      <alignment horizontal="center"/>
    </xf>
    <xf numFmtId="0" fontId="0" fillId="0" borderId="16" xfId="0" applyBorder="1" applyAlignment="1">
      <alignment horizontal="left" indent="1"/>
    </xf>
    <xf numFmtId="3" fontId="0" fillId="0" borderId="16" xfId="3" applyNumberFormat="1" applyFont="1" applyFill="1" applyBorder="1" applyAlignment="1">
      <alignment horizontal="center"/>
    </xf>
    <xf numFmtId="0" fontId="0" fillId="0" borderId="16" xfId="0" applyBorder="1" applyAlignment="1">
      <alignment horizontal="left"/>
    </xf>
    <xf numFmtId="44" fontId="0" fillId="0" borderId="16" xfId="2" applyFont="1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171" fontId="0" fillId="0" borderId="0" xfId="3" applyNumberFormat="1" applyFont="1" applyFill="1" applyBorder="1"/>
    <xf numFmtId="171" fontId="0" fillId="0" borderId="16" xfId="0" applyNumberFormat="1" applyBorder="1"/>
    <xf numFmtId="44" fontId="0" fillId="0" borderId="0" xfId="2" applyFont="1" applyFill="1" applyBorder="1"/>
    <xf numFmtId="49" fontId="0" fillId="0" borderId="0" xfId="3" applyNumberFormat="1" applyFont="1" applyFill="1" applyBorder="1"/>
    <xf numFmtId="0" fontId="15" fillId="0" borderId="0" xfId="0" applyFont="1"/>
    <xf numFmtId="0" fontId="15" fillId="0" borderId="24" xfId="0" applyFont="1" applyBorder="1"/>
    <xf numFmtId="0" fontId="15" fillId="0" borderId="25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4" xfId="0" applyFont="1" applyBorder="1"/>
    <xf numFmtId="171" fontId="15" fillId="0" borderId="25" xfId="0" applyNumberFormat="1" applyFont="1" applyBorder="1" applyAlignment="1">
      <alignment horizontal="center" vertical="center"/>
    </xf>
    <xf numFmtId="171" fontId="14" fillId="0" borderId="25" xfId="0" applyNumberFormat="1" applyFont="1" applyBorder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/>
    </xf>
    <xf numFmtId="0" fontId="0" fillId="0" borderId="0" xfId="0" applyAlignment="1">
      <alignment vertical="center"/>
    </xf>
    <xf numFmtId="44" fontId="0" fillId="0" borderId="0" xfId="0" applyNumberFormat="1"/>
    <xf numFmtId="0" fontId="20" fillId="0" borderId="0" xfId="0" applyFont="1"/>
    <xf numFmtId="0" fontId="0" fillId="7" borderId="16" xfId="0" applyFill="1" applyBorder="1" applyAlignment="1">
      <alignment horizontal="left" indent="1"/>
    </xf>
    <xf numFmtId="3" fontId="0" fillId="7" borderId="16" xfId="3" applyNumberFormat="1" applyFont="1" applyFill="1" applyBorder="1" applyAlignment="1">
      <alignment horizontal="center"/>
    </xf>
    <xf numFmtId="0" fontId="21" fillId="9" borderId="6" xfId="0" applyFont="1" applyFill="1" applyBorder="1" applyAlignment="1">
      <alignment horizontal="center" vertical="center" wrapText="1"/>
    </xf>
    <xf numFmtId="9" fontId="0" fillId="0" borderId="6" xfId="1" applyFont="1" applyBorder="1"/>
    <xf numFmtId="0" fontId="22" fillId="9" borderId="25" xfId="0" applyFont="1" applyFill="1" applyBorder="1" applyAlignment="1">
      <alignment horizontal="center" vertical="center"/>
    </xf>
    <xf numFmtId="171" fontId="22" fillId="9" borderId="25" xfId="0" applyNumberFormat="1" applyFont="1" applyFill="1" applyBorder="1" applyAlignment="1">
      <alignment horizontal="center" vertical="center"/>
    </xf>
    <xf numFmtId="171" fontId="23" fillId="7" borderId="25" xfId="0" applyNumberFormat="1" applyFont="1" applyFill="1" applyBorder="1" applyAlignment="1">
      <alignment horizontal="center" vertical="center"/>
    </xf>
    <xf numFmtId="0" fontId="1" fillId="7" borderId="6" xfId="0" applyFont="1" applyFill="1" applyBorder="1" applyAlignment="1">
      <alignment vertical="center" wrapText="1"/>
    </xf>
    <xf numFmtId="167" fontId="0" fillId="0" borderId="6" xfId="2" applyNumberFormat="1" applyFont="1" applyBorder="1"/>
    <xf numFmtId="167" fontId="0" fillId="7" borderId="6" xfId="2" applyNumberFormat="1" applyFont="1" applyFill="1" applyBorder="1"/>
    <xf numFmtId="167" fontId="21" fillId="9" borderId="6" xfId="0" applyNumberFormat="1" applyFont="1" applyFill="1" applyBorder="1"/>
    <xf numFmtId="0" fontId="1" fillId="0" borderId="17" xfId="3" applyNumberFormat="1" applyFont="1" applyBorder="1" applyAlignment="1">
      <alignment horizontal="center"/>
    </xf>
    <xf numFmtId="0" fontId="1" fillId="0" borderId="16" xfId="0" applyFont="1" applyBorder="1" applyAlignment="1">
      <alignment horizontal="left" indent="1"/>
    </xf>
    <xf numFmtId="0" fontId="1" fillId="0" borderId="16" xfId="0" applyFont="1" applyBorder="1" applyAlignment="1">
      <alignment horizontal="center"/>
    </xf>
    <xf numFmtId="0" fontId="1" fillId="0" borderId="16" xfId="0" applyFont="1" applyBorder="1"/>
    <xf numFmtId="0" fontId="1" fillId="7" borderId="6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 wrapText="1"/>
    </xf>
    <xf numFmtId="0" fontId="1" fillId="0" borderId="6" xfId="3" applyNumberFormat="1" applyFont="1" applyBorder="1" applyAlignment="1">
      <alignment horizontal="left"/>
    </xf>
    <xf numFmtId="167" fontId="1" fillId="0" borderId="6" xfId="0" applyNumberFormat="1" applyFont="1" applyBorder="1"/>
    <xf numFmtId="0" fontId="1" fillId="7" borderId="6" xfId="0" applyFont="1" applyFill="1" applyBorder="1" applyAlignment="1">
      <alignment horizontal="left" vertical="center"/>
    </xf>
    <xf numFmtId="167" fontId="1" fillId="7" borderId="6" xfId="0" applyNumberFormat="1" applyFont="1" applyFill="1" applyBorder="1"/>
    <xf numFmtId="9" fontId="1" fillId="7" borderId="6" xfId="1" applyFont="1" applyFill="1" applyBorder="1"/>
    <xf numFmtId="0" fontId="22" fillId="9" borderId="26" xfId="0" applyFont="1" applyFill="1" applyBorder="1" applyAlignment="1">
      <alignment horizontal="center" vertical="center"/>
    </xf>
    <xf numFmtId="171" fontId="23" fillId="7" borderId="26" xfId="0" applyNumberFormat="1" applyFont="1" applyFill="1" applyBorder="1" applyAlignment="1">
      <alignment horizontal="center" vertical="center"/>
    </xf>
    <xf numFmtId="171" fontId="22" fillId="9" borderId="26" xfId="0" applyNumberFormat="1" applyFont="1" applyFill="1" applyBorder="1" applyAlignment="1">
      <alignment horizontal="center" vertical="center"/>
    </xf>
    <xf numFmtId="0" fontId="21" fillId="9" borderId="21" xfId="0" applyFont="1" applyFill="1" applyBorder="1"/>
    <xf numFmtId="0" fontId="21" fillId="9" borderId="22" xfId="0" applyFont="1" applyFill="1" applyBorder="1"/>
    <xf numFmtId="0" fontId="21" fillId="9" borderId="22" xfId="0" applyFont="1" applyFill="1" applyBorder="1" applyAlignment="1">
      <alignment horizontal="right"/>
    </xf>
    <xf numFmtId="171" fontId="22" fillId="9" borderId="22" xfId="0" applyNumberFormat="1" applyFont="1" applyFill="1" applyBorder="1" applyAlignment="1">
      <alignment horizontal="center" vertical="center"/>
    </xf>
    <xf numFmtId="167" fontId="24" fillId="0" borderId="6" xfId="0" applyNumberFormat="1" applyFont="1" applyBorder="1"/>
    <xf numFmtId="167" fontId="13" fillId="0" borderId="6" xfId="0" applyNumberFormat="1" applyFont="1" applyBorder="1"/>
    <xf numFmtId="0" fontId="1" fillId="7" borderId="27" xfId="0" applyFont="1" applyFill="1" applyBorder="1" applyAlignment="1">
      <alignment vertical="center" wrapText="1"/>
    </xf>
    <xf numFmtId="0" fontId="1" fillId="7" borderId="28" xfId="0" applyFont="1" applyFill="1" applyBorder="1" applyAlignment="1">
      <alignment vertical="center" wrapText="1"/>
    </xf>
    <xf numFmtId="167" fontId="24" fillId="0" borderId="28" xfId="0" applyNumberFormat="1" applyFont="1" applyBorder="1"/>
    <xf numFmtId="167" fontId="13" fillId="0" borderId="28" xfId="0" applyNumberFormat="1" applyFont="1" applyBorder="1"/>
    <xf numFmtId="173" fontId="0" fillId="0" borderId="0" xfId="4" applyNumberFormat="1" applyFont="1"/>
    <xf numFmtId="173" fontId="0" fillId="0" borderId="0" xfId="0" applyNumberFormat="1"/>
    <xf numFmtId="174" fontId="0" fillId="0" borderId="0" xfId="0" applyNumberFormat="1"/>
    <xf numFmtId="170" fontId="1" fillId="0" borderId="0" xfId="0" applyNumberFormat="1" applyFont="1"/>
    <xf numFmtId="172" fontId="22" fillId="9" borderId="29" xfId="0" applyNumberFormat="1" applyFont="1" applyFill="1" applyBorder="1"/>
    <xf numFmtId="172" fontId="22" fillId="9" borderId="21" xfId="0" applyNumberFormat="1" applyFont="1" applyFill="1" applyBorder="1"/>
    <xf numFmtId="0" fontId="2" fillId="2" borderId="0" xfId="0" applyFont="1" applyFill="1" applyBorder="1"/>
    <xf numFmtId="0" fontId="5" fillId="0" borderId="30" xfId="0" applyFont="1" applyBorder="1" applyAlignment="1">
      <alignment vertical="center" wrapText="1"/>
    </xf>
    <xf numFmtId="0" fontId="3" fillId="2" borderId="31" xfId="0" applyFont="1" applyFill="1" applyBorder="1" applyAlignment="1">
      <alignment vertical="center" wrapText="1"/>
    </xf>
    <xf numFmtId="0" fontId="2" fillId="2" borderId="32" xfId="0" applyFont="1" applyFill="1" applyBorder="1"/>
    <xf numFmtId="0" fontId="2" fillId="2" borderId="33" xfId="0" applyFont="1" applyFill="1" applyBorder="1"/>
    <xf numFmtId="0" fontId="2" fillId="2" borderId="34" xfId="0" applyFont="1" applyFill="1" applyBorder="1"/>
    <xf numFmtId="0" fontId="4" fillId="3" borderId="35" xfId="0" applyFont="1" applyFill="1" applyBorder="1" applyAlignment="1">
      <alignment vertical="center" wrapText="1"/>
    </xf>
    <xf numFmtId="0" fontId="5" fillId="0" borderId="36" xfId="0" applyFont="1" applyBorder="1" applyAlignment="1">
      <alignment vertical="center" wrapText="1"/>
    </xf>
    <xf numFmtId="0" fontId="4" fillId="3" borderId="37" xfId="0" applyFont="1" applyFill="1" applyBorder="1" applyAlignment="1">
      <alignment vertical="center" wrapText="1"/>
    </xf>
    <xf numFmtId="0" fontId="4" fillId="3" borderId="38" xfId="0" applyFont="1" applyFill="1" applyBorder="1" applyAlignment="1">
      <alignment vertical="top" wrapText="1"/>
    </xf>
    <xf numFmtId="0" fontId="4" fillId="3" borderId="39" xfId="0" applyFont="1" applyFill="1" applyBorder="1" applyAlignment="1">
      <alignment vertical="top" wrapText="1"/>
    </xf>
    <xf numFmtId="0" fontId="5" fillId="0" borderId="40" xfId="0" applyFont="1" applyBorder="1" applyAlignment="1">
      <alignment vertical="center" wrapText="1"/>
    </xf>
    <xf numFmtId="0" fontId="2" fillId="2" borderId="41" xfId="0" applyFont="1" applyFill="1" applyBorder="1"/>
    <xf numFmtId="0" fontId="6" fillId="2" borderId="33" xfId="0" applyFont="1" applyFill="1" applyBorder="1" applyAlignment="1">
      <alignment vertical="center" wrapText="1"/>
    </xf>
    <xf numFmtId="0" fontId="7" fillId="2" borderId="33" xfId="0" applyFont="1" applyFill="1" applyBorder="1"/>
    <xf numFmtId="0" fontId="8" fillId="4" borderId="42" xfId="0" applyFont="1" applyFill="1" applyBorder="1" applyAlignment="1">
      <alignment vertical="center" wrapText="1"/>
    </xf>
    <xf numFmtId="0" fontId="8" fillId="0" borderId="42" xfId="0" applyFont="1" applyBorder="1" applyAlignment="1">
      <alignment vertical="center" wrapText="1"/>
    </xf>
    <xf numFmtId="0" fontId="9" fillId="2" borderId="43" xfId="0" applyFont="1" applyFill="1" applyBorder="1"/>
    <xf numFmtId="0" fontId="4" fillId="3" borderId="42" xfId="0" applyFont="1" applyFill="1" applyBorder="1" applyAlignment="1">
      <alignment vertical="center" wrapText="1"/>
    </xf>
    <xf numFmtId="0" fontId="2" fillId="2" borderId="44" xfId="0" applyFont="1" applyFill="1" applyBorder="1"/>
    <xf numFmtId="0" fontId="2" fillId="2" borderId="26" xfId="0" applyFont="1" applyFill="1" applyBorder="1"/>
    <xf numFmtId="0" fontId="2" fillId="2" borderId="25" xfId="0" applyFont="1" applyFill="1" applyBorder="1"/>
    <xf numFmtId="0" fontId="4" fillId="3" borderId="45" xfId="0" applyFont="1" applyFill="1" applyBorder="1" applyAlignment="1">
      <alignment vertical="center" wrapText="1"/>
    </xf>
    <xf numFmtId="0" fontId="2" fillId="2" borderId="46" xfId="0" applyFont="1" applyFill="1" applyBorder="1"/>
    <xf numFmtId="2" fontId="0" fillId="0" borderId="20" xfId="0" applyNumberFormat="1" applyBorder="1"/>
    <xf numFmtId="2" fontId="1" fillId="0" borderId="20" xfId="0" applyNumberFormat="1" applyFont="1" applyBorder="1"/>
    <xf numFmtId="0" fontId="0" fillId="0" borderId="49" xfId="0" applyBorder="1" applyAlignment="1">
      <alignment horizontal="left"/>
    </xf>
    <xf numFmtId="0" fontId="1" fillId="0" borderId="49" xfId="0" applyFont="1" applyBorder="1" applyAlignment="1">
      <alignment horizontal="left"/>
    </xf>
    <xf numFmtId="0" fontId="16" fillId="0" borderId="50" xfId="0" applyFont="1" applyBorder="1" applyAlignment="1">
      <alignment horizontal="left"/>
    </xf>
    <xf numFmtId="0" fontId="1" fillId="7" borderId="16" xfId="0" applyFont="1" applyFill="1" applyBorder="1" applyAlignment="1">
      <alignment horizontal="center"/>
    </xf>
    <xf numFmtId="0" fontId="14" fillId="7" borderId="21" xfId="0" applyFont="1" applyFill="1" applyBorder="1" applyAlignment="1">
      <alignment horizontal="center" vertical="center"/>
    </xf>
    <xf numFmtId="0" fontId="14" fillId="7" borderId="22" xfId="0" applyFont="1" applyFill="1" applyBorder="1" applyAlignment="1">
      <alignment horizontal="center" vertical="center"/>
    </xf>
    <xf numFmtId="0" fontId="14" fillId="7" borderId="23" xfId="0" applyFont="1" applyFill="1" applyBorder="1" applyAlignment="1">
      <alignment horizontal="center" vertical="center"/>
    </xf>
    <xf numFmtId="0" fontId="14" fillId="7" borderId="21" xfId="0" applyFont="1" applyFill="1" applyBorder="1" applyAlignment="1">
      <alignment horizontal="center"/>
    </xf>
    <xf numFmtId="0" fontId="14" fillId="7" borderId="22" xfId="0" applyFont="1" applyFill="1" applyBorder="1" applyAlignment="1">
      <alignment horizontal="center"/>
    </xf>
    <xf numFmtId="0" fontId="1" fillId="7" borderId="47" xfId="0" applyFont="1" applyFill="1" applyBorder="1" applyAlignment="1">
      <alignment horizontal="center" vertical="center" wrapText="1"/>
    </xf>
    <xf numFmtId="0" fontId="1" fillId="7" borderId="48" xfId="0" applyFont="1" applyFill="1" applyBorder="1" applyAlignment="1">
      <alignment horizontal="center" vertical="center" wrapText="1"/>
    </xf>
    <xf numFmtId="0" fontId="14" fillId="7" borderId="23" xfId="0" applyFont="1" applyFill="1" applyBorder="1" applyAlignment="1">
      <alignment horizontal="center"/>
    </xf>
  </cellXfs>
  <cellStyles count="5">
    <cellStyle name="Comma" xfId="3" builtinId="3"/>
    <cellStyle name="Currency" xfId="4" builtinId="4"/>
    <cellStyle name="Currency 2" xfId="2" xr:uid="{48D3AC6C-F912-4170-B554-A756E3D01EFA}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1576AB"/>
      <color rgb="FF4C8C7E"/>
      <color rgb="FFD72C00"/>
      <color rgb="FFC4E5F8"/>
      <color rgb="FF9FD5F3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etorg7048657.sharepoint.com/sites/GrandBridgeEnergy2026NWSApplication/2026%20NWS%20Application/4%20-%20Q4%202025%20Application/0%20-%20Supporting%20Models/Application%20Tables%20Updated.xlsx" TargetMode="External"/><Relationship Id="rId1" Type="http://schemas.openxmlformats.org/officeDocument/2006/relationships/externalLinkPath" Target="https://netorg7048657.sharepoint.com/sites/GrandBridgeEnergy2026NWSApplication/2026%20NWS%20Application/4%20-%20Q4%202025%20Application/0%20-%20Supporting%20Models/Application%20Tables%20Upda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pdated Table 4"/>
      <sheetName val="MoP"/>
      <sheetName val="note on DG table Confidential"/>
      <sheetName val="Original"/>
      <sheetName val="OutdatExec Presentation Aug2025"/>
    </sheetNames>
    <sheetDataSet>
      <sheetData sheetId="0">
        <row r="45">
          <cell r="B45">
            <v>81.495750000000001</v>
          </cell>
          <cell r="C45">
            <v>147.9915</v>
          </cell>
          <cell r="D45">
            <v>265.98275000000001</v>
          </cell>
        </row>
        <row r="46">
          <cell r="B46">
            <v>796.28475000000003</v>
          </cell>
          <cell r="C46">
            <v>866.96749999999997</v>
          </cell>
          <cell r="D46">
            <v>1456.9237499999999</v>
          </cell>
        </row>
        <row r="53">
          <cell r="B53">
            <v>501.16172142652209</v>
          </cell>
          <cell r="C53">
            <v>314.22636213254464</v>
          </cell>
          <cell r="D53">
            <v>528.05191644093338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CF400-1DB8-4313-A483-699B20392DE4}">
  <sheetPr>
    <tabColor rgb="FF1576AB"/>
  </sheetPr>
  <dimension ref="A2:AC52"/>
  <sheetViews>
    <sheetView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C6" sqref="C6:C51"/>
    </sheetView>
  </sheetViews>
  <sheetFormatPr defaultColWidth="8.7109375" defaultRowHeight="14.25" x14ac:dyDescent="0.2"/>
  <cols>
    <col min="1" max="1" width="16.42578125" style="6" customWidth="1"/>
    <col min="2" max="2" width="8.7109375" style="6"/>
    <col min="3" max="8" width="14.42578125" style="6" customWidth="1"/>
    <col min="9" max="9" width="8.7109375" style="6"/>
    <col min="10" max="15" width="14.42578125" style="6" customWidth="1"/>
    <col min="16" max="16" width="8.7109375" style="6"/>
    <col min="17" max="22" width="14.42578125" style="6" customWidth="1"/>
    <col min="23" max="23" width="8.7109375" style="6"/>
    <col min="24" max="29" width="14.42578125" style="6" customWidth="1"/>
    <col min="30" max="16384" width="8.7109375" style="6"/>
  </cols>
  <sheetData>
    <row r="2" spans="1:29" x14ac:dyDescent="0.2">
      <c r="A2" s="10" t="s">
        <v>0</v>
      </c>
    </row>
    <row r="3" spans="1:29" x14ac:dyDescent="0.2">
      <c r="A3" s="10"/>
    </row>
    <row r="4" spans="1:29" ht="15.75" thickBot="1" x14ac:dyDescent="0.25">
      <c r="C4" s="15" t="s">
        <v>1</v>
      </c>
      <c r="J4" s="15" t="s">
        <v>2</v>
      </c>
      <c r="Q4" s="15" t="s">
        <v>3</v>
      </c>
      <c r="X4" s="15" t="s">
        <v>4</v>
      </c>
    </row>
    <row r="5" spans="1:29" ht="63.75" x14ac:dyDescent="0.2">
      <c r="A5" s="16" t="s">
        <v>5</v>
      </c>
      <c r="C5" s="17" t="str">
        <f>Summary!B17</f>
        <v>Avoided Unplanned Outages (Probability Weighted)</v>
      </c>
      <c r="D5" s="16" t="e">
        <f>Summary!#REF!</f>
        <v>#REF!</v>
      </c>
      <c r="E5" s="16" t="e">
        <f>Summary!#REF!</f>
        <v>#REF!</v>
      </c>
      <c r="F5" s="16" t="s">
        <v>6</v>
      </c>
      <c r="G5" s="16" t="s">
        <v>7</v>
      </c>
      <c r="H5" s="16" t="s">
        <v>8</v>
      </c>
      <c r="J5" s="16" t="s">
        <v>9</v>
      </c>
      <c r="K5" s="16" t="s">
        <v>10</v>
      </c>
      <c r="L5" s="16" t="s">
        <v>11</v>
      </c>
      <c r="M5" s="16" t="s">
        <v>12</v>
      </c>
      <c r="N5" s="16" t="s">
        <v>13</v>
      </c>
      <c r="O5" s="16" t="s">
        <v>14</v>
      </c>
      <c r="Q5" s="17" t="s">
        <v>15</v>
      </c>
      <c r="R5" s="16" t="s">
        <v>16</v>
      </c>
      <c r="S5" s="16" t="s">
        <v>17</v>
      </c>
      <c r="T5" s="16" t="s">
        <v>6</v>
      </c>
      <c r="U5" s="16" t="s">
        <v>7</v>
      </c>
      <c r="V5" s="16" t="s">
        <v>8</v>
      </c>
      <c r="X5" s="16" t="s">
        <v>9</v>
      </c>
      <c r="Y5" s="16" t="s">
        <v>10</v>
      </c>
      <c r="Z5" s="16" t="s">
        <v>11</v>
      </c>
      <c r="AA5" s="16" t="s">
        <v>12</v>
      </c>
      <c r="AB5" s="16" t="s">
        <v>13</v>
      </c>
      <c r="AC5" s="16" t="s">
        <v>14</v>
      </c>
    </row>
    <row r="6" spans="1:29" x14ac:dyDescent="0.2">
      <c r="A6" s="18">
        <v>2024</v>
      </c>
      <c r="C6" s="19"/>
      <c r="D6" s="19"/>
      <c r="E6" s="19"/>
      <c r="F6" s="19"/>
      <c r="G6" s="19"/>
      <c r="H6" s="19"/>
      <c r="J6" s="19"/>
      <c r="K6" s="19"/>
      <c r="L6" s="19"/>
      <c r="M6" s="19"/>
      <c r="N6" s="19"/>
      <c r="O6" s="19"/>
      <c r="Q6" s="19"/>
      <c r="R6" s="19"/>
      <c r="S6" s="19"/>
      <c r="T6" s="19"/>
      <c r="U6" s="19"/>
      <c r="V6" s="19"/>
      <c r="X6" s="19"/>
      <c r="Y6" s="19"/>
      <c r="Z6" s="19"/>
      <c r="AA6" s="19"/>
      <c r="AB6" s="19"/>
      <c r="AC6" s="19"/>
    </row>
    <row r="7" spans="1:29" x14ac:dyDescent="0.2">
      <c r="A7" s="20">
        <v>2025</v>
      </c>
      <c r="C7" s="21"/>
      <c r="D7" s="21"/>
      <c r="E7" s="21"/>
      <c r="F7" s="21"/>
      <c r="G7" s="21"/>
      <c r="H7" s="21"/>
      <c r="J7" s="21"/>
      <c r="K7" s="21"/>
      <c r="L7" s="21"/>
      <c r="M7" s="21"/>
      <c r="N7" s="21"/>
      <c r="O7" s="21"/>
      <c r="Q7" s="21"/>
      <c r="R7" s="21"/>
      <c r="S7" s="21"/>
      <c r="T7" s="21"/>
      <c r="U7" s="21"/>
      <c r="V7" s="21"/>
      <c r="X7" s="21"/>
      <c r="Y7" s="21"/>
      <c r="Z7" s="21"/>
      <c r="AA7" s="21"/>
      <c r="AB7" s="21"/>
      <c r="AC7" s="21"/>
    </row>
    <row r="8" spans="1:29" x14ac:dyDescent="0.2">
      <c r="A8" s="20">
        <v>2026</v>
      </c>
      <c r="C8" s="21"/>
      <c r="D8" s="21"/>
      <c r="E8" s="21"/>
      <c r="F8" s="21"/>
      <c r="G8" s="21"/>
      <c r="H8" s="21"/>
      <c r="J8" s="21"/>
      <c r="K8" s="21"/>
      <c r="L8" s="21"/>
      <c r="M8" s="21"/>
      <c r="N8" s="21"/>
      <c r="O8" s="21"/>
      <c r="Q8" s="21"/>
      <c r="R8" s="21"/>
      <c r="S8" s="21"/>
      <c r="T8" s="21"/>
      <c r="U8" s="21"/>
      <c r="V8" s="21"/>
      <c r="X8" s="21"/>
      <c r="Y8" s="21"/>
      <c r="Z8" s="21"/>
      <c r="AA8" s="21"/>
      <c r="AB8" s="21"/>
      <c r="AC8" s="21"/>
    </row>
    <row r="9" spans="1:29" x14ac:dyDescent="0.2">
      <c r="A9" s="20">
        <v>2027</v>
      </c>
      <c r="C9" s="21"/>
      <c r="D9" s="21"/>
      <c r="E9" s="21"/>
      <c r="F9" s="21"/>
      <c r="G9" s="21"/>
      <c r="H9" s="21"/>
      <c r="J9" s="21"/>
      <c r="K9" s="21"/>
      <c r="L9" s="21"/>
      <c r="M9" s="21"/>
      <c r="N9" s="21"/>
      <c r="O9" s="21"/>
      <c r="Q9" s="21"/>
      <c r="R9" s="21"/>
      <c r="S9" s="21"/>
      <c r="T9" s="21"/>
      <c r="U9" s="21"/>
      <c r="V9" s="21"/>
      <c r="X9" s="21"/>
      <c r="Y9" s="21"/>
      <c r="Z9" s="21"/>
      <c r="AA9" s="21"/>
      <c r="AB9" s="21"/>
      <c r="AC9" s="21"/>
    </row>
    <row r="10" spans="1:29" x14ac:dyDescent="0.2">
      <c r="A10" s="20">
        <v>2028</v>
      </c>
      <c r="C10" s="21"/>
      <c r="D10" s="21"/>
      <c r="E10" s="21"/>
      <c r="F10" s="21"/>
      <c r="G10" s="21"/>
      <c r="H10" s="21"/>
      <c r="J10" s="21"/>
      <c r="K10" s="21"/>
      <c r="L10" s="21"/>
      <c r="M10" s="21"/>
      <c r="N10" s="21"/>
      <c r="O10" s="21"/>
      <c r="Q10" s="21"/>
      <c r="R10" s="21"/>
      <c r="S10" s="21"/>
      <c r="T10" s="21"/>
      <c r="U10" s="21"/>
      <c r="V10" s="21"/>
      <c r="X10" s="21"/>
      <c r="Y10" s="21"/>
      <c r="Z10" s="21"/>
      <c r="AA10" s="21"/>
      <c r="AB10" s="21"/>
      <c r="AC10" s="21"/>
    </row>
    <row r="11" spans="1:29" x14ac:dyDescent="0.2">
      <c r="A11" s="20">
        <v>2029</v>
      </c>
      <c r="C11" s="21"/>
      <c r="D11" s="21"/>
      <c r="E11" s="21"/>
      <c r="F11" s="21"/>
      <c r="G11" s="21"/>
      <c r="H11" s="21"/>
      <c r="J11" s="21"/>
      <c r="K11" s="21"/>
      <c r="L11" s="21"/>
      <c r="M11" s="21"/>
      <c r="N11" s="21"/>
      <c r="O11" s="21"/>
      <c r="Q11" s="21"/>
      <c r="R11" s="21"/>
      <c r="S11" s="21"/>
      <c r="T11" s="21"/>
      <c r="U11" s="21"/>
      <c r="V11" s="21"/>
      <c r="X11" s="21"/>
      <c r="Y11" s="21"/>
      <c r="Z11" s="21"/>
      <c r="AA11" s="21"/>
      <c r="AB11" s="21"/>
      <c r="AC11" s="21"/>
    </row>
    <row r="12" spans="1:29" x14ac:dyDescent="0.2">
      <c r="A12" s="20">
        <v>2030</v>
      </c>
      <c r="C12" s="21"/>
      <c r="D12" s="21"/>
      <c r="E12" s="21"/>
      <c r="F12" s="21"/>
      <c r="G12" s="21"/>
      <c r="H12" s="21"/>
      <c r="J12" s="21"/>
      <c r="K12" s="21"/>
      <c r="L12" s="21"/>
      <c r="M12" s="21"/>
      <c r="N12" s="21"/>
      <c r="O12" s="21"/>
      <c r="Q12" s="21"/>
      <c r="R12" s="21"/>
      <c r="S12" s="21"/>
      <c r="T12" s="21"/>
      <c r="U12" s="21"/>
      <c r="V12" s="21"/>
      <c r="X12" s="21"/>
      <c r="Y12" s="21"/>
      <c r="Z12" s="21"/>
      <c r="AA12" s="21"/>
      <c r="AB12" s="21"/>
      <c r="AC12" s="21"/>
    </row>
    <row r="13" spans="1:29" x14ac:dyDescent="0.2">
      <c r="A13" s="20">
        <v>2031</v>
      </c>
      <c r="C13" s="21"/>
      <c r="D13" s="21"/>
      <c r="E13" s="21"/>
      <c r="F13" s="21"/>
      <c r="G13" s="21"/>
      <c r="H13" s="21"/>
      <c r="J13" s="21"/>
      <c r="K13" s="21"/>
      <c r="L13" s="21"/>
      <c r="M13" s="21"/>
      <c r="N13" s="21"/>
      <c r="O13" s="21"/>
      <c r="Q13" s="21"/>
      <c r="R13" s="21"/>
      <c r="S13" s="21"/>
      <c r="T13" s="21"/>
      <c r="U13" s="21"/>
      <c r="V13" s="21"/>
      <c r="X13" s="21"/>
      <c r="Y13" s="21"/>
      <c r="Z13" s="21"/>
      <c r="AA13" s="21"/>
      <c r="AB13" s="21"/>
      <c r="AC13" s="21"/>
    </row>
    <row r="14" spans="1:29" x14ac:dyDescent="0.2">
      <c r="A14" s="20">
        <v>2032</v>
      </c>
      <c r="C14" s="21"/>
      <c r="D14" s="21"/>
      <c r="E14" s="21"/>
      <c r="F14" s="21"/>
      <c r="G14" s="21"/>
      <c r="H14" s="21"/>
      <c r="J14" s="21"/>
      <c r="K14" s="21"/>
      <c r="L14" s="21"/>
      <c r="M14" s="21"/>
      <c r="N14" s="21"/>
      <c r="O14" s="21"/>
      <c r="Q14" s="21"/>
      <c r="R14" s="21"/>
      <c r="S14" s="21"/>
      <c r="T14" s="21"/>
      <c r="U14" s="21"/>
      <c r="V14" s="21"/>
      <c r="X14" s="21"/>
      <c r="Y14" s="21"/>
      <c r="Z14" s="21"/>
      <c r="AA14" s="21"/>
      <c r="AB14" s="21"/>
      <c r="AC14" s="21"/>
    </row>
    <row r="15" spans="1:29" x14ac:dyDescent="0.2">
      <c r="A15" s="20">
        <v>2033</v>
      </c>
      <c r="C15" s="21"/>
      <c r="D15" s="21"/>
      <c r="E15" s="21"/>
      <c r="F15" s="21"/>
      <c r="G15" s="21"/>
      <c r="H15" s="21"/>
      <c r="J15" s="21"/>
      <c r="K15" s="21"/>
      <c r="L15" s="21"/>
      <c r="M15" s="21"/>
      <c r="N15" s="21"/>
      <c r="O15" s="21"/>
      <c r="Q15" s="21"/>
      <c r="R15" s="21"/>
      <c r="S15" s="21"/>
      <c r="T15" s="21"/>
      <c r="U15" s="21"/>
      <c r="V15" s="21"/>
      <c r="X15" s="21"/>
      <c r="Y15" s="21"/>
      <c r="Z15" s="21"/>
      <c r="AA15" s="21"/>
      <c r="AB15" s="21"/>
      <c r="AC15" s="21"/>
    </row>
    <row r="16" spans="1:29" x14ac:dyDescent="0.2">
      <c r="A16" s="20">
        <v>2034</v>
      </c>
      <c r="C16" s="21"/>
      <c r="D16" s="21"/>
      <c r="E16" s="21"/>
      <c r="F16" s="21"/>
      <c r="G16" s="21"/>
      <c r="H16" s="21"/>
      <c r="J16" s="21"/>
      <c r="K16" s="21"/>
      <c r="L16" s="21"/>
      <c r="M16" s="21"/>
      <c r="N16" s="21"/>
      <c r="O16" s="21"/>
      <c r="Q16" s="21"/>
      <c r="R16" s="21"/>
      <c r="S16" s="21"/>
      <c r="T16" s="21"/>
      <c r="U16" s="21"/>
      <c r="V16" s="21"/>
      <c r="X16" s="21"/>
      <c r="Y16" s="21"/>
      <c r="Z16" s="21"/>
      <c r="AA16" s="21"/>
      <c r="AB16" s="21"/>
      <c r="AC16" s="21"/>
    </row>
    <row r="17" spans="1:29" x14ac:dyDescent="0.2">
      <c r="A17" s="20">
        <v>2035</v>
      </c>
      <c r="C17" s="21"/>
      <c r="D17" s="21"/>
      <c r="E17" s="21"/>
      <c r="F17" s="21"/>
      <c r="G17" s="21"/>
      <c r="H17" s="21"/>
      <c r="J17" s="21"/>
      <c r="K17" s="21"/>
      <c r="L17" s="21"/>
      <c r="M17" s="21"/>
      <c r="N17" s="21"/>
      <c r="O17" s="21"/>
      <c r="Q17" s="21"/>
      <c r="R17" s="21"/>
      <c r="S17" s="21"/>
      <c r="T17" s="21"/>
      <c r="U17" s="21"/>
      <c r="V17" s="21"/>
      <c r="X17" s="21"/>
      <c r="Y17" s="21"/>
      <c r="Z17" s="21"/>
      <c r="AA17" s="21"/>
      <c r="AB17" s="21"/>
      <c r="AC17" s="21"/>
    </row>
    <row r="18" spans="1:29" x14ac:dyDescent="0.2">
      <c r="A18" s="20">
        <v>2036</v>
      </c>
      <c r="C18" s="21"/>
      <c r="D18" s="21"/>
      <c r="E18" s="21"/>
      <c r="F18" s="21"/>
      <c r="G18" s="21"/>
      <c r="H18" s="21"/>
      <c r="J18" s="21"/>
      <c r="K18" s="21"/>
      <c r="L18" s="21"/>
      <c r="M18" s="21"/>
      <c r="N18" s="21"/>
      <c r="O18" s="21"/>
      <c r="Q18" s="21"/>
      <c r="R18" s="21"/>
      <c r="S18" s="21"/>
      <c r="T18" s="21"/>
      <c r="U18" s="21"/>
      <c r="V18" s="21"/>
      <c r="X18" s="21"/>
      <c r="Y18" s="21"/>
      <c r="Z18" s="21"/>
      <c r="AA18" s="21"/>
      <c r="AB18" s="21"/>
      <c r="AC18" s="21"/>
    </row>
    <row r="19" spans="1:29" x14ac:dyDescent="0.2">
      <c r="A19" s="20">
        <v>2037</v>
      </c>
      <c r="C19" s="21"/>
      <c r="D19" s="21"/>
      <c r="E19" s="21"/>
      <c r="F19" s="21"/>
      <c r="G19" s="21"/>
      <c r="H19" s="21"/>
      <c r="J19" s="21"/>
      <c r="K19" s="21"/>
      <c r="L19" s="21"/>
      <c r="M19" s="21"/>
      <c r="N19" s="21"/>
      <c r="O19" s="21"/>
      <c r="Q19" s="21"/>
      <c r="R19" s="21"/>
      <c r="S19" s="21"/>
      <c r="T19" s="21"/>
      <c r="U19" s="21"/>
      <c r="V19" s="21"/>
      <c r="X19" s="21"/>
      <c r="Y19" s="21"/>
      <c r="Z19" s="21"/>
      <c r="AA19" s="21"/>
      <c r="AB19" s="21"/>
      <c r="AC19" s="21"/>
    </row>
    <row r="20" spans="1:29" x14ac:dyDescent="0.2">
      <c r="A20" s="20">
        <v>2038</v>
      </c>
      <c r="C20" s="21"/>
      <c r="D20" s="21"/>
      <c r="E20" s="21"/>
      <c r="F20" s="21"/>
      <c r="G20" s="21"/>
      <c r="H20" s="21"/>
      <c r="J20" s="21"/>
      <c r="K20" s="21"/>
      <c r="L20" s="21"/>
      <c r="M20" s="21"/>
      <c r="N20" s="21"/>
      <c r="O20" s="21"/>
      <c r="Q20" s="21"/>
      <c r="R20" s="21"/>
      <c r="S20" s="21"/>
      <c r="T20" s="21"/>
      <c r="U20" s="21"/>
      <c r="V20" s="21"/>
      <c r="X20" s="21"/>
      <c r="Y20" s="21"/>
      <c r="Z20" s="21"/>
      <c r="AA20" s="21"/>
      <c r="AB20" s="21"/>
      <c r="AC20" s="21"/>
    </row>
    <row r="21" spans="1:29" x14ac:dyDescent="0.2">
      <c r="A21" s="20">
        <v>2039</v>
      </c>
      <c r="C21" s="21"/>
      <c r="D21" s="21"/>
      <c r="E21" s="21"/>
      <c r="F21" s="21"/>
      <c r="G21" s="21"/>
      <c r="H21" s="21"/>
      <c r="J21" s="21"/>
      <c r="K21" s="21"/>
      <c r="L21" s="21"/>
      <c r="M21" s="21"/>
      <c r="N21" s="21"/>
      <c r="O21" s="21"/>
      <c r="Q21" s="21"/>
      <c r="R21" s="21"/>
      <c r="S21" s="21"/>
      <c r="T21" s="21"/>
      <c r="U21" s="21"/>
      <c r="V21" s="21"/>
      <c r="X21" s="21"/>
      <c r="Y21" s="21"/>
      <c r="Z21" s="21"/>
      <c r="AA21" s="21"/>
      <c r="AB21" s="21"/>
      <c r="AC21" s="21"/>
    </row>
    <row r="22" spans="1:29" x14ac:dyDescent="0.2">
      <c r="A22" s="20">
        <v>2040</v>
      </c>
      <c r="C22" s="21"/>
      <c r="D22" s="21"/>
      <c r="E22" s="21"/>
      <c r="F22" s="21"/>
      <c r="G22" s="21"/>
      <c r="H22" s="21"/>
      <c r="J22" s="21"/>
      <c r="K22" s="21"/>
      <c r="L22" s="21"/>
      <c r="M22" s="21"/>
      <c r="N22" s="21"/>
      <c r="O22" s="21"/>
      <c r="Q22" s="21"/>
      <c r="R22" s="21"/>
      <c r="S22" s="21"/>
      <c r="T22" s="21"/>
      <c r="U22" s="21"/>
      <c r="V22" s="21"/>
      <c r="X22" s="21"/>
      <c r="Y22" s="21"/>
      <c r="Z22" s="21"/>
      <c r="AA22" s="21"/>
      <c r="AB22" s="21"/>
      <c r="AC22" s="21"/>
    </row>
    <row r="23" spans="1:29" x14ac:dyDescent="0.2">
      <c r="A23" s="20">
        <v>2041</v>
      </c>
      <c r="C23" s="21"/>
      <c r="D23" s="21"/>
      <c r="E23" s="21"/>
      <c r="F23" s="21"/>
      <c r="G23" s="21"/>
      <c r="H23" s="21"/>
      <c r="J23" s="21"/>
      <c r="K23" s="21"/>
      <c r="L23" s="21"/>
      <c r="M23" s="21"/>
      <c r="N23" s="21"/>
      <c r="O23" s="21"/>
      <c r="Q23" s="21"/>
      <c r="R23" s="21"/>
      <c r="S23" s="21"/>
      <c r="T23" s="21"/>
      <c r="U23" s="21"/>
      <c r="V23" s="21"/>
      <c r="X23" s="21"/>
      <c r="Y23" s="21"/>
      <c r="Z23" s="21"/>
      <c r="AA23" s="21"/>
      <c r="AB23" s="21"/>
      <c r="AC23" s="21"/>
    </row>
    <row r="24" spans="1:29" x14ac:dyDescent="0.2">
      <c r="A24" s="20">
        <v>2042</v>
      </c>
      <c r="C24" s="21"/>
      <c r="D24" s="21"/>
      <c r="E24" s="21"/>
      <c r="F24" s="21"/>
      <c r="G24" s="21"/>
      <c r="H24" s="21"/>
      <c r="J24" s="21"/>
      <c r="K24" s="21"/>
      <c r="L24" s="21"/>
      <c r="M24" s="21"/>
      <c r="N24" s="21"/>
      <c r="O24" s="21"/>
      <c r="Q24" s="21"/>
      <c r="R24" s="21"/>
      <c r="S24" s="21"/>
      <c r="T24" s="21"/>
      <c r="U24" s="21"/>
      <c r="V24" s="21"/>
      <c r="X24" s="21"/>
      <c r="Y24" s="21"/>
      <c r="Z24" s="21"/>
      <c r="AA24" s="21"/>
      <c r="AB24" s="21"/>
      <c r="AC24" s="21"/>
    </row>
    <row r="25" spans="1:29" x14ac:dyDescent="0.2">
      <c r="A25" s="20">
        <v>2043</v>
      </c>
      <c r="C25" s="21"/>
      <c r="D25" s="21"/>
      <c r="E25" s="21"/>
      <c r="F25" s="21"/>
      <c r="G25" s="21"/>
      <c r="H25" s="21"/>
      <c r="J25" s="21"/>
      <c r="K25" s="21"/>
      <c r="L25" s="21"/>
      <c r="M25" s="21"/>
      <c r="N25" s="21"/>
      <c r="O25" s="21"/>
      <c r="Q25" s="21"/>
      <c r="R25" s="21"/>
      <c r="S25" s="21"/>
      <c r="T25" s="21"/>
      <c r="U25" s="21"/>
      <c r="V25" s="21"/>
      <c r="X25" s="21"/>
      <c r="Y25" s="21"/>
      <c r="Z25" s="21"/>
      <c r="AA25" s="21"/>
      <c r="AB25" s="21"/>
      <c r="AC25" s="21"/>
    </row>
    <row r="26" spans="1:29" x14ac:dyDescent="0.2">
      <c r="A26" s="20">
        <v>2044</v>
      </c>
      <c r="C26" s="21"/>
      <c r="D26" s="21"/>
      <c r="E26" s="21"/>
      <c r="F26" s="21"/>
      <c r="G26" s="21"/>
      <c r="H26" s="21"/>
      <c r="J26" s="21"/>
      <c r="K26" s="21"/>
      <c r="L26" s="21"/>
      <c r="M26" s="21"/>
      <c r="N26" s="21"/>
      <c r="O26" s="21"/>
      <c r="Q26" s="21"/>
      <c r="R26" s="21"/>
      <c r="S26" s="21"/>
      <c r="T26" s="21"/>
      <c r="U26" s="21"/>
      <c r="V26" s="21"/>
      <c r="X26" s="21"/>
      <c r="Y26" s="21"/>
      <c r="Z26" s="21"/>
      <c r="AA26" s="21"/>
      <c r="AB26" s="21"/>
      <c r="AC26" s="21"/>
    </row>
    <row r="27" spans="1:29" x14ac:dyDescent="0.2">
      <c r="A27" s="20">
        <v>2045</v>
      </c>
      <c r="C27" s="21"/>
      <c r="D27" s="21"/>
      <c r="E27" s="21"/>
      <c r="F27" s="21"/>
      <c r="G27" s="21"/>
      <c r="H27" s="21"/>
      <c r="J27" s="21"/>
      <c r="K27" s="21"/>
      <c r="L27" s="21"/>
      <c r="M27" s="21"/>
      <c r="N27" s="21"/>
      <c r="O27" s="21"/>
      <c r="Q27" s="21"/>
      <c r="R27" s="21"/>
      <c r="S27" s="21"/>
      <c r="T27" s="21"/>
      <c r="U27" s="21"/>
      <c r="V27" s="21"/>
      <c r="X27" s="21"/>
      <c r="Y27" s="21"/>
      <c r="Z27" s="21"/>
      <c r="AA27" s="21"/>
      <c r="AB27" s="21"/>
      <c r="AC27" s="21"/>
    </row>
    <row r="28" spans="1:29" x14ac:dyDescent="0.2">
      <c r="A28" s="20">
        <v>2046</v>
      </c>
      <c r="C28" s="21"/>
      <c r="D28" s="21"/>
      <c r="E28" s="21"/>
      <c r="F28" s="21"/>
      <c r="G28" s="21"/>
      <c r="H28" s="21"/>
      <c r="J28" s="21"/>
      <c r="K28" s="21"/>
      <c r="L28" s="21"/>
      <c r="M28" s="21"/>
      <c r="N28" s="21"/>
      <c r="O28" s="21"/>
      <c r="Q28" s="21"/>
      <c r="R28" s="21"/>
      <c r="S28" s="21"/>
      <c r="T28" s="21"/>
      <c r="U28" s="21"/>
      <c r="V28" s="21"/>
      <c r="X28" s="21"/>
      <c r="Y28" s="21"/>
      <c r="Z28" s="21"/>
      <c r="AA28" s="21"/>
      <c r="AB28" s="21"/>
      <c r="AC28" s="21"/>
    </row>
    <row r="29" spans="1:29" x14ac:dyDescent="0.2">
      <c r="A29" s="20">
        <v>2047</v>
      </c>
      <c r="C29" s="21"/>
      <c r="D29" s="21"/>
      <c r="E29" s="21"/>
      <c r="F29" s="21"/>
      <c r="G29" s="21"/>
      <c r="H29" s="21"/>
      <c r="J29" s="21"/>
      <c r="K29" s="21"/>
      <c r="L29" s="21"/>
      <c r="M29" s="21"/>
      <c r="N29" s="21"/>
      <c r="O29" s="21"/>
      <c r="Q29" s="21"/>
      <c r="R29" s="21"/>
      <c r="S29" s="21"/>
      <c r="T29" s="21"/>
      <c r="U29" s="21"/>
      <c r="V29" s="21"/>
      <c r="X29" s="21"/>
      <c r="Y29" s="21"/>
      <c r="Z29" s="21"/>
      <c r="AA29" s="21"/>
      <c r="AB29" s="21"/>
      <c r="AC29" s="21"/>
    </row>
    <row r="30" spans="1:29" x14ac:dyDescent="0.2">
      <c r="A30" s="20">
        <v>2048</v>
      </c>
      <c r="C30" s="21"/>
      <c r="D30" s="21"/>
      <c r="E30" s="21"/>
      <c r="F30" s="21"/>
      <c r="G30" s="21"/>
      <c r="H30" s="21"/>
      <c r="J30" s="21"/>
      <c r="K30" s="21"/>
      <c r="L30" s="21"/>
      <c r="M30" s="21"/>
      <c r="N30" s="21"/>
      <c r="O30" s="21"/>
      <c r="Q30" s="21"/>
      <c r="R30" s="21"/>
      <c r="S30" s="21"/>
      <c r="T30" s="21"/>
      <c r="U30" s="21"/>
      <c r="V30" s="21"/>
      <c r="X30" s="21"/>
      <c r="Y30" s="21"/>
      <c r="Z30" s="21"/>
      <c r="AA30" s="21"/>
      <c r="AB30" s="21"/>
      <c r="AC30" s="21"/>
    </row>
    <row r="31" spans="1:29" x14ac:dyDescent="0.2">
      <c r="A31" s="20">
        <v>2049</v>
      </c>
      <c r="C31" s="21"/>
      <c r="D31" s="21"/>
      <c r="E31" s="21"/>
      <c r="F31" s="21"/>
      <c r="G31" s="21"/>
      <c r="H31" s="21"/>
      <c r="J31" s="21"/>
      <c r="K31" s="21"/>
      <c r="L31" s="21"/>
      <c r="M31" s="21"/>
      <c r="N31" s="21"/>
      <c r="O31" s="21"/>
      <c r="Q31" s="21"/>
      <c r="R31" s="21"/>
      <c r="S31" s="21"/>
      <c r="T31" s="21"/>
      <c r="U31" s="21"/>
      <c r="V31" s="21"/>
      <c r="X31" s="21"/>
      <c r="Y31" s="21"/>
      <c r="Z31" s="21"/>
      <c r="AA31" s="21"/>
      <c r="AB31" s="21"/>
      <c r="AC31" s="21"/>
    </row>
    <row r="32" spans="1:29" x14ac:dyDescent="0.2">
      <c r="A32" s="20">
        <v>2050</v>
      </c>
      <c r="C32" s="21"/>
      <c r="D32" s="21"/>
      <c r="E32" s="21"/>
      <c r="F32" s="21"/>
      <c r="G32" s="21"/>
      <c r="H32" s="21"/>
      <c r="J32" s="21"/>
      <c r="K32" s="21"/>
      <c r="L32" s="21"/>
      <c r="M32" s="21"/>
      <c r="N32" s="21"/>
      <c r="O32" s="21"/>
      <c r="Q32" s="21"/>
      <c r="R32" s="21"/>
      <c r="S32" s="21"/>
      <c r="T32" s="21"/>
      <c r="U32" s="21"/>
      <c r="V32" s="21"/>
      <c r="X32" s="21"/>
      <c r="Y32" s="21"/>
      <c r="Z32" s="21"/>
      <c r="AA32" s="21"/>
      <c r="AB32" s="21"/>
      <c r="AC32" s="21"/>
    </row>
    <row r="33" spans="1:29" x14ac:dyDescent="0.2">
      <c r="A33" s="20">
        <v>2051</v>
      </c>
      <c r="C33" s="21"/>
      <c r="D33" s="21"/>
      <c r="E33" s="21"/>
      <c r="F33" s="21"/>
      <c r="G33" s="21"/>
      <c r="H33" s="21"/>
      <c r="J33" s="21"/>
      <c r="K33" s="21"/>
      <c r="L33" s="21"/>
      <c r="M33" s="21"/>
      <c r="N33" s="21"/>
      <c r="O33" s="21"/>
      <c r="Q33" s="21"/>
      <c r="R33" s="21"/>
      <c r="S33" s="21"/>
      <c r="T33" s="21"/>
      <c r="U33" s="21"/>
      <c r="V33" s="21"/>
      <c r="X33" s="21"/>
      <c r="Y33" s="21"/>
      <c r="Z33" s="21"/>
      <c r="AA33" s="21"/>
      <c r="AB33" s="21"/>
      <c r="AC33" s="21"/>
    </row>
    <row r="34" spans="1:29" x14ac:dyDescent="0.2">
      <c r="A34" s="20">
        <v>2052</v>
      </c>
      <c r="C34" s="21"/>
      <c r="D34" s="21"/>
      <c r="E34" s="21"/>
      <c r="F34" s="21"/>
      <c r="G34" s="21"/>
      <c r="H34" s="21"/>
      <c r="J34" s="21"/>
      <c r="K34" s="21"/>
      <c r="L34" s="21"/>
      <c r="M34" s="21"/>
      <c r="N34" s="21"/>
      <c r="O34" s="21"/>
      <c r="Q34" s="21"/>
      <c r="R34" s="21"/>
      <c r="S34" s="21"/>
      <c r="T34" s="21"/>
      <c r="U34" s="21"/>
      <c r="V34" s="21"/>
      <c r="X34" s="21"/>
      <c r="Y34" s="21"/>
      <c r="Z34" s="21"/>
      <c r="AA34" s="21"/>
      <c r="AB34" s="21"/>
      <c r="AC34" s="21"/>
    </row>
    <row r="35" spans="1:29" x14ac:dyDescent="0.2">
      <c r="A35" s="20">
        <v>2053</v>
      </c>
      <c r="C35" s="21"/>
      <c r="D35" s="21"/>
      <c r="E35" s="21"/>
      <c r="F35" s="21"/>
      <c r="G35" s="21"/>
      <c r="H35" s="21"/>
      <c r="J35" s="21"/>
      <c r="K35" s="21"/>
      <c r="L35" s="21"/>
      <c r="M35" s="21"/>
      <c r="N35" s="21"/>
      <c r="O35" s="21"/>
      <c r="Q35" s="21"/>
      <c r="R35" s="21"/>
      <c r="S35" s="21"/>
      <c r="T35" s="21"/>
      <c r="U35" s="21"/>
      <c r="V35" s="21"/>
      <c r="X35" s="21"/>
      <c r="Y35" s="21"/>
      <c r="Z35" s="21"/>
      <c r="AA35" s="21"/>
      <c r="AB35" s="21"/>
      <c r="AC35" s="21"/>
    </row>
    <row r="36" spans="1:29" x14ac:dyDescent="0.2">
      <c r="A36" s="20">
        <v>2054</v>
      </c>
      <c r="C36" s="21"/>
      <c r="D36" s="21"/>
      <c r="E36" s="21"/>
      <c r="F36" s="21"/>
      <c r="G36" s="21"/>
      <c r="H36" s="21"/>
      <c r="J36" s="21"/>
      <c r="K36" s="21"/>
      <c r="L36" s="21"/>
      <c r="M36" s="21"/>
      <c r="N36" s="21"/>
      <c r="O36" s="21"/>
      <c r="Q36" s="21"/>
      <c r="R36" s="21"/>
      <c r="S36" s="21"/>
      <c r="T36" s="21"/>
      <c r="U36" s="21"/>
      <c r="V36" s="21"/>
      <c r="X36" s="21"/>
      <c r="Y36" s="21"/>
      <c r="Z36" s="21"/>
      <c r="AA36" s="21"/>
      <c r="AB36" s="21"/>
      <c r="AC36" s="21"/>
    </row>
    <row r="37" spans="1:29" x14ac:dyDescent="0.2">
      <c r="A37" s="20">
        <v>2055</v>
      </c>
      <c r="C37" s="21"/>
      <c r="D37" s="21"/>
      <c r="E37" s="21"/>
      <c r="F37" s="21"/>
      <c r="G37" s="21"/>
      <c r="H37" s="21"/>
      <c r="J37" s="21"/>
      <c r="K37" s="21"/>
      <c r="L37" s="21"/>
      <c r="M37" s="21"/>
      <c r="N37" s="21"/>
      <c r="O37" s="21"/>
      <c r="Q37" s="21"/>
      <c r="R37" s="21"/>
      <c r="S37" s="21"/>
      <c r="T37" s="21"/>
      <c r="U37" s="21"/>
      <c r="V37" s="21"/>
      <c r="X37" s="21"/>
      <c r="Y37" s="21"/>
      <c r="Z37" s="21"/>
      <c r="AA37" s="21"/>
      <c r="AB37" s="21"/>
      <c r="AC37" s="21"/>
    </row>
    <row r="38" spans="1:29" x14ac:dyDescent="0.2">
      <c r="A38" s="20">
        <v>2056</v>
      </c>
      <c r="C38" s="21"/>
      <c r="D38" s="21"/>
      <c r="E38" s="21"/>
      <c r="F38" s="21"/>
      <c r="G38" s="21"/>
      <c r="H38" s="21"/>
      <c r="J38" s="21"/>
      <c r="K38" s="21"/>
      <c r="L38" s="21"/>
      <c r="M38" s="21"/>
      <c r="N38" s="21"/>
      <c r="O38" s="21"/>
      <c r="Q38" s="21"/>
      <c r="R38" s="21"/>
      <c r="S38" s="21"/>
      <c r="T38" s="21"/>
      <c r="U38" s="21"/>
      <c r="V38" s="21"/>
      <c r="X38" s="21"/>
      <c r="Y38" s="21"/>
      <c r="Z38" s="21"/>
      <c r="AA38" s="21"/>
      <c r="AB38" s="21"/>
      <c r="AC38" s="21"/>
    </row>
    <row r="39" spans="1:29" x14ac:dyDescent="0.2">
      <c r="A39" s="20">
        <v>2057</v>
      </c>
      <c r="C39" s="21"/>
      <c r="D39" s="21"/>
      <c r="E39" s="21"/>
      <c r="F39" s="21"/>
      <c r="G39" s="21"/>
      <c r="H39" s="21"/>
      <c r="J39" s="21"/>
      <c r="K39" s="21"/>
      <c r="L39" s="21"/>
      <c r="M39" s="21"/>
      <c r="N39" s="21"/>
      <c r="O39" s="21"/>
      <c r="Q39" s="21"/>
      <c r="R39" s="21"/>
      <c r="S39" s="21"/>
      <c r="T39" s="21"/>
      <c r="U39" s="21"/>
      <c r="V39" s="21"/>
      <c r="X39" s="21"/>
      <c r="Y39" s="21"/>
      <c r="Z39" s="21"/>
      <c r="AA39" s="21"/>
      <c r="AB39" s="21"/>
      <c r="AC39" s="21"/>
    </row>
    <row r="40" spans="1:29" x14ac:dyDescent="0.2">
      <c r="A40" s="20">
        <v>2058</v>
      </c>
      <c r="C40" s="21"/>
      <c r="D40" s="21"/>
      <c r="E40" s="21"/>
      <c r="F40" s="21"/>
      <c r="G40" s="21"/>
      <c r="H40" s="21"/>
      <c r="J40" s="21"/>
      <c r="K40" s="21"/>
      <c r="L40" s="21"/>
      <c r="M40" s="21"/>
      <c r="N40" s="21"/>
      <c r="O40" s="21"/>
      <c r="Q40" s="21"/>
      <c r="R40" s="21"/>
      <c r="S40" s="21"/>
      <c r="T40" s="21"/>
      <c r="U40" s="21"/>
      <c r="V40" s="21"/>
      <c r="X40" s="21"/>
      <c r="Y40" s="21"/>
      <c r="Z40" s="21"/>
      <c r="AA40" s="21"/>
      <c r="AB40" s="21"/>
      <c r="AC40" s="21"/>
    </row>
    <row r="41" spans="1:29" x14ac:dyDescent="0.2">
      <c r="A41" s="20">
        <v>2059</v>
      </c>
      <c r="C41" s="21"/>
      <c r="D41" s="21"/>
      <c r="E41" s="21"/>
      <c r="F41" s="21"/>
      <c r="G41" s="21"/>
      <c r="H41" s="21"/>
      <c r="J41" s="21"/>
      <c r="K41" s="21"/>
      <c r="L41" s="21"/>
      <c r="M41" s="21"/>
      <c r="N41" s="21"/>
      <c r="O41" s="21"/>
      <c r="Q41" s="21"/>
      <c r="R41" s="21"/>
      <c r="S41" s="21"/>
      <c r="T41" s="21"/>
      <c r="U41" s="21"/>
      <c r="V41" s="21"/>
      <c r="X41" s="21"/>
      <c r="Y41" s="21"/>
      <c r="Z41" s="21"/>
      <c r="AA41" s="21"/>
      <c r="AB41" s="21"/>
      <c r="AC41" s="21"/>
    </row>
    <row r="42" spans="1:29" x14ac:dyDescent="0.2">
      <c r="A42" s="20">
        <v>2060</v>
      </c>
      <c r="C42" s="21"/>
      <c r="D42" s="21"/>
      <c r="E42" s="21"/>
      <c r="F42" s="21"/>
      <c r="G42" s="21"/>
      <c r="H42" s="21"/>
      <c r="J42" s="21"/>
      <c r="K42" s="21"/>
      <c r="L42" s="21"/>
      <c r="M42" s="21"/>
      <c r="N42" s="21"/>
      <c r="O42" s="21"/>
      <c r="Q42" s="21"/>
      <c r="R42" s="21"/>
      <c r="S42" s="21"/>
      <c r="T42" s="21"/>
      <c r="U42" s="21"/>
      <c r="V42" s="21"/>
      <c r="X42" s="21"/>
      <c r="Y42" s="21"/>
      <c r="Z42" s="21"/>
      <c r="AA42" s="21"/>
      <c r="AB42" s="21"/>
      <c r="AC42" s="21"/>
    </row>
    <row r="43" spans="1:29" x14ac:dyDescent="0.2">
      <c r="A43" s="20">
        <v>2061</v>
      </c>
      <c r="C43" s="21"/>
      <c r="D43" s="21"/>
      <c r="E43" s="21"/>
      <c r="F43" s="21"/>
      <c r="G43" s="21"/>
      <c r="H43" s="21"/>
      <c r="J43" s="21"/>
      <c r="K43" s="21"/>
      <c r="L43" s="21"/>
      <c r="M43" s="21"/>
      <c r="N43" s="21"/>
      <c r="O43" s="21"/>
      <c r="Q43" s="21"/>
      <c r="R43" s="21"/>
      <c r="S43" s="21"/>
      <c r="T43" s="21"/>
      <c r="U43" s="21"/>
      <c r="V43" s="21"/>
      <c r="X43" s="21"/>
      <c r="Y43" s="21"/>
      <c r="Z43" s="21"/>
      <c r="AA43" s="21"/>
      <c r="AB43" s="21"/>
      <c r="AC43" s="21"/>
    </row>
    <row r="44" spans="1:29" x14ac:dyDescent="0.2">
      <c r="A44" s="20">
        <v>2062</v>
      </c>
      <c r="C44" s="21"/>
      <c r="D44" s="21"/>
      <c r="E44" s="21"/>
      <c r="F44" s="21"/>
      <c r="G44" s="21"/>
      <c r="H44" s="21"/>
      <c r="J44" s="21"/>
      <c r="K44" s="21"/>
      <c r="L44" s="21"/>
      <c r="M44" s="21"/>
      <c r="N44" s="21"/>
      <c r="O44" s="21"/>
      <c r="Q44" s="21"/>
      <c r="R44" s="21"/>
      <c r="S44" s="21"/>
      <c r="T44" s="21"/>
      <c r="U44" s="21"/>
      <c r="V44" s="21"/>
      <c r="X44" s="21"/>
      <c r="Y44" s="21"/>
      <c r="Z44" s="21"/>
      <c r="AA44" s="21"/>
      <c r="AB44" s="21"/>
      <c r="AC44" s="21"/>
    </row>
    <row r="45" spans="1:29" x14ac:dyDescent="0.2">
      <c r="A45" s="20">
        <v>2063</v>
      </c>
      <c r="C45" s="21"/>
      <c r="D45" s="21"/>
      <c r="E45" s="21"/>
      <c r="F45" s="21"/>
      <c r="G45" s="21"/>
      <c r="H45" s="21"/>
      <c r="J45" s="21"/>
      <c r="K45" s="21"/>
      <c r="L45" s="21"/>
      <c r="M45" s="21"/>
      <c r="N45" s="21"/>
      <c r="O45" s="21"/>
      <c r="Q45" s="21"/>
      <c r="R45" s="21"/>
      <c r="S45" s="21"/>
      <c r="T45" s="21"/>
      <c r="U45" s="21"/>
      <c r="V45" s="21"/>
      <c r="X45" s="21"/>
      <c r="Y45" s="21"/>
      <c r="Z45" s="21"/>
      <c r="AA45" s="21"/>
      <c r="AB45" s="21"/>
      <c r="AC45" s="21"/>
    </row>
    <row r="46" spans="1:29" x14ac:dyDescent="0.2">
      <c r="A46" s="20">
        <v>2064</v>
      </c>
      <c r="C46" s="21"/>
      <c r="D46" s="21"/>
      <c r="E46" s="21"/>
      <c r="F46" s="21"/>
      <c r="G46" s="21"/>
      <c r="H46" s="21"/>
      <c r="J46" s="21"/>
      <c r="K46" s="21"/>
      <c r="L46" s="21"/>
      <c r="M46" s="21"/>
      <c r="N46" s="21"/>
      <c r="O46" s="21"/>
      <c r="Q46" s="21"/>
      <c r="R46" s="21"/>
      <c r="S46" s="21"/>
      <c r="T46" s="21"/>
      <c r="U46" s="21"/>
      <c r="V46" s="21"/>
      <c r="X46" s="21"/>
      <c r="Y46" s="21"/>
      <c r="Z46" s="21"/>
      <c r="AA46" s="21"/>
      <c r="AB46" s="21"/>
      <c r="AC46" s="21"/>
    </row>
    <row r="47" spans="1:29" x14ac:dyDescent="0.2">
      <c r="A47" s="20">
        <v>2065</v>
      </c>
      <c r="C47" s="21"/>
      <c r="D47" s="21"/>
      <c r="E47" s="21"/>
      <c r="F47" s="21"/>
      <c r="G47" s="21"/>
      <c r="H47" s="21"/>
      <c r="J47" s="21"/>
      <c r="K47" s="21"/>
      <c r="L47" s="21"/>
      <c r="M47" s="21"/>
      <c r="N47" s="21"/>
      <c r="O47" s="21"/>
      <c r="Q47" s="21"/>
      <c r="R47" s="21"/>
      <c r="S47" s="21"/>
      <c r="T47" s="21"/>
      <c r="U47" s="21"/>
      <c r="V47" s="21"/>
      <c r="X47" s="21"/>
      <c r="Y47" s="21"/>
      <c r="Z47" s="21"/>
      <c r="AA47" s="21"/>
      <c r="AB47" s="21"/>
      <c r="AC47" s="21"/>
    </row>
    <row r="48" spans="1:29" x14ac:dyDescent="0.2">
      <c r="A48" s="20">
        <v>2066</v>
      </c>
      <c r="C48" s="21"/>
      <c r="D48" s="21"/>
      <c r="E48" s="21"/>
      <c r="F48" s="21"/>
      <c r="G48" s="21"/>
      <c r="H48" s="21"/>
      <c r="J48" s="21"/>
      <c r="K48" s="21"/>
      <c r="L48" s="21"/>
      <c r="M48" s="21"/>
      <c r="N48" s="21"/>
      <c r="O48" s="21"/>
      <c r="Q48" s="21"/>
      <c r="R48" s="21"/>
      <c r="S48" s="21"/>
      <c r="T48" s="21"/>
      <c r="U48" s="21"/>
      <c r="V48" s="21"/>
      <c r="X48" s="21"/>
      <c r="Y48" s="21"/>
      <c r="Z48" s="21"/>
      <c r="AA48" s="21"/>
      <c r="AB48" s="21"/>
      <c r="AC48" s="21"/>
    </row>
    <row r="49" spans="1:29" x14ac:dyDescent="0.2">
      <c r="A49" s="20">
        <v>2067</v>
      </c>
      <c r="C49" s="21"/>
      <c r="D49" s="21"/>
      <c r="E49" s="21"/>
      <c r="F49" s="21"/>
      <c r="G49" s="21"/>
      <c r="H49" s="21"/>
      <c r="J49" s="21"/>
      <c r="K49" s="21"/>
      <c r="L49" s="21"/>
      <c r="M49" s="21"/>
      <c r="N49" s="21"/>
      <c r="O49" s="21"/>
      <c r="Q49" s="21"/>
      <c r="R49" s="21"/>
      <c r="S49" s="21"/>
      <c r="T49" s="21"/>
      <c r="U49" s="21"/>
      <c r="V49" s="21"/>
      <c r="X49" s="21"/>
      <c r="Y49" s="21"/>
      <c r="Z49" s="21"/>
      <c r="AA49" s="21"/>
      <c r="AB49" s="21"/>
      <c r="AC49" s="21"/>
    </row>
    <row r="50" spans="1:29" x14ac:dyDescent="0.2">
      <c r="A50" s="20">
        <v>2068</v>
      </c>
      <c r="C50" s="21"/>
      <c r="D50" s="21"/>
      <c r="E50" s="21"/>
      <c r="F50" s="21"/>
      <c r="G50" s="21"/>
      <c r="H50" s="21"/>
      <c r="J50" s="21"/>
      <c r="K50" s="21"/>
      <c r="L50" s="21"/>
      <c r="M50" s="21"/>
      <c r="N50" s="21"/>
      <c r="O50" s="21"/>
      <c r="Q50" s="21"/>
      <c r="R50" s="21"/>
      <c r="S50" s="21"/>
      <c r="T50" s="21"/>
      <c r="U50" s="21"/>
      <c r="V50" s="21"/>
      <c r="X50" s="21"/>
      <c r="Y50" s="21"/>
      <c r="Z50" s="21"/>
      <c r="AA50" s="21"/>
      <c r="AB50" s="21"/>
      <c r="AC50" s="21"/>
    </row>
    <row r="51" spans="1:29" x14ac:dyDescent="0.2">
      <c r="A51" s="20">
        <v>2069</v>
      </c>
      <c r="C51" s="21"/>
      <c r="D51" s="21"/>
      <c r="E51" s="21"/>
      <c r="F51" s="21"/>
      <c r="G51" s="21"/>
      <c r="H51" s="21"/>
      <c r="J51" s="21"/>
      <c r="K51" s="21"/>
      <c r="L51" s="21"/>
      <c r="M51" s="21"/>
      <c r="N51" s="21"/>
      <c r="O51" s="21"/>
      <c r="Q51" s="21"/>
      <c r="R51" s="21"/>
      <c r="S51" s="21"/>
      <c r="T51" s="21"/>
      <c r="U51" s="21"/>
      <c r="V51" s="21"/>
      <c r="X51" s="21"/>
      <c r="Y51" s="21"/>
      <c r="Z51" s="21"/>
      <c r="AA51" s="21"/>
      <c r="AB51" s="21"/>
      <c r="AC51" s="21"/>
    </row>
    <row r="52" spans="1:29" x14ac:dyDescent="0.2">
      <c r="A52" s="22">
        <v>2070</v>
      </c>
      <c r="C52" s="23"/>
      <c r="D52" s="23"/>
      <c r="E52" s="23"/>
      <c r="F52" s="23"/>
      <c r="G52" s="23"/>
      <c r="H52" s="23"/>
      <c r="J52" s="23"/>
      <c r="K52" s="23"/>
      <c r="L52" s="23"/>
      <c r="M52" s="23"/>
      <c r="N52" s="23"/>
      <c r="O52" s="23"/>
      <c r="Q52" s="23"/>
      <c r="R52" s="23"/>
      <c r="S52" s="23"/>
      <c r="T52" s="23"/>
      <c r="U52" s="23"/>
      <c r="V52" s="23"/>
      <c r="X52" s="23"/>
      <c r="Y52" s="23"/>
      <c r="Z52" s="23"/>
      <c r="AA52" s="23"/>
      <c r="AB52" s="23"/>
      <c r="AC52" s="2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2A158-A8E4-4B7E-9EF9-813453D4177C}">
  <sheetPr>
    <tabColor rgb="FF1576AB"/>
  </sheetPr>
  <dimension ref="B2:F46"/>
  <sheetViews>
    <sheetView tabSelected="1" view="pageBreakPreview" zoomScale="85" zoomScaleNormal="70" zoomScaleSheetLayoutView="85" workbookViewId="0">
      <selection activeCell="N7" sqref="N7"/>
    </sheetView>
  </sheetViews>
  <sheetFormatPr defaultColWidth="8.7109375" defaultRowHeight="14.25" x14ac:dyDescent="0.2"/>
  <cols>
    <col min="1" max="1" width="8.7109375" style="6"/>
    <col min="2" max="2" width="33.85546875" style="6" customWidth="1"/>
    <col min="3" max="3" width="41.42578125" style="6" customWidth="1"/>
    <col min="4" max="4" width="26.85546875" style="6" customWidth="1"/>
    <col min="5" max="5" width="27.28515625" style="6" customWidth="1"/>
    <col min="6" max="16384" width="8.7109375" style="6"/>
  </cols>
  <sheetData>
    <row r="2" spans="2:6" ht="15" thickBot="1" x14ac:dyDescent="0.25"/>
    <row r="3" spans="2:6" ht="18" x14ac:dyDescent="0.2">
      <c r="B3" s="141" t="s">
        <v>18</v>
      </c>
      <c r="C3" s="142"/>
    </row>
    <row r="4" spans="2:6" ht="15" thickBot="1" x14ac:dyDescent="0.25">
      <c r="B4" s="143"/>
      <c r="C4" s="144"/>
    </row>
    <row r="5" spans="2:6" ht="16.5" thickBot="1" x14ac:dyDescent="0.25">
      <c r="B5" s="145" t="s">
        <v>19</v>
      </c>
      <c r="C5" s="146" t="s">
        <v>20</v>
      </c>
    </row>
    <row r="6" spans="2:6" ht="16.5" thickBot="1" x14ac:dyDescent="0.25">
      <c r="B6" s="147" t="s">
        <v>21</v>
      </c>
      <c r="C6" s="146" t="s">
        <v>22</v>
      </c>
    </row>
    <row r="7" spans="2:6" ht="69" customHeight="1" thickBot="1" x14ac:dyDescent="0.25">
      <c r="B7" s="148" t="s">
        <v>23</v>
      </c>
      <c r="C7" s="146"/>
    </row>
    <row r="8" spans="2:6" ht="15" thickBot="1" x14ac:dyDescent="0.25">
      <c r="B8" s="143"/>
      <c r="C8" s="144"/>
    </row>
    <row r="9" spans="2:6" ht="16.5" thickBot="1" x14ac:dyDescent="0.25">
      <c r="B9" s="145" t="s">
        <v>24</v>
      </c>
      <c r="C9" s="146">
        <v>2026</v>
      </c>
    </row>
    <row r="10" spans="2:6" ht="26.25" thickBot="1" x14ac:dyDescent="0.25">
      <c r="B10" s="149" t="s">
        <v>25</v>
      </c>
      <c r="C10" s="150">
        <v>2026</v>
      </c>
    </row>
    <row r="11" spans="2:6" ht="15" thickBot="1" x14ac:dyDescent="0.25"/>
    <row r="12" spans="2:6" ht="36" x14ac:dyDescent="0.2">
      <c r="B12" s="141" t="s">
        <v>26</v>
      </c>
      <c r="C12" s="151"/>
      <c r="D12" s="151"/>
      <c r="E12" s="151"/>
      <c r="F12" s="142"/>
    </row>
    <row r="13" spans="2:6" x14ac:dyDescent="0.2">
      <c r="B13" s="143"/>
      <c r="C13" s="139"/>
      <c r="D13" s="139"/>
      <c r="E13" s="139"/>
      <c r="F13" s="144"/>
    </row>
    <row r="14" spans="2:6" ht="15.75" x14ac:dyDescent="0.2">
      <c r="B14" s="152" t="s">
        <v>27</v>
      </c>
      <c r="C14" s="139"/>
      <c r="D14" s="139"/>
      <c r="E14" s="139"/>
      <c r="F14" s="144"/>
    </row>
    <row r="15" spans="2:6" x14ac:dyDescent="0.2">
      <c r="B15" s="153" t="s">
        <v>28</v>
      </c>
      <c r="C15" s="139"/>
      <c r="D15" s="139"/>
      <c r="E15" s="139"/>
      <c r="F15" s="144"/>
    </row>
    <row r="16" spans="2:6" ht="15" thickBot="1" x14ac:dyDescent="0.25">
      <c r="B16" s="147" t="s">
        <v>29</v>
      </c>
      <c r="C16" s="9" t="s">
        <v>30</v>
      </c>
      <c r="D16" s="9" t="s">
        <v>31</v>
      </c>
      <c r="E16" s="139"/>
      <c r="F16" s="144"/>
    </row>
    <row r="17" spans="2:6" ht="52.9" customHeight="1" thickBot="1" x14ac:dyDescent="0.25">
      <c r="B17" s="154" t="s">
        <v>32</v>
      </c>
      <c r="C17" s="11" t="s">
        <v>33</v>
      </c>
      <c r="D17" s="53">
        <f>'Benefit 1 - Unplanned Outages'!H22</f>
        <v>780920.76512216381</v>
      </c>
      <c r="E17" s="139"/>
      <c r="F17" s="144"/>
    </row>
    <row r="18" spans="2:6" ht="31.15" customHeight="1" thickBot="1" x14ac:dyDescent="0.25">
      <c r="B18" s="155" t="s">
        <v>34</v>
      </c>
      <c r="C18" s="8" t="s">
        <v>33</v>
      </c>
      <c r="D18" s="52">
        <f>'Benefit 2 - Planned Outages'!F22</f>
        <v>2342762.2953664912</v>
      </c>
      <c r="E18" s="139"/>
      <c r="F18" s="144"/>
    </row>
    <row r="19" spans="2:6" ht="16.5" thickBot="1" x14ac:dyDescent="0.25">
      <c r="B19" s="154" t="s">
        <v>35</v>
      </c>
      <c r="C19" s="11" t="s">
        <v>36</v>
      </c>
      <c r="D19" s="53">
        <f>'Benefit 3 - Transmission Charge'!O28</f>
        <v>421755.5798816568</v>
      </c>
      <c r="E19" s="139"/>
      <c r="F19" s="144"/>
    </row>
    <row r="20" spans="2:6" ht="16.5" thickBot="1" x14ac:dyDescent="0.25">
      <c r="B20" s="155"/>
      <c r="C20" s="8"/>
      <c r="D20" s="52"/>
      <c r="E20" s="139"/>
      <c r="F20" s="144"/>
    </row>
    <row r="21" spans="2:6" ht="16.5" thickBot="1" x14ac:dyDescent="0.25">
      <c r="B21" s="154"/>
      <c r="C21" s="11"/>
      <c r="D21" s="11"/>
      <c r="E21" s="139"/>
      <c r="F21" s="144"/>
    </row>
    <row r="22" spans="2:6" ht="15.75" thickBot="1" x14ac:dyDescent="0.3">
      <c r="B22" s="156" t="s">
        <v>37</v>
      </c>
      <c r="C22" s="12"/>
      <c r="D22" s="54">
        <f>SUM(D17:D21)</f>
        <v>3545438.6403703121</v>
      </c>
      <c r="E22" s="139"/>
      <c r="F22" s="144"/>
    </row>
    <row r="23" spans="2:6" x14ac:dyDescent="0.2">
      <c r="B23" s="143"/>
      <c r="C23" s="139"/>
      <c r="D23" s="139"/>
      <c r="E23" s="139"/>
      <c r="F23" s="144"/>
    </row>
    <row r="24" spans="2:6" ht="15.75" x14ac:dyDescent="0.2">
      <c r="B24" s="152" t="s">
        <v>38</v>
      </c>
      <c r="C24" s="139"/>
      <c r="D24" s="139"/>
      <c r="E24" s="139"/>
      <c r="F24" s="144"/>
    </row>
    <row r="25" spans="2:6" x14ac:dyDescent="0.2">
      <c r="B25" s="153" t="s">
        <v>28</v>
      </c>
      <c r="C25" s="139"/>
      <c r="D25" s="139"/>
      <c r="E25" s="139"/>
      <c r="F25" s="144"/>
    </row>
    <row r="26" spans="2:6" ht="15" thickBot="1" x14ac:dyDescent="0.25">
      <c r="B26" s="147" t="s">
        <v>39</v>
      </c>
      <c r="C26" s="9" t="s">
        <v>40</v>
      </c>
      <c r="D26" s="9" t="s">
        <v>31</v>
      </c>
      <c r="E26" s="139"/>
      <c r="F26" s="144"/>
    </row>
    <row r="27" spans="2:6" ht="16.5" thickBot="1" x14ac:dyDescent="0.25">
      <c r="B27" s="155" t="s">
        <v>41</v>
      </c>
      <c r="C27" s="8" t="s">
        <v>42</v>
      </c>
      <c r="D27" s="52">
        <f>NWS!C55</f>
        <v>1796548.9343883242</v>
      </c>
      <c r="E27" s="139"/>
      <c r="F27" s="144"/>
    </row>
    <row r="28" spans="2:6" ht="15.75" thickBot="1" x14ac:dyDescent="0.3">
      <c r="B28" s="156" t="s">
        <v>43</v>
      </c>
      <c r="C28" s="12"/>
      <c r="D28" s="13"/>
      <c r="E28" s="139"/>
      <c r="F28" s="144"/>
    </row>
    <row r="29" spans="2:6" ht="15" thickBot="1" x14ac:dyDescent="0.25">
      <c r="B29" s="143"/>
      <c r="C29" s="139"/>
      <c r="D29" s="139"/>
      <c r="E29" s="139"/>
      <c r="F29" s="144"/>
    </row>
    <row r="30" spans="2:6" ht="16.5" thickBot="1" x14ac:dyDescent="0.25">
      <c r="B30" s="157" t="s">
        <v>44</v>
      </c>
      <c r="C30" s="52">
        <f>D22-D27</f>
        <v>1748889.705981988</v>
      </c>
      <c r="D30" s="55">
        <f>D22/D27</f>
        <v>1.9734717894435962</v>
      </c>
      <c r="E30" s="14" t="s">
        <v>45</v>
      </c>
      <c r="F30" s="144"/>
    </row>
    <row r="31" spans="2:6" ht="15" thickBot="1" x14ac:dyDescent="0.25">
      <c r="B31" s="158"/>
      <c r="C31" s="159"/>
      <c r="D31" s="159"/>
      <c r="E31" s="159"/>
      <c r="F31" s="160"/>
    </row>
    <row r="32" spans="2:6" ht="15" thickBot="1" x14ac:dyDescent="0.25"/>
    <row r="33" spans="2:6" ht="18" x14ac:dyDescent="0.2">
      <c r="B33" s="141" t="s">
        <v>46</v>
      </c>
      <c r="C33" s="151"/>
      <c r="D33" s="151"/>
      <c r="E33" s="151"/>
      <c r="F33" s="142"/>
    </row>
    <row r="34" spans="2:6" x14ac:dyDescent="0.2">
      <c r="B34" s="143"/>
      <c r="C34" s="139"/>
      <c r="D34" s="139"/>
      <c r="E34" s="139"/>
      <c r="F34" s="144"/>
    </row>
    <row r="35" spans="2:6" ht="15.75" x14ac:dyDescent="0.2">
      <c r="B35" s="152" t="s">
        <v>47</v>
      </c>
      <c r="C35" s="139"/>
      <c r="D35" s="139"/>
      <c r="E35" s="139"/>
      <c r="F35" s="144"/>
    </row>
    <row r="36" spans="2:6" x14ac:dyDescent="0.2">
      <c r="B36" s="153" t="s">
        <v>28</v>
      </c>
      <c r="C36" s="139"/>
      <c r="D36" s="139"/>
      <c r="E36" s="139"/>
      <c r="F36" s="144"/>
    </row>
    <row r="37" spans="2:6" ht="15" thickBot="1" x14ac:dyDescent="0.25">
      <c r="B37" s="147" t="s">
        <v>29</v>
      </c>
      <c r="C37" s="9" t="s">
        <v>30</v>
      </c>
      <c r="D37" s="9" t="s">
        <v>31</v>
      </c>
      <c r="E37" s="139"/>
      <c r="F37" s="144"/>
    </row>
    <row r="38" spans="2:6" ht="15.75" thickBot="1" x14ac:dyDescent="0.3">
      <c r="B38" s="156" t="s">
        <v>48</v>
      </c>
      <c r="C38" s="12"/>
      <c r="D38" s="13"/>
      <c r="E38" s="139"/>
      <c r="F38" s="144"/>
    </row>
    <row r="39" spans="2:6" x14ac:dyDescent="0.2">
      <c r="B39" s="143"/>
      <c r="C39" s="139"/>
      <c r="D39" s="139"/>
      <c r="E39" s="139"/>
      <c r="F39" s="144"/>
    </row>
    <row r="40" spans="2:6" ht="15.75" x14ac:dyDescent="0.2">
      <c r="B40" s="152" t="s">
        <v>49</v>
      </c>
      <c r="C40" s="139"/>
      <c r="D40" s="139"/>
      <c r="E40" s="139"/>
      <c r="F40" s="144"/>
    </row>
    <row r="41" spans="2:6" x14ac:dyDescent="0.2">
      <c r="B41" s="153" t="s">
        <v>28</v>
      </c>
      <c r="C41" s="139"/>
      <c r="D41" s="139"/>
      <c r="E41" s="139"/>
      <c r="F41" s="144"/>
    </row>
    <row r="42" spans="2:6" ht="15" thickBot="1" x14ac:dyDescent="0.25">
      <c r="B42" s="147" t="s">
        <v>39</v>
      </c>
      <c r="C42" s="9" t="s">
        <v>40</v>
      </c>
      <c r="D42" s="9" t="s">
        <v>31</v>
      </c>
      <c r="E42" s="139"/>
      <c r="F42" s="144"/>
    </row>
    <row r="43" spans="2:6" ht="15.75" thickBot="1" x14ac:dyDescent="0.3">
      <c r="B43" s="156" t="s">
        <v>50</v>
      </c>
      <c r="C43" s="12"/>
      <c r="D43" s="13"/>
      <c r="E43" s="139"/>
      <c r="F43" s="144"/>
    </row>
    <row r="44" spans="2:6" ht="15" thickBot="1" x14ac:dyDescent="0.25">
      <c r="B44" s="143"/>
      <c r="C44" s="139"/>
      <c r="D44" s="139"/>
      <c r="E44" s="139"/>
      <c r="F44" s="144"/>
    </row>
    <row r="45" spans="2:6" ht="15.75" x14ac:dyDescent="0.2">
      <c r="B45" s="161" t="s">
        <v>51</v>
      </c>
      <c r="C45" s="140"/>
      <c r="D45" s="7"/>
      <c r="E45" s="7"/>
      <c r="F45" s="162"/>
    </row>
    <row r="46" spans="2:6" ht="15" thickBot="1" x14ac:dyDescent="0.25">
      <c r="B46" s="158"/>
      <c r="C46" s="159"/>
      <c r="D46" s="159"/>
      <c r="E46" s="159"/>
      <c r="F46" s="160"/>
    </row>
  </sheetData>
  <pageMargins left="0.7" right="0.7" top="0.75" bottom="0.75" header="0.3" footer="0.3"/>
  <pageSetup scale="36" orientation="portrait" r:id="rId1"/>
  <headerFooter>
    <oddHeader>&amp;R 2025 NWS Application
GrandBridge Energy Inc. 
EB-2025-0265
Filed: 2025-12-01
Attachment 2</oddHeader>
  </headerFooter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63BD0260-92C3-4E68-A50B-3FC23FDDEFAB}">
          <x14:formula1>
            <xm:f>'99 LookUps'!$A$11:$A$14</xm:f>
          </x14:formula1>
          <xm:sqref>C27</xm:sqref>
        </x14:dataValidation>
        <x14:dataValidation type="list" allowBlank="1" showInputMessage="1" showErrorMessage="1" xr:uid="{A0498F5C-4397-4D8E-9662-DC16CAB124F6}">
          <x14:formula1>
            <xm:f>'99 LookUps'!$A$3:$A$8</xm:f>
          </x14:formula1>
          <xm:sqref>C17:C18 C20:C21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660A9-8D45-4A5C-8E15-22E95A638596}">
  <sheetPr>
    <tabColor rgb="FF92D050"/>
  </sheetPr>
  <dimension ref="A1:I65"/>
  <sheetViews>
    <sheetView showGridLines="0" view="pageBreakPreview" zoomScale="60" zoomScaleNormal="85" workbookViewId="0">
      <selection activeCell="J1" sqref="J1:BG1048576"/>
    </sheetView>
  </sheetViews>
  <sheetFormatPr defaultRowHeight="15" outlineLevelRow="1" x14ac:dyDescent="0.25"/>
  <cols>
    <col min="1" max="1" width="4.5703125" customWidth="1"/>
    <col min="2" max="2" width="38.42578125" customWidth="1"/>
    <col min="3" max="3" width="14.140625" customWidth="1"/>
    <col min="4" max="4" width="19.42578125" customWidth="1"/>
    <col min="5" max="5" width="22.28515625" customWidth="1"/>
    <col min="6" max="6" width="18.5703125" customWidth="1"/>
    <col min="7" max="9" width="13.7109375" customWidth="1"/>
    <col min="10" max="27" width="13" customWidth="1"/>
  </cols>
  <sheetData>
    <row r="1" spans="2:3" ht="12" customHeight="1" x14ac:dyDescent="0.25"/>
    <row r="2" spans="2:3" x14ac:dyDescent="0.25">
      <c r="B2" s="24" t="s">
        <v>52</v>
      </c>
    </row>
    <row r="3" spans="2:3" x14ac:dyDescent="0.25">
      <c r="B3" s="25" t="s">
        <v>53</v>
      </c>
    </row>
    <row r="4" spans="2:3" ht="10.5" customHeight="1" x14ac:dyDescent="0.25"/>
    <row r="5" spans="2:3" ht="15.75" thickBot="1" x14ac:dyDescent="0.3">
      <c r="B5" s="26" t="s">
        <v>54</v>
      </c>
      <c r="C5" s="27"/>
    </row>
    <row r="6" spans="2:3" outlineLevel="1" x14ac:dyDescent="0.25">
      <c r="B6" t="s">
        <v>55</v>
      </c>
      <c r="C6" s="56">
        <v>0.09</v>
      </c>
    </row>
    <row r="7" spans="2:3" outlineLevel="1" x14ac:dyDescent="0.25">
      <c r="B7" t="s">
        <v>56</v>
      </c>
      <c r="C7" s="57">
        <v>0.4</v>
      </c>
    </row>
    <row r="8" spans="2:3" outlineLevel="1" x14ac:dyDescent="0.25">
      <c r="B8" t="s">
        <v>57</v>
      </c>
      <c r="C8" s="56">
        <f>0.0391*(0.04/0.6)+0.0451*(0.56/0.6)</f>
        <v>4.4700000000000004E-2</v>
      </c>
    </row>
    <row r="9" spans="2:3" outlineLevel="1" x14ac:dyDescent="0.25">
      <c r="B9" t="s">
        <v>58</v>
      </c>
      <c r="C9" s="57">
        <v>0.6</v>
      </c>
    </row>
    <row r="10" spans="2:3" outlineLevel="1" x14ac:dyDescent="0.25">
      <c r="B10" t="s">
        <v>59</v>
      </c>
      <c r="C10" s="28">
        <v>5</v>
      </c>
    </row>
    <row r="11" spans="2:3" outlineLevel="1" x14ac:dyDescent="0.25">
      <c r="B11" t="s">
        <v>60</v>
      </c>
      <c r="C11" s="58">
        <f>1/C10</f>
        <v>0.2</v>
      </c>
    </row>
    <row r="12" spans="2:3" outlineLevel="1" x14ac:dyDescent="0.25">
      <c r="B12" t="s">
        <v>61</v>
      </c>
      <c r="C12" s="58">
        <v>0.3</v>
      </c>
    </row>
    <row r="13" spans="2:3" outlineLevel="1" x14ac:dyDescent="0.25">
      <c r="B13" t="s">
        <v>62</v>
      </c>
      <c r="C13" s="51">
        <v>0.04</v>
      </c>
    </row>
    <row r="14" spans="2:3" outlineLevel="1" x14ac:dyDescent="0.25">
      <c r="B14" t="s">
        <v>63</v>
      </c>
      <c r="C14" s="51">
        <v>0.02</v>
      </c>
    </row>
    <row r="15" spans="2:3" outlineLevel="1" x14ac:dyDescent="0.25">
      <c r="B15" s="29" t="s">
        <v>64</v>
      </c>
      <c r="C15" s="30">
        <v>0.26500000000000001</v>
      </c>
    </row>
    <row r="16" spans="2:3" x14ac:dyDescent="0.25">
      <c r="C16" s="56"/>
    </row>
    <row r="17" spans="1:9" ht="15.75" thickBot="1" x14ac:dyDescent="0.3">
      <c r="B17" s="26" t="s">
        <v>65</v>
      </c>
      <c r="C17" s="59"/>
    </row>
    <row r="18" spans="1:9" outlineLevel="1" x14ac:dyDescent="0.25">
      <c r="B18" s="31" t="s">
        <v>66</v>
      </c>
      <c r="C18" s="40">
        <v>586447.5</v>
      </c>
    </row>
    <row r="19" spans="1:9" outlineLevel="1" x14ac:dyDescent="0.25">
      <c r="B19" s="31" t="s">
        <v>67</v>
      </c>
      <c r="C19" s="40">
        <v>0</v>
      </c>
    </row>
    <row r="20" spans="1:9" outlineLevel="1" x14ac:dyDescent="0.25">
      <c r="B20" s="32" t="s">
        <v>68</v>
      </c>
      <c r="C20" s="60">
        <v>0</v>
      </c>
    </row>
    <row r="21" spans="1:9" x14ac:dyDescent="0.25">
      <c r="B21" s="31"/>
      <c r="C21" s="40"/>
    </row>
    <row r="22" spans="1:9" s="34" customFormat="1" x14ac:dyDescent="0.25">
      <c r="A22"/>
      <c r="B22"/>
      <c r="C22" s="33" t="s">
        <v>69</v>
      </c>
      <c r="D22" s="61">
        <v>1</v>
      </c>
      <c r="E22" s="34">
        <f t="shared" ref="E22:I23" si="0">D22+1</f>
        <v>2</v>
      </c>
      <c r="F22" s="34">
        <f t="shared" si="0"/>
        <v>3</v>
      </c>
      <c r="G22" s="34">
        <f t="shared" si="0"/>
        <v>4</v>
      </c>
      <c r="H22" s="34">
        <f t="shared" si="0"/>
        <v>5</v>
      </c>
      <c r="I22" s="34">
        <f t="shared" si="0"/>
        <v>6</v>
      </c>
    </row>
    <row r="23" spans="1:9" s="34" customFormat="1" x14ac:dyDescent="0.25">
      <c r="A23"/>
      <c r="B23" s="35"/>
      <c r="C23" s="35"/>
      <c r="D23" s="36">
        <v>2026</v>
      </c>
      <c r="E23" s="36">
        <f t="shared" si="0"/>
        <v>2027</v>
      </c>
      <c r="F23" s="36">
        <f t="shared" si="0"/>
        <v>2028</v>
      </c>
      <c r="G23" s="36">
        <f t="shared" si="0"/>
        <v>2029</v>
      </c>
      <c r="H23" s="36">
        <f t="shared" si="0"/>
        <v>2030</v>
      </c>
      <c r="I23" s="36">
        <f t="shared" si="0"/>
        <v>2031</v>
      </c>
    </row>
    <row r="25" spans="1:9" x14ac:dyDescent="0.25">
      <c r="B25" s="33" t="s">
        <v>70</v>
      </c>
      <c r="D25" s="62">
        <f>C18</f>
        <v>586447.5</v>
      </c>
      <c r="E25" s="37"/>
      <c r="F25" s="37"/>
      <c r="G25" s="37"/>
      <c r="H25" s="37"/>
      <c r="I25" s="37"/>
    </row>
    <row r="26" spans="1:9" x14ac:dyDescent="0.25">
      <c r="B26" s="33" t="s">
        <v>71</v>
      </c>
      <c r="D26" s="37">
        <f>$D$25-SUM($D29:D29)</f>
        <v>527802.75</v>
      </c>
      <c r="E26" s="37">
        <f>$D$25-SUM($D29:E29)</f>
        <v>410513.25</v>
      </c>
      <c r="F26" s="37">
        <f>$D$25-SUM($D29:F29)</f>
        <v>293223.75</v>
      </c>
      <c r="G26" s="37">
        <f>$D$25-SUM($D29:G29)</f>
        <v>175934.25</v>
      </c>
      <c r="H26" s="37">
        <f>$D$25-SUM($D29:H29)</f>
        <v>58644.75</v>
      </c>
      <c r="I26" s="37">
        <f>$D$25-SUM($D29:I29)</f>
        <v>0</v>
      </c>
    </row>
    <row r="27" spans="1:9" x14ac:dyDescent="0.25">
      <c r="B27" s="33"/>
      <c r="D27" s="37"/>
      <c r="E27" s="37"/>
      <c r="F27" s="37"/>
      <c r="G27" s="37"/>
      <c r="H27" s="37"/>
      <c r="I27" s="37"/>
    </row>
    <row r="28" spans="1:9" x14ac:dyDescent="0.25">
      <c r="B28" s="33" t="s">
        <v>72</v>
      </c>
      <c r="D28" s="38">
        <f>D25/2</f>
        <v>293223.75</v>
      </c>
      <c r="E28" s="39">
        <f>D30+D25/2</f>
        <v>527802.75</v>
      </c>
      <c r="F28" s="37">
        <f t="shared" ref="F28:I28" si="1">E30</f>
        <v>410513.25</v>
      </c>
      <c r="G28" s="37">
        <f t="shared" si="1"/>
        <v>293223.75</v>
      </c>
      <c r="H28" s="37">
        <f t="shared" si="1"/>
        <v>175934.25</v>
      </c>
      <c r="I28" s="37">
        <f t="shared" si="1"/>
        <v>58644.75</v>
      </c>
    </row>
    <row r="29" spans="1:9" x14ac:dyDescent="0.25">
      <c r="B29" s="33" t="s">
        <v>73</v>
      </c>
      <c r="D29" s="42">
        <f>D28*$C$11</f>
        <v>58644.75</v>
      </c>
      <c r="E29" s="37">
        <f t="shared" ref="E29:I29" si="2">MIN($D$25*$C$11,D26)</f>
        <v>117289.5</v>
      </c>
      <c r="F29" s="37">
        <f t="shared" si="2"/>
        <v>117289.5</v>
      </c>
      <c r="G29" s="37">
        <f t="shared" si="2"/>
        <v>117289.5</v>
      </c>
      <c r="H29" s="37">
        <f t="shared" si="2"/>
        <v>117289.5</v>
      </c>
      <c r="I29" s="37">
        <f t="shared" si="2"/>
        <v>58644.75</v>
      </c>
    </row>
    <row r="30" spans="1:9" x14ac:dyDescent="0.25">
      <c r="B30" s="33" t="s">
        <v>74</v>
      </c>
      <c r="D30" s="37">
        <f t="shared" ref="D30:I30" si="3">D28-D29</f>
        <v>234579</v>
      </c>
      <c r="E30" s="37">
        <f t="shared" si="3"/>
        <v>410513.25</v>
      </c>
      <c r="F30" s="37">
        <f t="shared" si="3"/>
        <v>293223.75</v>
      </c>
      <c r="G30" s="37">
        <f t="shared" si="3"/>
        <v>175934.25</v>
      </c>
      <c r="H30" s="37">
        <f t="shared" si="3"/>
        <v>58644.75</v>
      </c>
      <c r="I30" s="37">
        <f t="shared" si="3"/>
        <v>0</v>
      </c>
    </row>
    <row r="31" spans="1:9" x14ac:dyDescent="0.25">
      <c r="B31" s="33"/>
      <c r="D31" s="37"/>
      <c r="E31" s="37"/>
      <c r="F31" s="37"/>
      <c r="G31" s="37"/>
      <c r="H31" s="37"/>
      <c r="I31" s="37"/>
    </row>
    <row r="32" spans="1:9" x14ac:dyDescent="0.25">
      <c r="B32" s="33" t="s">
        <v>75</v>
      </c>
      <c r="D32" s="37">
        <f t="shared" ref="D32:I32" si="4">(D28+D30)/2</f>
        <v>263901.375</v>
      </c>
      <c r="E32" s="37">
        <f t="shared" si="4"/>
        <v>469158</v>
      </c>
      <c r="F32" s="37">
        <f t="shared" si="4"/>
        <v>351868.5</v>
      </c>
      <c r="G32" s="37">
        <f t="shared" si="4"/>
        <v>234579</v>
      </c>
      <c r="H32" s="37">
        <f t="shared" si="4"/>
        <v>117289.5</v>
      </c>
      <c r="I32" s="37">
        <f t="shared" si="4"/>
        <v>29322.375</v>
      </c>
    </row>
    <row r="33" spans="2:9" x14ac:dyDescent="0.25">
      <c r="B33" s="33"/>
      <c r="D33" s="37"/>
      <c r="E33" s="37"/>
      <c r="F33" s="37"/>
      <c r="G33" s="37"/>
      <c r="H33" s="37"/>
      <c r="I33" s="37"/>
    </row>
    <row r="34" spans="2:9" x14ac:dyDescent="0.25">
      <c r="B34" s="33" t="s">
        <v>76</v>
      </c>
      <c r="D34" s="37">
        <f t="shared" ref="D34:I34" si="5">D29</f>
        <v>58644.75</v>
      </c>
      <c r="E34" s="37">
        <f t="shared" si="5"/>
        <v>117289.5</v>
      </c>
      <c r="F34" s="37">
        <f t="shared" si="5"/>
        <v>117289.5</v>
      </c>
      <c r="G34" s="37">
        <f t="shared" si="5"/>
        <v>117289.5</v>
      </c>
      <c r="H34" s="37">
        <f t="shared" si="5"/>
        <v>117289.5</v>
      </c>
      <c r="I34" s="37">
        <f t="shared" si="5"/>
        <v>58644.75</v>
      </c>
    </row>
    <row r="35" spans="2:9" x14ac:dyDescent="0.25">
      <c r="B35" s="33" t="s">
        <v>57</v>
      </c>
      <c r="D35" s="37">
        <f t="shared" ref="D35:I35" si="6">(D32*$C$9)*$C$8</f>
        <v>7077.8348774999995</v>
      </c>
      <c r="E35" s="37">
        <f t="shared" si="6"/>
        <v>12582.817560000001</v>
      </c>
      <c r="F35" s="37">
        <f t="shared" si="6"/>
        <v>9437.1131700000005</v>
      </c>
      <c r="G35" s="37">
        <f t="shared" si="6"/>
        <v>6291.4087800000007</v>
      </c>
      <c r="H35" s="37">
        <f t="shared" si="6"/>
        <v>3145.7043900000003</v>
      </c>
      <c r="I35" s="37">
        <f t="shared" si="6"/>
        <v>786.42609750000008</v>
      </c>
    </row>
    <row r="36" spans="2:9" x14ac:dyDescent="0.25">
      <c r="B36" s="33" t="s">
        <v>55</v>
      </c>
      <c r="D36" s="37">
        <f t="shared" ref="D36:I36" si="7">(D32*$C$7)*$C$6</f>
        <v>9500.4495000000006</v>
      </c>
      <c r="E36" s="37">
        <f t="shared" si="7"/>
        <v>16889.688000000002</v>
      </c>
      <c r="F36" s="37">
        <f t="shared" si="7"/>
        <v>12667.266</v>
      </c>
      <c r="G36" s="37">
        <f t="shared" si="7"/>
        <v>8444.844000000001</v>
      </c>
      <c r="H36" s="37">
        <f t="shared" si="7"/>
        <v>4222.4220000000005</v>
      </c>
      <c r="I36" s="37">
        <f t="shared" si="7"/>
        <v>1055.6055000000001</v>
      </c>
    </row>
    <row r="37" spans="2:9" x14ac:dyDescent="0.25">
      <c r="B37" s="33"/>
      <c r="D37" s="37"/>
      <c r="E37" s="37"/>
      <c r="F37" s="37"/>
      <c r="G37" s="37"/>
      <c r="H37" s="37"/>
      <c r="I37" s="37"/>
    </row>
    <row r="38" spans="2:9" x14ac:dyDescent="0.25">
      <c r="B38" s="33" t="s">
        <v>77</v>
      </c>
      <c r="D38" s="38">
        <f>D28</f>
        <v>293223.75</v>
      </c>
      <c r="E38" s="42">
        <f>D40+D25/2</f>
        <v>410513.25</v>
      </c>
      <c r="F38" s="37">
        <f t="shared" ref="F38:I38" si="8">E40</f>
        <v>287359.27500000002</v>
      </c>
      <c r="G38" s="37">
        <f t="shared" si="8"/>
        <v>201151.49250000002</v>
      </c>
      <c r="H38" s="37">
        <f t="shared" si="8"/>
        <v>140806.04475</v>
      </c>
      <c r="I38" s="37">
        <f t="shared" si="8"/>
        <v>98564.231325000001</v>
      </c>
    </row>
    <row r="39" spans="2:9" x14ac:dyDescent="0.25">
      <c r="B39" s="33" t="s">
        <v>78</v>
      </c>
      <c r="C39" s="43"/>
      <c r="D39" s="42">
        <f>(D38*C12)*2</f>
        <v>175934.25</v>
      </c>
      <c r="E39" s="37">
        <f t="shared" ref="E39:I39" si="9">IF(E38&gt;0,E$38*$C12,0)</f>
        <v>123153.97499999999</v>
      </c>
      <c r="F39" s="37">
        <f t="shared" si="9"/>
        <v>86207.782500000001</v>
      </c>
      <c r="G39" s="37">
        <f t="shared" si="9"/>
        <v>60345.447750000007</v>
      </c>
      <c r="H39" s="37">
        <f t="shared" si="9"/>
        <v>42241.813425</v>
      </c>
      <c r="I39" s="37">
        <f t="shared" si="9"/>
        <v>29569.2693975</v>
      </c>
    </row>
    <row r="40" spans="2:9" x14ac:dyDescent="0.25">
      <c r="B40" s="33" t="s">
        <v>79</v>
      </c>
      <c r="D40" s="37">
        <f t="shared" ref="D40:I40" si="10">IF((D38-D39)&gt;0,D38-D39,0)</f>
        <v>117289.5</v>
      </c>
      <c r="E40" s="37">
        <f t="shared" si="10"/>
        <v>287359.27500000002</v>
      </c>
      <c r="F40" s="37">
        <f t="shared" si="10"/>
        <v>201151.49250000002</v>
      </c>
      <c r="G40" s="37">
        <f t="shared" si="10"/>
        <v>140806.04475</v>
      </c>
      <c r="H40" s="37">
        <f t="shared" si="10"/>
        <v>98564.231325000001</v>
      </c>
      <c r="I40" s="37">
        <f t="shared" si="10"/>
        <v>68994.9619275</v>
      </c>
    </row>
    <row r="41" spans="2:9" x14ac:dyDescent="0.25">
      <c r="B41" s="33"/>
      <c r="D41" s="37"/>
      <c r="E41" s="37"/>
      <c r="F41" s="37"/>
      <c r="G41" s="37"/>
      <c r="H41" s="37"/>
      <c r="I41" s="37"/>
    </row>
    <row r="42" spans="2:9" x14ac:dyDescent="0.25">
      <c r="B42" s="33" t="s">
        <v>80</v>
      </c>
      <c r="D42" s="37">
        <f t="shared" ref="D42:I42" si="11">D36+D34-D39</f>
        <v>-107789.0505</v>
      </c>
      <c r="E42" s="37">
        <f t="shared" si="11"/>
        <v>11025.213000000003</v>
      </c>
      <c r="F42" s="37">
        <f t="shared" si="11"/>
        <v>43748.983500000002</v>
      </c>
      <c r="G42" s="37">
        <f t="shared" si="11"/>
        <v>65388.896249999991</v>
      </c>
      <c r="H42" s="37">
        <f t="shared" si="11"/>
        <v>79270.108575000006</v>
      </c>
      <c r="I42" s="37">
        <f t="shared" si="11"/>
        <v>30131.086102499998</v>
      </c>
    </row>
    <row r="43" spans="2:9" x14ac:dyDescent="0.25">
      <c r="B43" s="33" t="s">
        <v>81</v>
      </c>
      <c r="C43" s="58"/>
      <c r="D43" s="37">
        <f t="shared" ref="D43:I43" si="12">(D42*$C$15)/(1-$C$15)</f>
        <v>-38862.718887755102</v>
      </c>
      <c r="E43" s="37">
        <f t="shared" si="12"/>
        <v>3975.076795918369</v>
      </c>
      <c r="F43" s="37">
        <f t="shared" si="12"/>
        <v>15773.443030612247</v>
      </c>
      <c r="G43" s="37">
        <f t="shared" si="12"/>
        <v>23575.58844387755</v>
      </c>
      <c r="H43" s="37">
        <f t="shared" si="12"/>
        <v>28580.379282142861</v>
      </c>
      <c r="I43" s="37">
        <f t="shared" si="12"/>
        <v>10863.588866887754</v>
      </c>
    </row>
    <row r="44" spans="2:9" x14ac:dyDescent="0.25">
      <c r="B44" s="33"/>
      <c r="D44" s="37"/>
      <c r="E44" s="37"/>
      <c r="F44" s="37"/>
      <c r="G44" s="37"/>
      <c r="H44" s="37"/>
      <c r="I44" s="37"/>
    </row>
    <row r="45" spans="2:9" x14ac:dyDescent="0.25">
      <c r="B45" s="44" t="s">
        <v>82</v>
      </c>
      <c r="D45" s="45">
        <f t="shared" ref="D45:I45" si="13">D34+D35+D36+D43</f>
        <v>36360.315489744906</v>
      </c>
      <c r="E45" s="45">
        <f t="shared" si="13"/>
        <v>150737.08235591836</v>
      </c>
      <c r="F45" s="45">
        <f t="shared" si="13"/>
        <v>155167.32220061225</v>
      </c>
      <c r="G45" s="45">
        <f t="shared" si="13"/>
        <v>155601.34122387756</v>
      </c>
      <c r="H45" s="45">
        <f t="shared" si="13"/>
        <v>153238.00567214287</v>
      </c>
      <c r="I45" s="45">
        <f t="shared" si="13"/>
        <v>71350.370464387757</v>
      </c>
    </row>
    <row r="46" spans="2:9" x14ac:dyDescent="0.25">
      <c r="B46" s="44"/>
      <c r="D46" s="45"/>
      <c r="E46" s="45"/>
      <c r="F46" s="45"/>
      <c r="G46" s="45"/>
      <c r="H46" s="45"/>
      <c r="I46" s="45"/>
    </row>
    <row r="47" spans="2:9" x14ac:dyDescent="0.25">
      <c r="B47" s="33" t="s">
        <v>83</v>
      </c>
      <c r="D47" s="63">
        <f>('[1]Updated Table 4'!B$46-'[1]Updated Table 4'!B$45)*1000</f>
        <v>714789</v>
      </c>
      <c r="E47" s="63">
        <f>('[1]Updated Table 4'!C$46-'[1]Updated Table 4'!C$45)*1000</f>
        <v>718976</v>
      </c>
      <c r="F47" s="63">
        <f>('[1]Updated Table 4'!D$46-'[1]Updated Table 4'!D$45)*1000</f>
        <v>1190940.9999999998</v>
      </c>
      <c r="G47" s="63">
        <v>0</v>
      </c>
      <c r="H47" s="63">
        <v>0</v>
      </c>
      <c r="I47" s="63">
        <v>0</v>
      </c>
    </row>
    <row r="48" spans="2:9" x14ac:dyDescent="0.25">
      <c r="B48" s="44"/>
      <c r="E48" s="45"/>
      <c r="F48" s="45"/>
      <c r="G48" s="45"/>
      <c r="H48" s="45"/>
      <c r="I48" s="45"/>
    </row>
    <row r="49" spans="2:9" x14ac:dyDescent="0.25">
      <c r="B49" s="44" t="s">
        <v>84</v>
      </c>
      <c r="D49" s="45">
        <f>D45+D47</f>
        <v>751149.31548974488</v>
      </c>
      <c r="E49" s="45">
        <f t="shared" ref="E49:I49" si="14">E45+E47</f>
        <v>869713.08235591836</v>
      </c>
      <c r="F49" s="45">
        <f t="shared" si="14"/>
        <v>1346108.3222006119</v>
      </c>
      <c r="G49" s="45">
        <f t="shared" si="14"/>
        <v>155601.34122387756</v>
      </c>
      <c r="H49" s="45">
        <f t="shared" si="14"/>
        <v>153238.00567214287</v>
      </c>
      <c r="I49" s="45">
        <f t="shared" si="14"/>
        <v>71350.370464387757</v>
      </c>
    </row>
    <row r="50" spans="2:9" x14ac:dyDescent="0.25">
      <c r="B50" s="33"/>
    </row>
    <row r="51" spans="2:9" x14ac:dyDescent="0.25">
      <c r="B51" s="33" t="s">
        <v>85</v>
      </c>
      <c r="D51" s="37">
        <f>-'[1]Updated Table 4'!B$53*1000</f>
        <v>-501161.72142652207</v>
      </c>
      <c r="E51" s="37">
        <f>-'[1]Updated Table 4'!C$53*1000</f>
        <v>-314226.36213254463</v>
      </c>
      <c r="F51" s="37">
        <f>-'[1]Updated Table 4'!D$53*1000</f>
        <v>-528051.91644093336</v>
      </c>
      <c r="G51" s="63">
        <v>0</v>
      </c>
      <c r="H51" s="63">
        <v>0</v>
      </c>
      <c r="I51" s="63">
        <v>0</v>
      </c>
    </row>
    <row r="52" spans="2:9" x14ac:dyDescent="0.25">
      <c r="B52" s="33"/>
    </row>
    <row r="53" spans="2:9" s="46" customFormat="1" x14ac:dyDescent="0.25">
      <c r="B53" s="44" t="s">
        <v>86</v>
      </c>
      <c r="D53" s="136">
        <f>D51+D49</f>
        <v>249987.59406322282</v>
      </c>
      <c r="E53" s="136">
        <f t="shared" ref="E53:I53" si="15">E51+E49</f>
        <v>555486.72022337373</v>
      </c>
      <c r="F53" s="136">
        <f t="shared" si="15"/>
        <v>818056.40575967857</v>
      </c>
      <c r="G53" s="136">
        <f t="shared" si="15"/>
        <v>155601.34122387756</v>
      </c>
      <c r="H53" s="136">
        <f t="shared" si="15"/>
        <v>153238.00567214287</v>
      </c>
      <c r="I53" s="136">
        <f t="shared" si="15"/>
        <v>71350.370464387757</v>
      </c>
    </row>
    <row r="54" spans="2:9" x14ac:dyDescent="0.25">
      <c r="B54" s="33"/>
    </row>
    <row r="55" spans="2:9" x14ac:dyDescent="0.25">
      <c r="B55" s="65" t="s">
        <v>87</v>
      </c>
      <c r="C55" s="66">
        <f>NPV(C13,D53:I53)</f>
        <v>1796548.9343883242</v>
      </c>
    </row>
    <row r="56" spans="2:9" x14ac:dyDescent="0.25">
      <c r="B56" s="33"/>
      <c r="C56" s="64"/>
      <c r="D56" s="47"/>
    </row>
    <row r="57" spans="2:9" x14ac:dyDescent="0.25">
      <c r="B57" s="33"/>
      <c r="C57" s="64"/>
    </row>
    <row r="58" spans="2:9" x14ac:dyDescent="0.25">
      <c r="B58" s="33"/>
      <c r="C58" s="33"/>
      <c r="D58" s="49"/>
      <c r="E58" s="133"/>
      <c r="F58" s="96"/>
    </row>
    <row r="59" spans="2:9" x14ac:dyDescent="0.25">
      <c r="B59" s="33"/>
      <c r="C59" s="48"/>
      <c r="D59" s="50"/>
    </row>
    <row r="60" spans="2:9" x14ac:dyDescent="0.25">
      <c r="B60" s="33"/>
      <c r="C60" s="48"/>
      <c r="D60" s="50"/>
      <c r="E60" s="134"/>
      <c r="F60" s="96"/>
    </row>
    <row r="61" spans="2:9" x14ac:dyDescent="0.25">
      <c r="B61" s="33"/>
      <c r="C61" s="48"/>
      <c r="D61" s="50"/>
      <c r="E61" s="135"/>
    </row>
    <row r="62" spans="2:9" x14ac:dyDescent="0.25">
      <c r="B62" s="33"/>
    </row>
    <row r="63" spans="2:9" x14ac:dyDescent="0.25">
      <c r="B63" s="33"/>
      <c r="C63" s="47"/>
    </row>
    <row r="64" spans="2:9" x14ac:dyDescent="0.25">
      <c r="B64" s="33"/>
      <c r="C64" s="48"/>
    </row>
    <row r="65" spans="2:3" x14ac:dyDescent="0.25">
      <c r="B65" s="33"/>
      <c r="C65" s="47"/>
    </row>
  </sheetData>
  <pageMargins left="0.7" right="0.7" top="0.75" bottom="0.75" header="0.3" footer="0.3"/>
  <pageSetup scale="46" orientation="portrait" r:id="rId1"/>
  <headerFooter>
    <oddHeader>&amp;R2025 NWS Application
GrandBridge Energy Inc. 
EB-2025-0265
Filed: 2025-12-01
Attachment 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65203-C620-4523-8C9F-464A47B2CD58}">
  <sheetPr>
    <tabColor rgb="FF00B0F0"/>
  </sheetPr>
  <dimension ref="A1:M28"/>
  <sheetViews>
    <sheetView showGridLines="0" view="pageBreakPreview" zoomScale="60" zoomScaleNormal="100" workbookViewId="0">
      <selection activeCell="E21" sqref="E21"/>
    </sheetView>
  </sheetViews>
  <sheetFormatPr defaultRowHeight="15" x14ac:dyDescent="0.25"/>
  <cols>
    <col min="1" max="1" width="24.28515625" customWidth="1"/>
    <col min="2" max="2" width="12.85546875" bestFit="1" customWidth="1"/>
    <col min="3" max="3" width="17" customWidth="1"/>
    <col min="4" max="4" width="14.7109375" bestFit="1" customWidth="1"/>
    <col min="5" max="5" width="15" customWidth="1"/>
    <col min="6" max="6" width="14.28515625" customWidth="1"/>
    <col min="7" max="7" width="15.7109375" customWidth="1"/>
    <col min="8" max="8" width="15.42578125" customWidth="1"/>
    <col min="9" max="9" width="14.7109375" customWidth="1"/>
    <col min="10" max="10" width="10.5703125" customWidth="1"/>
    <col min="11" max="11" width="13.7109375" customWidth="1"/>
  </cols>
  <sheetData>
    <row r="1" spans="1:13" x14ac:dyDescent="0.25">
      <c r="A1" s="168" t="s">
        <v>88</v>
      </c>
      <c r="B1" s="168"/>
      <c r="C1" s="168"/>
      <c r="D1" s="168"/>
      <c r="H1" s="67"/>
      <c r="I1" s="67"/>
      <c r="J1" s="67"/>
      <c r="K1" s="67"/>
    </row>
    <row r="2" spans="1:13" x14ac:dyDescent="0.25">
      <c r="A2" s="68"/>
      <c r="B2" s="109">
        <v>2026</v>
      </c>
      <c r="C2" s="109">
        <v>2027</v>
      </c>
      <c r="D2" s="109">
        <v>2028</v>
      </c>
      <c r="H2" s="67"/>
      <c r="I2" s="67"/>
      <c r="J2" s="67"/>
      <c r="K2" s="67"/>
    </row>
    <row r="3" spans="1:13" x14ac:dyDescent="0.25">
      <c r="A3" s="69" t="s">
        <v>89</v>
      </c>
      <c r="B3" s="70">
        <v>5000</v>
      </c>
      <c r="C3" s="70">
        <v>10000</v>
      </c>
      <c r="D3" s="70">
        <v>20000</v>
      </c>
      <c r="H3" s="67"/>
      <c r="I3" s="67"/>
      <c r="J3" s="67"/>
      <c r="K3" s="67"/>
    </row>
    <row r="4" spans="1:13" x14ac:dyDescent="0.25">
      <c r="A4" s="69" t="s">
        <v>90</v>
      </c>
      <c r="B4" s="71">
        <v>4</v>
      </c>
      <c r="C4" s="71">
        <v>4</v>
      </c>
      <c r="D4" s="71">
        <v>4</v>
      </c>
      <c r="H4" s="67"/>
      <c r="I4" s="67"/>
      <c r="J4" s="67"/>
      <c r="K4" s="67"/>
    </row>
    <row r="5" spans="1:13" x14ac:dyDescent="0.25">
      <c r="A5" s="69" t="s">
        <v>91</v>
      </c>
      <c r="B5" s="71">
        <v>2</v>
      </c>
      <c r="C5" s="71">
        <v>2</v>
      </c>
      <c r="D5" s="71">
        <v>2</v>
      </c>
    </row>
    <row r="6" spans="1:13" x14ac:dyDescent="0.25">
      <c r="A6" s="110" t="s">
        <v>92</v>
      </c>
      <c r="B6" s="111">
        <f>B4*B5</f>
        <v>8</v>
      </c>
      <c r="C6" s="111">
        <f t="shared" ref="C6:D6" si="0">C4*C5</f>
        <v>8</v>
      </c>
      <c r="D6" s="111">
        <f t="shared" si="0"/>
        <v>8</v>
      </c>
    </row>
    <row r="7" spans="1:13" x14ac:dyDescent="0.25">
      <c r="A7" s="69" t="s">
        <v>93</v>
      </c>
      <c r="B7" s="72">
        <f>B14/SUM(B14:B16)</f>
        <v>0.38384025019075679</v>
      </c>
      <c r="C7" s="73">
        <f>B7</f>
        <v>0.38384025019075679</v>
      </c>
      <c r="D7" s="73">
        <f>C7</f>
        <v>0.38384025019075679</v>
      </c>
    </row>
    <row r="8" spans="1:13" x14ac:dyDescent="0.25">
      <c r="A8" s="98" t="s">
        <v>94</v>
      </c>
      <c r="B8" s="99">
        <f>B7*B3</f>
        <v>1919.201250953784</v>
      </c>
      <c r="C8" s="99">
        <f>C7*C3</f>
        <v>3838.402501907568</v>
      </c>
      <c r="D8" s="99">
        <f>D7*D3</f>
        <v>7676.8050038151359</v>
      </c>
    </row>
    <row r="9" spans="1:13" x14ac:dyDescent="0.25">
      <c r="A9" s="76" t="s">
        <v>95</v>
      </c>
      <c r="B9" s="72">
        <f>1-B7</f>
        <v>0.61615974980924326</v>
      </c>
      <c r="C9" s="73">
        <f>B9</f>
        <v>0.61615974980924326</v>
      </c>
      <c r="D9" s="73">
        <f>C9</f>
        <v>0.61615974980924326</v>
      </c>
    </row>
    <row r="10" spans="1:13" x14ac:dyDescent="0.25">
      <c r="A10" s="98" t="s">
        <v>96</v>
      </c>
      <c r="B10" s="99">
        <f>B9*B3</f>
        <v>3080.7987490462165</v>
      </c>
      <c r="C10" s="99">
        <f>C9*C3</f>
        <v>6161.5974980924329</v>
      </c>
      <c r="D10" s="99">
        <f>D9*D3</f>
        <v>12323.194996184866</v>
      </c>
    </row>
    <row r="11" spans="1:13" x14ac:dyDescent="0.25">
      <c r="A11" s="69" t="s">
        <v>97</v>
      </c>
      <c r="B11" s="77">
        <v>1.3976772815992604</v>
      </c>
      <c r="C11" s="77">
        <v>1.3976772815992604</v>
      </c>
      <c r="D11" s="77">
        <v>1.3976772815992604</v>
      </c>
    </row>
    <row r="12" spans="1:13" x14ac:dyDescent="0.25">
      <c r="A12" s="69" t="s">
        <v>98</v>
      </c>
      <c r="B12" s="77">
        <v>19.047837012862999</v>
      </c>
      <c r="C12" s="77">
        <v>19.047837012862999</v>
      </c>
      <c r="D12" s="77">
        <v>19.047837012862999</v>
      </c>
    </row>
    <row r="13" spans="1:13" x14ac:dyDescent="0.25">
      <c r="A13" s="112" t="s">
        <v>99</v>
      </c>
      <c r="B13" s="78"/>
      <c r="C13" s="79"/>
      <c r="D13" s="80"/>
      <c r="M13" s="81"/>
    </row>
    <row r="14" spans="1:13" x14ac:dyDescent="0.25">
      <c r="A14" s="74" t="s">
        <v>100</v>
      </c>
      <c r="B14" s="82">
        <v>112180</v>
      </c>
      <c r="C14" s="82">
        <v>112180</v>
      </c>
      <c r="D14" s="82">
        <v>112180</v>
      </c>
      <c r="M14" s="81"/>
    </row>
    <row r="15" spans="1:13" x14ac:dyDescent="0.25">
      <c r="A15" s="74" t="s">
        <v>101</v>
      </c>
      <c r="B15" s="82">
        <v>43679</v>
      </c>
      <c r="C15" s="82">
        <v>43679</v>
      </c>
      <c r="D15" s="82">
        <v>43679</v>
      </c>
      <c r="M15" s="81"/>
    </row>
    <row r="16" spans="1:13" x14ac:dyDescent="0.25">
      <c r="A16" s="74" t="s">
        <v>102</v>
      </c>
      <c r="B16" s="82">
        <v>136398</v>
      </c>
      <c r="C16" s="82">
        <v>136398</v>
      </c>
      <c r="D16" s="82">
        <v>136398</v>
      </c>
    </row>
    <row r="18" spans="1:13" ht="45" x14ac:dyDescent="0.25">
      <c r="A18" s="105" t="s">
        <v>103</v>
      </c>
      <c r="B18" s="113" t="s">
        <v>100</v>
      </c>
      <c r="C18" s="114" t="s">
        <v>104</v>
      </c>
      <c r="D18" s="113" t="s">
        <v>105</v>
      </c>
      <c r="E18" s="100" t="s">
        <v>106</v>
      </c>
      <c r="F18" s="114" t="s">
        <v>107</v>
      </c>
      <c r="G18" s="100" t="s">
        <v>108</v>
      </c>
      <c r="H18" s="114" t="s">
        <v>109</v>
      </c>
      <c r="M18" s="81"/>
    </row>
    <row r="19" spans="1:13" x14ac:dyDescent="0.25">
      <c r="A19" s="115">
        <v>2026</v>
      </c>
      <c r="B19" s="106">
        <f>B8*B6*B11</f>
        <v>21459.39189819988</v>
      </c>
      <c r="C19" s="106">
        <f>B10*B6*B12</f>
        <v>469460.41953011637</v>
      </c>
      <c r="D19" s="116">
        <f>SUM(B19:C19)</f>
        <v>490919.81142831623</v>
      </c>
      <c r="E19" s="107">
        <f>D19/(1+4%)^0</f>
        <v>490919.81142831623</v>
      </c>
      <c r="F19" s="101">
        <f>1/3</f>
        <v>0.33333333333333331</v>
      </c>
      <c r="G19" s="107">
        <f>E19*F19</f>
        <v>163639.93714277208</v>
      </c>
      <c r="H19" s="127">
        <f>G19</f>
        <v>163639.93714277208</v>
      </c>
      <c r="M19" s="81"/>
    </row>
    <row r="20" spans="1:13" x14ac:dyDescent="0.25">
      <c r="A20" s="115">
        <v>2027</v>
      </c>
      <c r="B20" s="106">
        <f>C8*C6*C11</f>
        <v>42918.783796399759</v>
      </c>
      <c r="C20" s="106">
        <f>C10*C6*C12</f>
        <v>938920.83906023274</v>
      </c>
      <c r="D20" s="116">
        <f t="shared" ref="D20:D21" si="1">SUM(B20:C20)</f>
        <v>981839.62285663246</v>
      </c>
      <c r="E20" s="107">
        <f>D20/(1+4%)^1</f>
        <v>944076.56043906964</v>
      </c>
      <c r="F20" s="101">
        <f>F19</f>
        <v>0.33333333333333331</v>
      </c>
      <c r="G20" s="107">
        <f t="shared" ref="G20:G21" si="2">E20*F20</f>
        <v>314692.18681302317</v>
      </c>
      <c r="H20" s="127">
        <f>G20</f>
        <v>314692.18681302317</v>
      </c>
      <c r="M20" s="81"/>
    </row>
    <row r="21" spans="1:13" x14ac:dyDescent="0.25">
      <c r="A21" s="115">
        <v>2028</v>
      </c>
      <c r="B21" s="106">
        <f>D8*D6*D11</f>
        <v>85837.567592799518</v>
      </c>
      <c r="C21" s="106">
        <f>D10*D6*D12</f>
        <v>1877841.6781204655</v>
      </c>
      <c r="D21" s="116">
        <f t="shared" si="1"/>
        <v>1963679.2457132649</v>
      </c>
      <c r="E21" s="107">
        <f>D21/(1+4%)^2</f>
        <v>1815531.8469982108</v>
      </c>
      <c r="F21" s="101">
        <f>F20</f>
        <v>0.33333333333333331</v>
      </c>
      <c r="G21" s="107">
        <f t="shared" si="2"/>
        <v>605177.28233273688</v>
      </c>
      <c r="H21" s="128">
        <f>G21*0.5</f>
        <v>302588.64116636844</v>
      </c>
      <c r="M21" s="81"/>
    </row>
    <row r="22" spans="1:13" x14ac:dyDescent="0.25">
      <c r="A22" s="117" t="s">
        <v>105</v>
      </c>
      <c r="B22" s="118">
        <f t="shared" ref="B22:G22" si="3">SUM(B19:B21)</f>
        <v>150215.74328739915</v>
      </c>
      <c r="C22" s="118">
        <f t="shared" si="3"/>
        <v>3286222.9367108145</v>
      </c>
      <c r="D22" s="118">
        <f t="shared" si="3"/>
        <v>3436438.6799982134</v>
      </c>
      <c r="E22" s="108">
        <f t="shared" si="3"/>
        <v>3250528.2188655967</v>
      </c>
      <c r="F22" s="119">
        <f t="shared" si="3"/>
        <v>1</v>
      </c>
      <c r="G22" s="108">
        <f t="shared" si="3"/>
        <v>1083509.4062885321</v>
      </c>
      <c r="H22" s="118">
        <f>H21+G20+G19</f>
        <v>780920.76512216381</v>
      </c>
      <c r="M22" s="81"/>
    </row>
    <row r="23" spans="1:13" x14ac:dyDescent="0.25">
      <c r="M23" s="83"/>
    </row>
    <row r="24" spans="1:13" x14ac:dyDescent="0.25">
      <c r="F24" s="48"/>
      <c r="M24" s="81"/>
    </row>
    <row r="26" spans="1:13" x14ac:dyDescent="0.25">
      <c r="F26" s="47"/>
      <c r="G26" s="47"/>
      <c r="H26" s="47"/>
    </row>
    <row r="28" spans="1:13" x14ac:dyDescent="0.25">
      <c r="F28" s="50"/>
    </row>
  </sheetData>
  <mergeCells count="1">
    <mergeCell ref="A1:D1"/>
  </mergeCells>
  <pageMargins left="0.7" right="0.7" top="0.75" bottom="0.75" header="0.3" footer="0.3"/>
  <pageSetup scale="69" orientation="portrait" r:id="rId1"/>
  <headerFooter>
    <oddHeader>&amp;R2025 NWS Application
GrandBridge Energy Inc. 
EB-2025-0265
Filed: 2025-12-01
Attachment 2</oddHeader>
  </headerFooter>
  <ignoredErrors>
    <ignoredError sqref="C8:D8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0B9C7-9E29-4B09-A1C6-1E3F50F839C2}">
  <sheetPr>
    <tabColor rgb="FF00B0F0"/>
  </sheetPr>
  <dimension ref="A1:N32"/>
  <sheetViews>
    <sheetView showGridLines="0" view="pageBreakPreview" zoomScale="60" zoomScaleNormal="100" workbookViewId="0">
      <selection activeCell="F47" sqref="F47"/>
    </sheetView>
  </sheetViews>
  <sheetFormatPr defaultRowHeight="15" x14ac:dyDescent="0.25"/>
  <cols>
    <col min="1" max="1" width="19.140625" customWidth="1"/>
    <col min="2" max="2" width="12.85546875" bestFit="1" customWidth="1"/>
    <col min="3" max="3" width="17" customWidth="1"/>
    <col min="4" max="4" width="14.7109375" bestFit="1" customWidth="1"/>
    <col min="5" max="5" width="15" customWidth="1"/>
    <col min="6" max="6" width="14.85546875" customWidth="1"/>
    <col min="7" max="7" width="13.140625" customWidth="1"/>
    <col min="8" max="8" width="15.42578125" customWidth="1"/>
    <col min="9" max="9" width="14.7109375" customWidth="1"/>
    <col min="10" max="10" width="10.5703125" customWidth="1"/>
    <col min="11" max="11" width="13.7109375" customWidth="1"/>
  </cols>
  <sheetData>
    <row r="1" spans="1:13" x14ac:dyDescent="0.25">
      <c r="A1" s="168" t="s">
        <v>88</v>
      </c>
      <c r="B1" s="168"/>
      <c r="C1" s="168"/>
      <c r="D1" s="168"/>
      <c r="H1" s="67"/>
      <c r="I1" s="67"/>
      <c r="J1" s="67"/>
      <c r="K1" s="67"/>
    </row>
    <row r="2" spans="1:13" x14ac:dyDescent="0.25">
      <c r="A2" s="68"/>
      <c r="B2" s="109">
        <v>2026</v>
      </c>
      <c r="C2" s="109">
        <v>2027</v>
      </c>
      <c r="D2" s="109">
        <v>2028</v>
      </c>
      <c r="H2" s="67"/>
      <c r="I2" s="67"/>
      <c r="J2" s="67"/>
      <c r="K2" s="67"/>
    </row>
    <row r="3" spans="1:13" x14ac:dyDescent="0.25">
      <c r="A3" s="69" t="s">
        <v>89</v>
      </c>
      <c r="B3" s="70">
        <v>5000</v>
      </c>
      <c r="C3" s="70">
        <v>10000</v>
      </c>
      <c r="D3" s="70">
        <v>20000</v>
      </c>
      <c r="H3" s="67"/>
      <c r="I3" s="67"/>
      <c r="J3" s="67"/>
      <c r="K3" s="67"/>
    </row>
    <row r="4" spans="1:13" x14ac:dyDescent="0.25">
      <c r="A4" s="69" t="s">
        <v>90</v>
      </c>
      <c r="B4" s="71">
        <v>4</v>
      </c>
      <c r="C4" s="71">
        <v>4</v>
      </c>
      <c r="D4" s="71">
        <v>4</v>
      </c>
      <c r="H4" s="67"/>
      <c r="I4" s="67"/>
      <c r="J4" s="67"/>
      <c r="K4" s="67"/>
    </row>
    <row r="5" spans="1:13" x14ac:dyDescent="0.25">
      <c r="A5" s="69" t="s">
        <v>91</v>
      </c>
      <c r="B5" s="71">
        <v>2</v>
      </c>
      <c r="C5" s="71">
        <v>2</v>
      </c>
      <c r="D5" s="71">
        <v>2</v>
      </c>
    </row>
    <row r="6" spans="1:13" x14ac:dyDescent="0.25">
      <c r="A6" s="110" t="s">
        <v>92</v>
      </c>
      <c r="B6" s="111">
        <f>B4*B5</f>
        <v>8</v>
      </c>
      <c r="C6" s="111">
        <f t="shared" ref="C6:D6" si="0">C4*C5</f>
        <v>8</v>
      </c>
      <c r="D6" s="111">
        <f t="shared" si="0"/>
        <v>8</v>
      </c>
    </row>
    <row r="7" spans="1:13" x14ac:dyDescent="0.25">
      <c r="A7" s="69" t="s">
        <v>93</v>
      </c>
      <c r="B7" s="72">
        <f>B14/SUM(B14:B16)</f>
        <v>0.38384025019075679</v>
      </c>
      <c r="C7" s="73">
        <f>B7</f>
        <v>0.38384025019075679</v>
      </c>
      <c r="D7" s="73">
        <f>C7</f>
        <v>0.38384025019075679</v>
      </c>
    </row>
    <row r="8" spans="1:13" x14ac:dyDescent="0.25">
      <c r="A8" s="74" t="s">
        <v>94</v>
      </c>
      <c r="B8" s="75">
        <f>B7*B3</f>
        <v>1919.201250953784</v>
      </c>
      <c r="C8" s="75">
        <f>C7*C3</f>
        <v>3838.402501907568</v>
      </c>
      <c r="D8" s="75">
        <f>D7*D3</f>
        <v>7676.8050038151359</v>
      </c>
    </row>
    <row r="9" spans="1:13" x14ac:dyDescent="0.25">
      <c r="A9" s="76" t="s">
        <v>95</v>
      </c>
      <c r="B9" s="72">
        <f>1-B7</f>
        <v>0.61615974980924326</v>
      </c>
      <c r="C9" s="73">
        <f>B9</f>
        <v>0.61615974980924326</v>
      </c>
      <c r="D9" s="73">
        <f>C9</f>
        <v>0.61615974980924326</v>
      </c>
    </row>
    <row r="10" spans="1:13" x14ac:dyDescent="0.25">
      <c r="A10" s="74" t="s">
        <v>96</v>
      </c>
      <c r="B10" s="75">
        <f>B9*B3</f>
        <v>3080.7987490462165</v>
      </c>
      <c r="C10" s="75">
        <f>C9*C3</f>
        <v>6161.5974980924329</v>
      </c>
      <c r="D10" s="75">
        <f>D9*D3</f>
        <v>12323.194996184866</v>
      </c>
    </row>
    <row r="11" spans="1:13" x14ac:dyDescent="0.25">
      <c r="A11" s="69" t="s">
        <v>97</v>
      </c>
      <c r="B11" s="77">
        <v>1.3976772815992604</v>
      </c>
      <c r="C11" s="77">
        <v>1.3976772815992604</v>
      </c>
      <c r="D11" s="77">
        <v>1.3976772815992604</v>
      </c>
    </row>
    <row r="12" spans="1:13" x14ac:dyDescent="0.25">
      <c r="A12" s="69" t="s">
        <v>98</v>
      </c>
      <c r="B12" s="77">
        <v>19.047837012862999</v>
      </c>
      <c r="C12" s="77">
        <v>19.047837012862999</v>
      </c>
      <c r="D12" s="77">
        <v>19.047837012862999</v>
      </c>
    </row>
    <row r="13" spans="1:13" x14ac:dyDescent="0.25">
      <c r="A13" s="112" t="s">
        <v>99</v>
      </c>
      <c r="B13" s="78"/>
      <c r="C13" s="79"/>
      <c r="D13" s="80"/>
    </row>
    <row r="14" spans="1:13" x14ac:dyDescent="0.25">
      <c r="A14" s="74" t="s">
        <v>100</v>
      </c>
      <c r="B14" s="82">
        <v>112180</v>
      </c>
      <c r="C14" s="82">
        <v>112180</v>
      </c>
      <c r="D14" s="82">
        <v>112180</v>
      </c>
    </row>
    <row r="15" spans="1:13" x14ac:dyDescent="0.25">
      <c r="A15" s="74" t="s">
        <v>101</v>
      </c>
      <c r="B15" s="82">
        <v>43679</v>
      </c>
      <c r="C15" s="82">
        <v>43679</v>
      </c>
      <c r="D15" s="82">
        <v>43679</v>
      </c>
    </row>
    <row r="16" spans="1:13" x14ac:dyDescent="0.25">
      <c r="A16" s="74" t="s">
        <v>102</v>
      </c>
      <c r="B16" s="82">
        <v>136398</v>
      </c>
      <c r="C16" s="82">
        <v>136398</v>
      </c>
      <c r="D16" s="82">
        <v>136398</v>
      </c>
      <c r="M16" s="81"/>
    </row>
    <row r="17" spans="1:14" x14ac:dyDescent="0.25">
      <c r="M17" s="81"/>
    </row>
    <row r="18" spans="1:14" ht="45" x14ac:dyDescent="0.25">
      <c r="A18" s="105" t="s">
        <v>110</v>
      </c>
      <c r="B18" s="113" t="s">
        <v>100</v>
      </c>
      <c r="C18" s="114" t="s">
        <v>104</v>
      </c>
      <c r="D18" s="113" t="s">
        <v>105</v>
      </c>
      <c r="E18" s="100" t="s">
        <v>106</v>
      </c>
      <c r="F18" s="114" t="s">
        <v>109</v>
      </c>
      <c r="M18" s="81"/>
    </row>
    <row r="19" spans="1:14" x14ac:dyDescent="0.25">
      <c r="A19" s="115">
        <v>2026</v>
      </c>
      <c r="B19" s="106">
        <f>B8*B6*B11</f>
        <v>21459.39189819988</v>
      </c>
      <c r="C19" s="106">
        <f>B10*B6*B12</f>
        <v>469460.41953011637</v>
      </c>
      <c r="D19" s="116">
        <f>SUM(B19:C19)</f>
        <v>490919.81142831623</v>
      </c>
      <c r="E19" s="107">
        <f>D19/(1+4%)^0</f>
        <v>490919.81142831623</v>
      </c>
      <c r="F19" s="127">
        <f>E19</f>
        <v>490919.81142831623</v>
      </c>
      <c r="M19" s="84"/>
      <c r="N19" s="41"/>
    </row>
    <row r="20" spans="1:14" x14ac:dyDescent="0.25">
      <c r="A20" s="115">
        <v>2027</v>
      </c>
      <c r="B20" s="106">
        <f>C8*C6*C11</f>
        <v>42918.783796399759</v>
      </c>
      <c r="C20" s="106">
        <f>C10*C6*C12</f>
        <v>938920.83906023274</v>
      </c>
      <c r="D20" s="116">
        <f t="shared" ref="D20:D21" si="1">SUM(B20:C20)</f>
        <v>981839.62285663246</v>
      </c>
      <c r="E20" s="107">
        <f>D20/(1+4%)^1</f>
        <v>944076.56043906964</v>
      </c>
      <c r="F20" s="127">
        <f>E20</f>
        <v>944076.56043906964</v>
      </c>
      <c r="M20" s="84"/>
      <c r="N20" s="41"/>
    </row>
    <row r="21" spans="1:14" x14ac:dyDescent="0.25">
      <c r="A21" s="115">
        <v>2028</v>
      </c>
      <c r="B21" s="106">
        <f>D8*D6*D11</f>
        <v>85837.567592799518</v>
      </c>
      <c r="C21" s="106">
        <f>D10*D6*D12</f>
        <v>1877841.6781204655</v>
      </c>
      <c r="D21" s="116">
        <f t="shared" si="1"/>
        <v>1963679.2457132649</v>
      </c>
      <c r="E21" s="107">
        <f>D21/(1+4%)^2</f>
        <v>1815531.8469982108</v>
      </c>
      <c r="F21" s="128">
        <f>E21*0.5</f>
        <v>907765.92349910538</v>
      </c>
      <c r="M21" s="84"/>
      <c r="N21" s="41"/>
    </row>
    <row r="22" spans="1:14" x14ac:dyDescent="0.25">
      <c r="A22" s="117" t="s">
        <v>105</v>
      </c>
      <c r="B22" s="118">
        <f>SUM(B19:B21)</f>
        <v>150215.74328739915</v>
      </c>
      <c r="C22" s="118">
        <f>SUM(C19:C21)</f>
        <v>3286222.9367108145</v>
      </c>
      <c r="D22" s="118">
        <f>SUM(D19:D21)</f>
        <v>3436438.6799982134</v>
      </c>
      <c r="E22" s="108">
        <f>SUM(E19:E21)</f>
        <v>3250528.2188655967</v>
      </c>
      <c r="F22" s="118">
        <f>F21+F20+F19</f>
        <v>2342762.2953664912</v>
      </c>
      <c r="N22" s="47"/>
    </row>
    <row r="24" spans="1:14" x14ac:dyDescent="0.25">
      <c r="N24" s="47"/>
    </row>
    <row r="25" spans="1:14" x14ac:dyDescent="0.25">
      <c r="H25" s="47"/>
      <c r="N25" s="47"/>
    </row>
    <row r="27" spans="1:14" x14ac:dyDescent="0.25">
      <c r="E27" s="47"/>
    </row>
    <row r="28" spans="1:14" x14ac:dyDescent="0.25">
      <c r="E28" s="47"/>
    </row>
    <row r="29" spans="1:14" x14ac:dyDescent="0.25">
      <c r="E29" s="47"/>
    </row>
    <row r="30" spans="1:14" x14ac:dyDescent="0.25">
      <c r="E30" s="47"/>
    </row>
    <row r="31" spans="1:14" x14ac:dyDescent="0.25">
      <c r="E31" s="47"/>
    </row>
    <row r="32" spans="1:14" x14ac:dyDescent="0.25">
      <c r="E32" s="47"/>
    </row>
  </sheetData>
  <mergeCells count="1">
    <mergeCell ref="A1:D1"/>
  </mergeCells>
  <pageMargins left="0.7" right="0.7" top="0.75" bottom="0.75" header="0.3" footer="0.3"/>
  <pageSetup scale="96" orientation="portrait" r:id="rId1"/>
  <headerFooter>
    <oddHeader>&amp;R2025 NWS Application
GrandBridge Energy Inc. 
EB-2025-0265
Filed: 2025-12-01
Attachment 2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908D6-8E3D-4371-9750-11C8CE11ACB5}">
  <sheetPr>
    <tabColor rgb="FF00B0F0"/>
  </sheetPr>
  <dimension ref="A1:O63"/>
  <sheetViews>
    <sheetView showGridLines="0" view="pageBreakPreview" zoomScale="60" zoomScaleNormal="100" workbookViewId="0">
      <selection activeCell="A16" sqref="A16"/>
    </sheetView>
  </sheetViews>
  <sheetFormatPr defaultRowHeight="15" x14ac:dyDescent="0.25"/>
  <cols>
    <col min="1" max="1" width="42.42578125" customWidth="1"/>
    <col min="2" max="2" width="12.85546875" bestFit="1" customWidth="1"/>
    <col min="3" max="3" width="17" customWidth="1"/>
    <col min="4" max="4" width="14.7109375" bestFit="1" customWidth="1"/>
    <col min="5" max="5" width="15" customWidth="1"/>
    <col min="6" max="6" width="11.7109375" customWidth="1"/>
    <col min="7" max="7" width="11.28515625" bestFit="1" customWidth="1"/>
    <col min="8" max="8" width="15.42578125" customWidth="1"/>
    <col min="9" max="9" width="14.7109375" customWidth="1"/>
    <col min="10" max="10" width="10.5703125" customWidth="1"/>
    <col min="11" max="11" width="13.7109375" customWidth="1"/>
    <col min="12" max="12" width="11.85546875" bestFit="1" customWidth="1"/>
    <col min="13" max="13" width="11.7109375" bestFit="1" customWidth="1"/>
    <col min="14" max="14" width="13.5703125" bestFit="1" customWidth="1"/>
    <col min="15" max="15" width="16.85546875" customWidth="1"/>
    <col min="16" max="16" width="6.7109375" customWidth="1"/>
  </cols>
  <sheetData>
    <row r="1" spans="1:14" ht="15.75" thickBot="1" x14ac:dyDescent="0.3">
      <c r="A1" s="174" t="s">
        <v>111</v>
      </c>
      <c r="D1" s="172" t="s">
        <v>112</v>
      </c>
      <c r="E1" s="173"/>
      <c r="F1" s="173"/>
      <c r="G1" s="176"/>
      <c r="H1" s="85"/>
      <c r="I1" s="172" t="s">
        <v>113</v>
      </c>
      <c r="J1" s="173"/>
      <c r="K1" s="173"/>
      <c r="L1" s="173"/>
      <c r="M1" s="173"/>
      <c r="N1" s="176"/>
    </row>
    <row r="2" spans="1:14" ht="15.75" thickBot="1" x14ac:dyDescent="0.3">
      <c r="A2" s="175"/>
      <c r="D2" s="86"/>
      <c r="E2" s="87" t="s">
        <v>114</v>
      </c>
      <c r="F2" s="87" t="s">
        <v>115</v>
      </c>
      <c r="G2" s="87" t="s">
        <v>116</v>
      </c>
      <c r="H2" s="85"/>
      <c r="I2" s="86"/>
      <c r="J2" s="87" t="s">
        <v>114</v>
      </c>
      <c r="K2" s="87" t="s">
        <v>115</v>
      </c>
      <c r="L2" s="87" t="s">
        <v>116</v>
      </c>
      <c r="M2" s="88" t="s">
        <v>105</v>
      </c>
      <c r="N2" s="102" t="s">
        <v>117</v>
      </c>
    </row>
    <row r="3" spans="1:14" ht="15.75" thickBot="1" x14ac:dyDescent="0.3">
      <c r="A3" s="165" t="s">
        <v>118</v>
      </c>
      <c r="B3" s="163">
        <v>6.37</v>
      </c>
      <c r="C3" t="s">
        <v>119</v>
      </c>
      <c r="D3" s="89" t="s">
        <v>120</v>
      </c>
      <c r="E3" s="87">
        <v>0</v>
      </c>
      <c r="F3" s="87">
        <v>2.2000000000000002</v>
      </c>
      <c r="G3" s="87">
        <v>1.4</v>
      </c>
      <c r="H3" s="85"/>
      <c r="I3" s="89" t="s">
        <v>120</v>
      </c>
      <c r="J3" s="90">
        <f>E3*1000*$B$6</f>
        <v>0</v>
      </c>
      <c r="K3" s="90">
        <f>F3*1000*$B$6</f>
        <v>23672</v>
      </c>
      <c r="L3" s="90">
        <f>G3*1000*$B$7</f>
        <v>10318</v>
      </c>
      <c r="M3" s="91">
        <f>SUM(J3:L3)</f>
        <v>33990</v>
      </c>
      <c r="N3" s="104">
        <f>M3/(1+4%)^0</f>
        <v>33990</v>
      </c>
    </row>
    <row r="4" spans="1:14" ht="15.75" thickBot="1" x14ac:dyDescent="0.3">
      <c r="A4" s="165" t="s">
        <v>121</v>
      </c>
      <c r="B4" s="163">
        <v>1</v>
      </c>
      <c r="C4" t="s">
        <v>119</v>
      </c>
      <c r="D4" s="89" t="s">
        <v>122</v>
      </c>
      <c r="E4" s="87">
        <v>1.4</v>
      </c>
      <c r="F4" s="87">
        <v>0</v>
      </c>
      <c r="G4" s="87">
        <v>1.4</v>
      </c>
      <c r="H4" s="85"/>
      <c r="I4" s="89" t="s">
        <v>122</v>
      </c>
      <c r="J4" s="90">
        <f t="shared" ref="J4:K6" si="0">E4*1000*$B$6</f>
        <v>15064</v>
      </c>
      <c r="K4" s="90">
        <f t="shared" si="0"/>
        <v>0</v>
      </c>
      <c r="L4" s="90">
        <f t="shared" ref="L4:L6" si="1">G4*1000*$B$7</f>
        <v>10318</v>
      </c>
      <c r="M4" s="91">
        <f t="shared" ref="M4:M7" si="2">SUM(J4:L4)</f>
        <v>25382</v>
      </c>
      <c r="N4" s="104">
        <f t="shared" ref="N4:N7" si="3">M4/(1+4%)^0</f>
        <v>25382</v>
      </c>
    </row>
    <row r="5" spans="1:14" ht="15.75" thickBot="1" x14ac:dyDescent="0.3">
      <c r="A5" s="165" t="s">
        <v>123</v>
      </c>
      <c r="B5" s="163">
        <v>3.39</v>
      </c>
      <c r="C5" t="s">
        <v>119</v>
      </c>
      <c r="D5" s="89" t="s">
        <v>124</v>
      </c>
      <c r="E5" s="87">
        <v>1.4</v>
      </c>
      <c r="F5" s="87">
        <v>2.2000000000000002</v>
      </c>
      <c r="G5" s="87">
        <v>0</v>
      </c>
      <c r="H5" s="85"/>
      <c r="I5" s="89" t="s">
        <v>124</v>
      </c>
      <c r="J5" s="90">
        <f t="shared" si="0"/>
        <v>15064</v>
      </c>
      <c r="K5" s="90">
        <f t="shared" si="0"/>
        <v>23672</v>
      </c>
      <c r="L5" s="90">
        <f t="shared" si="1"/>
        <v>0</v>
      </c>
      <c r="M5" s="91">
        <f t="shared" si="2"/>
        <v>38736</v>
      </c>
      <c r="N5" s="104">
        <f t="shared" si="3"/>
        <v>38736</v>
      </c>
    </row>
    <row r="6" spans="1:14" ht="15.75" thickBot="1" x14ac:dyDescent="0.3">
      <c r="A6" s="166" t="s">
        <v>125</v>
      </c>
      <c r="B6" s="164">
        <f>SUM(B3:B5)</f>
        <v>10.76</v>
      </c>
      <c r="C6" t="s">
        <v>119</v>
      </c>
      <c r="D6" s="89" t="s">
        <v>126</v>
      </c>
      <c r="E6" s="87">
        <v>1.4</v>
      </c>
      <c r="F6" s="87">
        <v>0</v>
      </c>
      <c r="G6" s="87">
        <v>0</v>
      </c>
      <c r="H6" s="85"/>
      <c r="I6" s="89" t="s">
        <v>126</v>
      </c>
      <c r="J6" s="90">
        <f t="shared" si="0"/>
        <v>15064</v>
      </c>
      <c r="K6" s="90">
        <f t="shared" si="0"/>
        <v>0</v>
      </c>
      <c r="L6" s="90">
        <f t="shared" si="1"/>
        <v>0</v>
      </c>
      <c r="M6" s="91">
        <f t="shared" si="2"/>
        <v>15064</v>
      </c>
      <c r="N6" s="104">
        <f t="shared" si="3"/>
        <v>15064</v>
      </c>
    </row>
    <row r="7" spans="1:14" ht="15.75" thickBot="1" x14ac:dyDescent="0.3">
      <c r="A7" s="167" t="s">
        <v>127</v>
      </c>
      <c r="B7" s="164">
        <f>SUM(B3:B4)</f>
        <v>7.37</v>
      </c>
      <c r="C7" t="s">
        <v>119</v>
      </c>
      <c r="D7" s="92"/>
      <c r="E7" s="93"/>
      <c r="F7" s="93"/>
      <c r="G7" s="93"/>
      <c r="H7" s="85"/>
      <c r="I7" s="89" t="s">
        <v>105</v>
      </c>
      <c r="J7" s="91">
        <f>SUM(J3:J6)</f>
        <v>45192</v>
      </c>
      <c r="K7" s="91">
        <f t="shared" ref="K7:L7" si="4">SUM(K3:K6)</f>
        <v>47344</v>
      </c>
      <c r="L7" s="91">
        <f t="shared" si="4"/>
        <v>20636</v>
      </c>
      <c r="M7" s="91">
        <f t="shared" si="2"/>
        <v>113172</v>
      </c>
      <c r="N7" s="103">
        <f t="shared" si="3"/>
        <v>113172</v>
      </c>
    </row>
    <row r="8" spans="1:14" x14ac:dyDescent="0.25">
      <c r="A8" s="94" t="s">
        <v>128</v>
      </c>
      <c r="E8" s="95"/>
      <c r="F8" s="95"/>
      <c r="G8" s="95"/>
    </row>
    <row r="9" spans="1:14" x14ac:dyDescent="0.25">
      <c r="A9" s="94"/>
      <c r="E9" s="95"/>
      <c r="F9" s="95"/>
      <c r="G9" s="95"/>
    </row>
    <row r="10" spans="1:14" x14ac:dyDescent="0.25">
      <c r="A10" s="94"/>
      <c r="E10" s="95"/>
      <c r="F10" s="95"/>
      <c r="G10" s="95"/>
    </row>
    <row r="11" spans="1:14" x14ac:dyDescent="0.25">
      <c r="D11" s="172" t="s">
        <v>129</v>
      </c>
      <c r="E11" s="173"/>
      <c r="F11" s="173"/>
      <c r="G11" s="176"/>
      <c r="H11" s="85"/>
      <c r="I11" s="172" t="s">
        <v>130</v>
      </c>
      <c r="J11" s="173"/>
      <c r="K11" s="173"/>
      <c r="L11" s="173"/>
      <c r="M11" s="173"/>
      <c r="N11" s="176"/>
    </row>
    <row r="12" spans="1:14" x14ac:dyDescent="0.25">
      <c r="D12" s="89"/>
      <c r="E12" s="88" t="s">
        <v>114</v>
      </c>
      <c r="F12" s="88" t="s">
        <v>115</v>
      </c>
      <c r="G12" s="88" t="s">
        <v>116</v>
      </c>
      <c r="H12" s="85"/>
      <c r="I12" s="89"/>
      <c r="J12" s="88" t="s">
        <v>114</v>
      </c>
      <c r="K12" s="88" t="s">
        <v>115</v>
      </c>
      <c r="L12" s="88" t="s">
        <v>116</v>
      </c>
      <c r="M12" s="88" t="s">
        <v>105</v>
      </c>
      <c r="N12" s="102" t="s">
        <v>117</v>
      </c>
    </row>
    <row r="13" spans="1:14" x14ac:dyDescent="0.25">
      <c r="D13" s="89" t="s">
        <v>120</v>
      </c>
      <c r="E13" s="87">
        <v>0</v>
      </c>
      <c r="F13" s="87">
        <v>4.4000000000000004</v>
      </c>
      <c r="G13" s="87">
        <v>2.8</v>
      </c>
      <c r="H13" s="85"/>
      <c r="I13" s="89" t="s">
        <v>120</v>
      </c>
      <c r="J13" s="90">
        <f t="shared" ref="J13:K16" si="5">E13*1000*$B$6</f>
        <v>0</v>
      </c>
      <c r="K13" s="90">
        <f t="shared" si="5"/>
        <v>47344</v>
      </c>
      <c r="L13" s="90">
        <f>G13*1000*$B$7</f>
        <v>20636</v>
      </c>
      <c r="M13" s="91">
        <f>SUM(J13:L13)</f>
        <v>67980</v>
      </c>
      <c r="N13" s="104">
        <f>M13/(1+4%)^1</f>
        <v>65365.38461538461</v>
      </c>
    </row>
    <row r="14" spans="1:14" x14ac:dyDescent="0.25">
      <c r="D14" s="89" t="s">
        <v>122</v>
      </c>
      <c r="E14" s="87">
        <v>2.8</v>
      </c>
      <c r="F14" s="87">
        <v>0</v>
      </c>
      <c r="G14" s="87">
        <v>2.8</v>
      </c>
      <c r="H14" s="85"/>
      <c r="I14" s="89" t="s">
        <v>122</v>
      </c>
      <c r="J14" s="90">
        <f t="shared" si="5"/>
        <v>30128</v>
      </c>
      <c r="K14" s="90">
        <f t="shared" si="5"/>
        <v>0</v>
      </c>
      <c r="L14" s="90">
        <f>G14*1000*$B$7</f>
        <v>20636</v>
      </c>
      <c r="M14" s="91">
        <f t="shared" ref="M14:M17" si="6">SUM(J14:L14)</f>
        <v>50764</v>
      </c>
      <c r="N14" s="104">
        <f t="shared" ref="N14:N17" si="7">M14/(1+4%)^1</f>
        <v>48811.538461538461</v>
      </c>
    </row>
    <row r="15" spans="1:14" x14ac:dyDescent="0.25">
      <c r="D15" s="89" t="s">
        <v>124</v>
      </c>
      <c r="E15" s="87">
        <v>2.2999999999999998</v>
      </c>
      <c r="F15" s="87">
        <v>3.9</v>
      </c>
      <c r="G15" s="87">
        <v>0</v>
      </c>
      <c r="H15" s="85"/>
      <c r="I15" s="89" t="s">
        <v>124</v>
      </c>
      <c r="J15" s="90">
        <f t="shared" si="5"/>
        <v>24748</v>
      </c>
      <c r="K15" s="90">
        <f t="shared" si="5"/>
        <v>41964</v>
      </c>
      <c r="L15" s="90">
        <f>G15*1000*$B$7</f>
        <v>0</v>
      </c>
      <c r="M15" s="91">
        <f t="shared" si="6"/>
        <v>66712</v>
      </c>
      <c r="N15" s="104">
        <f t="shared" si="7"/>
        <v>64146.153846153844</v>
      </c>
    </row>
    <row r="16" spans="1:14" x14ac:dyDescent="0.25">
      <c r="D16" s="89" t="s">
        <v>126</v>
      </c>
      <c r="E16" s="87">
        <v>1.9</v>
      </c>
      <c r="F16" s="87">
        <v>0</v>
      </c>
      <c r="G16" s="87">
        <v>0</v>
      </c>
      <c r="H16" s="85"/>
      <c r="I16" s="89" t="s">
        <v>126</v>
      </c>
      <c r="J16" s="90">
        <f t="shared" si="5"/>
        <v>20444</v>
      </c>
      <c r="K16" s="90">
        <f t="shared" si="5"/>
        <v>0</v>
      </c>
      <c r="L16" s="90">
        <f>G16*1000*$B$7</f>
        <v>0</v>
      </c>
      <c r="M16" s="91">
        <f t="shared" si="6"/>
        <v>20444</v>
      </c>
      <c r="N16" s="104">
        <f t="shared" si="7"/>
        <v>19657.692307692309</v>
      </c>
    </row>
    <row r="17" spans="1:15" x14ac:dyDescent="0.25">
      <c r="D17" s="92"/>
      <c r="E17" s="93"/>
      <c r="F17" s="93"/>
      <c r="G17" s="93"/>
      <c r="H17" s="85"/>
      <c r="I17" s="89" t="s">
        <v>105</v>
      </c>
      <c r="J17" s="91">
        <f>SUM(J13:J16)</f>
        <v>75320</v>
      </c>
      <c r="K17" s="91">
        <f t="shared" ref="K17:L17" si="8">SUM(K13:K16)</f>
        <v>89308</v>
      </c>
      <c r="L17" s="91">
        <f t="shared" si="8"/>
        <v>41272</v>
      </c>
      <c r="M17" s="91">
        <f t="shared" si="6"/>
        <v>205900</v>
      </c>
      <c r="N17" s="103">
        <f t="shared" si="7"/>
        <v>197980.76923076922</v>
      </c>
    </row>
    <row r="18" spans="1:15" x14ac:dyDescent="0.25">
      <c r="E18" s="95"/>
      <c r="F18" s="95"/>
      <c r="G18" s="95"/>
      <c r="H18" s="85"/>
      <c r="M18" s="96"/>
    </row>
    <row r="19" spans="1:15" ht="15.75" thickBot="1" x14ac:dyDescent="0.3">
      <c r="E19" s="95"/>
      <c r="F19" s="95"/>
      <c r="G19" s="95"/>
    </row>
    <row r="20" spans="1:15" ht="28.9" customHeight="1" thickBot="1" x14ac:dyDescent="0.3">
      <c r="D20" s="169" t="s">
        <v>131</v>
      </c>
      <c r="E20" s="170"/>
      <c r="F20" s="170"/>
      <c r="G20" s="171"/>
      <c r="H20" s="85"/>
      <c r="I20" s="172" t="s">
        <v>132</v>
      </c>
      <c r="J20" s="173"/>
      <c r="K20" s="173"/>
      <c r="L20" s="173"/>
      <c r="M20" s="173"/>
      <c r="N20" s="173"/>
      <c r="O20" s="129" t="s">
        <v>109</v>
      </c>
    </row>
    <row r="21" spans="1:15" ht="14.45" customHeight="1" thickBot="1" x14ac:dyDescent="0.3">
      <c r="D21" s="89"/>
      <c r="E21" s="88" t="s">
        <v>114</v>
      </c>
      <c r="F21" s="88" t="s">
        <v>115</v>
      </c>
      <c r="G21" s="88" t="s">
        <v>116</v>
      </c>
      <c r="H21" s="85"/>
      <c r="I21" s="89"/>
      <c r="J21" s="88" t="s">
        <v>114</v>
      </c>
      <c r="K21" s="88" t="s">
        <v>115</v>
      </c>
      <c r="L21" s="88" t="s">
        <v>116</v>
      </c>
      <c r="M21" s="88" t="s">
        <v>105</v>
      </c>
      <c r="N21" s="120" t="s">
        <v>117</v>
      </c>
      <c r="O21" s="130"/>
    </row>
    <row r="22" spans="1:15" ht="15.75" thickBot="1" x14ac:dyDescent="0.3">
      <c r="D22" s="89" t="s">
        <v>120</v>
      </c>
      <c r="E22" s="87">
        <v>0</v>
      </c>
      <c r="F22" s="87">
        <v>7.3</v>
      </c>
      <c r="G22" s="87">
        <v>2.8</v>
      </c>
      <c r="H22" s="85"/>
      <c r="I22" s="89" t="s">
        <v>120</v>
      </c>
      <c r="J22" s="90">
        <f t="shared" ref="J22:K25" si="9">E22*1000*$B$6</f>
        <v>0</v>
      </c>
      <c r="K22" s="90">
        <f t="shared" si="9"/>
        <v>78548</v>
      </c>
      <c r="L22" s="90">
        <f>G22*1000*$B$7</f>
        <v>20636</v>
      </c>
      <c r="M22" s="91">
        <f>SUM(J22:L22)</f>
        <v>99184</v>
      </c>
      <c r="N22" s="121">
        <f>M22/(1+4%)^2</f>
        <v>91701.183431952653</v>
      </c>
      <c r="O22" s="131">
        <f>N22*0.5</f>
        <v>45850.591715976327</v>
      </c>
    </row>
    <row r="23" spans="1:15" ht="15.75" thickBot="1" x14ac:dyDescent="0.3">
      <c r="D23" s="89" t="s">
        <v>122</v>
      </c>
      <c r="E23" s="87">
        <v>2.8</v>
      </c>
      <c r="F23" s="87">
        <v>0</v>
      </c>
      <c r="G23" s="87">
        <v>2.8</v>
      </c>
      <c r="H23" s="85"/>
      <c r="I23" s="89" t="s">
        <v>122</v>
      </c>
      <c r="J23" s="90">
        <f t="shared" si="9"/>
        <v>30128</v>
      </c>
      <c r="K23" s="90">
        <f t="shared" si="9"/>
        <v>0</v>
      </c>
      <c r="L23" s="90">
        <f>G23*1000*$B$7</f>
        <v>20636</v>
      </c>
      <c r="M23" s="91">
        <f t="shared" ref="M23:M26" si="10">SUM(J23:L23)</f>
        <v>50764</v>
      </c>
      <c r="N23" s="121">
        <f t="shared" ref="N23:N26" si="11">M23/(1+4%)^2</f>
        <v>46934.171597633132</v>
      </c>
      <c r="O23" s="131">
        <f t="shared" ref="O23:O25" si="12">N23*0.5</f>
        <v>23467.085798816566</v>
      </c>
    </row>
    <row r="24" spans="1:15" ht="15.75" thickBot="1" x14ac:dyDescent="0.3">
      <c r="D24" s="89" t="s">
        <v>124</v>
      </c>
      <c r="E24" s="87">
        <v>2.2999999999999998</v>
      </c>
      <c r="F24" s="87">
        <v>4</v>
      </c>
      <c r="G24" s="87">
        <v>0</v>
      </c>
      <c r="H24" s="85"/>
      <c r="I24" s="89" t="s">
        <v>124</v>
      </c>
      <c r="J24" s="90">
        <f t="shared" si="9"/>
        <v>24748</v>
      </c>
      <c r="K24" s="90">
        <f t="shared" si="9"/>
        <v>43040</v>
      </c>
      <c r="L24" s="90">
        <f>G24*1000*$B$7</f>
        <v>0</v>
      </c>
      <c r="M24" s="91">
        <f t="shared" si="10"/>
        <v>67788</v>
      </c>
      <c r="N24" s="121">
        <f t="shared" si="11"/>
        <v>62673.816568047332</v>
      </c>
      <c r="O24" s="132">
        <f t="shared" si="12"/>
        <v>31336.908284023666</v>
      </c>
    </row>
    <row r="25" spans="1:15" ht="15.75" thickBot="1" x14ac:dyDescent="0.3">
      <c r="D25" s="89" t="s">
        <v>126</v>
      </c>
      <c r="E25" s="87">
        <v>2</v>
      </c>
      <c r="F25" s="87">
        <v>0</v>
      </c>
      <c r="G25" s="87">
        <v>0</v>
      </c>
      <c r="I25" s="89" t="s">
        <v>126</v>
      </c>
      <c r="J25" s="90">
        <f t="shared" si="9"/>
        <v>21520</v>
      </c>
      <c r="K25" s="90">
        <f t="shared" si="9"/>
        <v>0</v>
      </c>
      <c r="L25" s="90">
        <f>G25*1000*$B$7</f>
        <v>0</v>
      </c>
      <c r="M25" s="91">
        <f t="shared" si="10"/>
        <v>21520</v>
      </c>
      <c r="N25" s="121">
        <f t="shared" si="11"/>
        <v>19896.449704142011</v>
      </c>
      <c r="O25" s="131">
        <f t="shared" si="12"/>
        <v>9948.2248520710054</v>
      </c>
    </row>
    <row r="26" spans="1:15" ht="15.75" thickBot="1" x14ac:dyDescent="0.3">
      <c r="E26" s="95"/>
      <c r="F26" s="95"/>
      <c r="G26" s="95"/>
      <c r="I26" s="89" t="s">
        <v>105</v>
      </c>
      <c r="J26" s="91">
        <f>SUM(J22:J25)</f>
        <v>76396</v>
      </c>
      <c r="K26" s="91">
        <f t="shared" ref="K26:L26" si="13">SUM(K22:K25)</f>
        <v>121588</v>
      </c>
      <c r="L26" s="91">
        <f t="shared" si="13"/>
        <v>41272</v>
      </c>
      <c r="M26" s="91">
        <f t="shared" si="10"/>
        <v>239256</v>
      </c>
      <c r="N26" s="122">
        <f t="shared" si="11"/>
        <v>221205.62130177513</v>
      </c>
      <c r="O26" s="137">
        <f>SUM(O22:P25)</f>
        <v>110602.81065088755</v>
      </c>
    </row>
    <row r="27" spans="1:15" ht="15.75" thickBot="1" x14ac:dyDescent="0.3">
      <c r="E27" s="95"/>
      <c r="F27" s="95"/>
      <c r="G27" s="95"/>
      <c r="J27" s="97"/>
      <c r="K27" s="97"/>
    </row>
    <row r="28" spans="1:15" ht="15.75" thickBot="1" x14ac:dyDescent="0.3">
      <c r="E28" s="95"/>
      <c r="F28" s="95"/>
      <c r="G28" s="95"/>
      <c r="K28" s="123"/>
      <c r="L28" s="124"/>
      <c r="M28" s="125" t="s">
        <v>133</v>
      </c>
      <c r="N28" s="126">
        <f>N26+N17+N7</f>
        <v>532358.39053254435</v>
      </c>
      <c r="O28" s="138">
        <f>O26+N17+N7</f>
        <v>421755.5798816568</v>
      </c>
    </row>
    <row r="29" spans="1:15" x14ac:dyDescent="0.25">
      <c r="E29" s="95"/>
      <c r="F29" s="95"/>
      <c r="G29" s="95"/>
    </row>
    <row r="30" spans="1:15" x14ac:dyDescent="0.25">
      <c r="E30" s="95"/>
      <c r="F30" s="95"/>
      <c r="G30" s="95"/>
    </row>
    <row r="31" spans="1:15" x14ac:dyDescent="0.25">
      <c r="A31" s="94"/>
      <c r="E31" s="95"/>
      <c r="F31" s="95"/>
      <c r="G31" s="95"/>
    </row>
    <row r="32" spans="1:15" x14ac:dyDescent="0.25">
      <c r="A32" s="94"/>
      <c r="E32" s="95"/>
      <c r="F32" s="95"/>
      <c r="G32" s="95"/>
    </row>
    <row r="33" spans="1:8" x14ac:dyDescent="0.25">
      <c r="A33" s="94"/>
      <c r="E33" s="95"/>
      <c r="F33" s="95"/>
      <c r="G33" s="95"/>
    </row>
    <row r="34" spans="1:8" x14ac:dyDescent="0.25">
      <c r="A34" s="94"/>
      <c r="E34" s="95"/>
      <c r="F34" s="95"/>
      <c r="G34" s="95"/>
    </row>
    <row r="35" spans="1:8" x14ac:dyDescent="0.25">
      <c r="E35" s="95"/>
      <c r="F35" s="95"/>
      <c r="G35" s="95"/>
    </row>
    <row r="36" spans="1:8" x14ac:dyDescent="0.25">
      <c r="E36" s="95"/>
      <c r="F36" s="95"/>
      <c r="G36" s="95"/>
    </row>
    <row r="37" spans="1:8" x14ac:dyDescent="0.25">
      <c r="E37" s="95"/>
      <c r="F37" s="95"/>
      <c r="G37" s="95"/>
    </row>
    <row r="38" spans="1:8" x14ac:dyDescent="0.25">
      <c r="E38" s="95"/>
      <c r="F38" s="95"/>
      <c r="G38" s="95"/>
    </row>
    <row r="39" spans="1:8" x14ac:dyDescent="0.25">
      <c r="E39" s="95"/>
      <c r="F39" s="95"/>
      <c r="G39" s="95"/>
      <c r="H39" s="97"/>
    </row>
    <row r="40" spans="1:8" x14ac:dyDescent="0.25">
      <c r="E40" s="95"/>
      <c r="F40" s="95"/>
      <c r="G40" s="95"/>
      <c r="H40" s="97"/>
    </row>
    <row r="41" spans="1:8" x14ac:dyDescent="0.25">
      <c r="E41" s="95"/>
      <c r="F41" s="95"/>
      <c r="G41" s="95"/>
      <c r="H41" s="97"/>
    </row>
    <row r="42" spans="1:8" x14ac:dyDescent="0.25">
      <c r="E42" s="95"/>
      <c r="F42" s="95"/>
      <c r="G42" s="95"/>
    </row>
    <row r="43" spans="1:8" x14ac:dyDescent="0.25">
      <c r="E43" s="95"/>
      <c r="F43" s="95"/>
      <c r="G43" s="95"/>
    </row>
    <row r="44" spans="1:8" x14ac:dyDescent="0.25">
      <c r="E44" s="95"/>
      <c r="F44" s="95"/>
      <c r="G44" s="95"/>
    </row>
    <row r="45" spans="1:8" x14ac:dyDescent="0.25">
      <c r="E45" s="95"/>
      <c r="F45" s="95"/>
      <c r="G45" s="95"/>
    </row>
    <row r="46" spans="1:8" x14ac:dyDescent="0.25">
      <c r="E46" s="95"/>
      <c r="F46" s="95"/>
      <c r="G46" s="95"/>
    </row>
    <row r="47" spans="1:8" x14ac:dyDescent="0.25">
      <c r="E47" s="95"/>
      <c r="F47" s="95"/>
      <c r="G47" s="95"/>
    </row>
    <row r="48" spans="1:8" x14ac:dyDescent="0.25">
      <c r="E48" s="95"/>
      <c r="F48" s="95"/>
      <c r="G48" s="95"/>
    </row>
    <row r="49" spans="5:7" x14ac:dyDescent="0.25">
      <c r="E49" s="95"/>
      <c r="F49" s="95"/>
      <c r="G49" s="95"/>
    </row>
    <row r="50" spans="5:7" x14ac:dyDescent="0.25">
      <c r="E50" s="95"/>
      <c r="F50" s="95"/>
      <c r="G50" s="95"/>
    </row>
    <row r="51" spans="5:7" x14ac:dyDescent="0.25">
      <c r="E51" s="95"/>
      <c r="F51" s="95"/>
      <c r="G51" s="95"/>
    </row>
    <row r="52" spans="5:7" x14ac:dyDescent="0.25">
      <c r="E52" s="95"/>
      <c r="F52" s="95"/>
      <c r="G52" s="95"/>
    </row>
    <row r="53" spans="5:7" x14ac:dyDescent="0.25">
      <c r="E53" s="95"/>
      <c r="F53" s="95"/>
      <c r="G53" s="95"/>
    </row>
    <row r="54" spans="5:7" x14ac:dyDescent="0.25">
      <c r="E54" s="95"/>
      <c r="F54" s="95"/>
      <c r="G54" s="95"/>
    </row>
    <row r="55" spans="5:7" x14ac:dyDescent="0.25">
      <c r="E55" s="95"/>
      <c r="F55" s="95"/>
      <c r="G55" s="95"/>
    </row>
    <row r="56" spans="5:7" x14ac:dyDescent="0.25">
      <c r="E56" s="95"/>
      <c r="F56" s="95"/>
      <c r="G56" s="95"/>
    </row>
    <row r="57" spans="5:7" x14ac:dyDescent="0.25">
      <c r="E57" s="95"/>
      <c r="F57" s="95"/>
      <c r="G57" s="95"/>
    </row>
    <row r="58" spans="5:7" x14ac:dyDescent="0.25">
      <c r="E58" s="95"/>
      <c r="F58" s="95"/>
      <c r="G58" s="95"/>
    </row>
    <row r="59" spans="5:7" x14ac:dyDescent="0.25">
      <c r="E59" s="95"/>
      <c r="F59" s="95"/>
      <c r="G59" s="95"/>
    </row>
    <row r="60" spans="5:7" x14ac:dyDescent="0.25">
      <c r="E60" s="95"/>
      <c r="F60" s="95"/>
      <c r="G60" s="95"/>
    </row>
    <row r="61" spans="5:7" x14ac:dyDescent="0.25">
      <c r="E61" s="95"/>
      <c r="F61" s="95"/>
      <c r="G61" s="95"/>
    </row>
    <row r="62" spans="5:7" x14ac:dyDescent="0.25">
      <c r="E62" s="95"/>
      <c r="F62" s="95"/>
      <c r="G62" s="95"/>
    </row>
    <row r="63" spans="5:7" x14ac:dyDescent="0.25">
      <c r="E63" s="95"/>
      <c r="F63" s="95"/>
      <c r="G63" s="95"/>
    </row>
  </sheetData>
  <mergeCells count="7">
    <mergeCell ref="D20:G20"/>
    <mergeCell ref="I20:N20"/>
    <mergeCell ref="A1:A2"/>
    <mergeCell ref="D1:G1"/>
    <mergeCell ref="I1:N1"/>
    <mergeCell ref="D11:G11"/>
    <mergeCell ref="I11:N11"/>
  </mergeCells>
  <pageMargins left="0.7" right="0.7" top="0.75" bottom="0.75" header="0.3" footer="0.3"/>
  <pageSetup scale="38" orientation="landscape" r:id="rId1"/>
  <headerFooter>
    <oddHeader>&amp;R2025 NWS Application
GrandBridge Energy Inc. 
EB-2025-0265
Filed: 2025-12-01
Attachment 2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D9124-F1DE-4DEE-8507-DA611ED9723A}">
  <sheetPr>
    <tabColor rgb="FF4C8C7E"/>
  </sheetPr>
  <dimension ref="A2:A31"/>
  <sheetViews>
    <sheetView topLeftCell="A11" workbookViewId="0">
      <selection activeCell="C23" sqref="C23"/>
    </sheetView>
  </sheetViews>
  <sheetFormatPr defaultColWidth="8.7109375" defaultRowHeight="15" x14ac:dyDescent="0.25"/>
  <cols>
    <col min="1" max="1" width="57" style="1" bestFit="1" customWidth="1"/>
    <col min="2" max="16384" width="8.7109375" style="1"/>
  </cols>
  <sheetData>
    <row r="2" spans="1:1" x14ac:dyDescent="0.25">
      <c r="A2" s="4" t="s">
        <v>134</v>
      </c>
    </row>
    <row r="3" spans="1:1" x14ac:dyDescent="0.25">
      <c r="A3" s="2" t="s">
        <v>135</v>
      </c>
    </row>
    <row r="4" spans="1:1" x14ac:dyDescent="0.25">
      <c r="A4" s="2" t="s">
        <v>33</v>
      </c>
    </row>
    <row r="5" spans="1:1" x14ac:dyDescent="0.25">
      <c r="A5" s="2" t="s">
        <v>136</v>
      </c>
    </row>
    <row r="6" spans="1:1" x14ac:dyDescent="0.25">
      <c r="A6" s="2" t="s">
        <v>137</v>
      </c>
    </row>
    <row r="7" spans="1:1" x14ac:dyDescent="0.25">
      <c r="A7" s="2" t="s">
        <v>138</v>
      </c>
    </row>
    <row r="8" spans="1:1" x14ac:dyDescent="0.25">
      <c r="A8" s="3" t="s">
        <v>139</v>
      </c>
    </row>
    <row r="10" spans="1:1" x14ac:dyDescent="0.25">
      <c r="A10" s="4" t="s">
        <v>140</v>
      </c>
    </row>
    <row r="11" spans="1:1" x14ac:dyDescent="0.25">
      <c r="A11" s="5" t="s">
        <v>42</v>
      </c>
    </row>
    <row r="12" spans="1:1" x14ac:dyDescent="0.25">
      <c r="A12" s="2" t="s">
        <v>141</v>
      </c>
    </row>
    <row r="13" spans="1:1" x14ac:dyDescent="0.25">
      <c r="A13" s="2" t="s">
        <v>142</v>
      </c>
    </row>
    <row r="14" spans="1:1" x14ac:dyDescent="0.25">
      <c r="A14" s="3" t="s">
        <v>143</v>
      </c>
    </row>
    <row r="16" spans="1:1" x14ac:dyDescent="0.25">
      <c r="A16" s="4" t="s">
        <v>144</v>
      </c>
    </row>
    <row r="17" spans="1:1" x14ac:dyDescent="0.25">
      <c r="A17" s="2" t="s">
        <v>27</v>
      </c>
    </row>
    <row r="18" spans="1:1" x14ac:dyDescent="0.25">
      <c r="A18" s="2" t="s">
        <v>145</v>
      </c>
    </row>
    <row r="19" spans="1:1" x14ac:dyDescent="0.25">
      <c r="A19" s="2" t="s">
        <v>146</v>
      </c>
    </row>
    <row r="20" spans="1:1" x14ac:dyDescent="0.25">
      <c r="A20" s="2" t="s">
        <v>147</v>
      </c>
    </row>
    <row r="21" spans="1:1" x14ac:dyDescent="0.25">
      <c r="A21" s="2" t="s">
        <v>33</v>
      </c>
    </row>
    <row r="22" spans="1:1" x14ac:dyDescent="0.25">
      <c r="A22" s="2" t="s">
        <v>136</v>
      </c>
    </row>
    <row r="23" spans="1:1" x14ac:dyDescent="0.25">
      <c r="A23" s="2" t="s">
        <v>139</v>
      </c>
    </row>
    <row r="24" spans="1:1" x14ac:dyDescent="0.25">
      <c r="A24" s="3" t="s">
        <v>148</v>
      </c>
    </row>
    <row r="26" spans="1:1" x14ac:dyDescent="0.25">
      <c r="A26" s="4" t="s">
        <v>149</v>
      </c>
    </row>
    <row r="27" spans="1:1" x14ac:dyDescent="0.25">
      <c r="A27" s="5" t="s">
        <v>38</v>
      </c>
    </row>
    <row r="28" spans="1:1" x14ac:dyDescent="0.25">
      <c r="A28" s="2" t="s">
        <v>42</v>
      </c>
    </row>
    <row r="29" spans="1:1" x14ac:dyDescent="0.25">
      <c r="A29" s="2" t="s">
        <v>150</v>
      </c>
    </row>
    <row r="30" spans="1:1" x14ac:dyDescent="0.25">
      <c r="A30" s="2" t="s">
        <v>151</v>
      </c>
    </row>
    <row r="31" spans="1:1" x14ac:dyDescent="0.25">
      <c r="A31" s="3" t="s">
        <v>152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3ecd054-57b2-4cdb-b98d-05e161bed7b7">
      <Terms xmlns="http://schemas.microsoft.com/office/infopath/2007/PartnerControls"/>
    </lcf76f155ced4ddcb4097134ff3c332f>
    <TaxCatchAll xmlns="98c008fb-6a5a-46e4-92c1-cb22293176e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0F6D32BE4AF14390342A8E5B81BAA3" ma:contentTypeVersion="10" ma:contentTypeDescription="Create a new document." ma:contentTypeScope="" ma:versionID="7921d376bd7a97c29c8a261d4c32cffc">
  <xsd:schema xmlns:xsd="http://www.w3.org/2001/XMLSchema" xmlns:xs="http://www.w3.org/2001/XMLSchema" xmlns:p="http://schemas.microsoft.com/office/2006/metadata/properties" xmlns:ns2="23ecd054-57b2-4cdb-b98d-05e161bed7b7" xmlns:ns3="98c008fb-6a5a-46e4-92c1-cb22293176e5" targetNamespace="http://schemas.microsoft.com/office/2006/metadata/properties" ma:root="true" ma:fieldsID="bebd8ad59263a1f89e6414e6fd7c5aea" ns2:_="" ns3:_="">
    <xsd:import namespace="23ecd054-57b2-4cdb-b98d-05e161bed7b7"/>
    <xsd:import namespace="98c008fb-6a5a-46e4-92c1-cb22293176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ecd054-57b2-4cdb-b98d-05e161bed7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25b30678-c39d-4978-b88d-bf256d84e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c008fb-6a5a-46e4-92c1-cb22293176e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4b1ca453-554f-4eed-803f-ff9c109843c5}" ma:internalName="TaxCatchAll" ma:showField="CatchAllData" ma:web="98c008fb-6a5a-46e4-92c1-cb22293176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FC43E3-EED3-4F8B-8888-B97C097AAB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26A9AB-301D-40FE-9521-EA259E63BE08}">
  <ds:schemaRefs>
    <ds:schemaRef ds:uri="http://schemas.microsoft.com/office/2006/documentManagement/types"/>
    <ds:schemaRef ds:uri="98c008fb-6a5a-46e4-92c1-cb22293176e5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www.w3.org/XML/1998/namespace"/>
    <ds:schemaRef ds:uri="23ecd054-57b2-4cdb-b98d-05e161bed7b7"/>
    <ds:schemaRef ds:uri="http://schemas.microsoft.com/office/2006/metadata/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EE716C5-60E0-40E3-9E50-8D108ECF8A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ecd054-57b2-4cdb-b98d-05e161bed7b7"/>
    <ds:schemaRef ds:uri="98c008fb-6a5a-46e4-92c1-cb22293176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02 Annual Values</vt:lpstr>
      <vt:lpstr>Summary</vt:lpstr>
      <vt:lpstr>NWS</vt:lpstr>
      <vt:lpstr>Benefit 1 - Unplanned Outages</vt:lpstr>
      <vt:lpstr>Benefit 2 - Planned Outages</vt:lpstr>
      <vt:lpstr>Benefit 3 - Transmission Charge</vt:lpstr>
      <vt:lpstr>99 LookUps</vt:lpstr>
      <vt:lpstr>NWS!Print_Area</vt:lpstr>
      <vt:lpstr>Summary!Print_Area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Peter Steele-Mosey</dc:creator>
  <cp:keywords/>
  <dc:description/>
  <cp:lastModifiedBy>Angelica Urrego</cp:lastModifiedBy>
  <cp:revision/>
  <cp:lastPrinted>2025-12-01T19:22:19Z</cp:lastPrinted>
  <dcterms:created xsi:type="dcterms:W3CDTF">2015-06-05T18:17:20Z</dcterms:created>
  <dcterms:modified xsi:type="dcterms:W3CDTF">2025-12-01T19:22:46Z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0x010100DE0F6D32BE4AF14390342A8E5B81BAA3</vt:lpwstr>
  </property>
  <property fmtid="{D5CDD505-2E9C-101B-9397-08002B2CF9AE}" pid="3" name="MediaServiceImageTags">
    <vt:lpwstr/>
  </property>
</Properties>
</file>