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12. Jessy Serrao\Cases\2025\EB-2025-0054 Algoma\"/>
    </mc:Choice>
  </mc:AlternateContent>
  <xr:revisionPtr revIDLastSave="0" documentId="8_{C97476F0-56D7-4192-AC0D-4CF86FA8EFDE}" xr6:coauthVersionLast="47" xr6:coauthVersionMax="47" xr10:uidLastSave="{00000000-0000-0000-0000-000000000000}"/>
  <bookViews>
    <workbookView xWindow="-120" yWindow="-120" windowWidth="29040" windowHeight="15720" firstSheet="1" activeTab="5" xr2:uid="{A68F02E8-39F4-4788-A73F-856409F289DE}"/>
  </bookViews>
  <sheets>
    <sheet name="Cover Sheet" sheetId="2" r:id="rId1"/>
    <sheet name="Rate Summary" sheetId="3" r:id="rId2"/>
    <sheet name="2025 Revenue Reqt Update -CoC" sheetId="19" r:id="rId3"/>
    <sheet name="2025 Cost All'n &amp; DVA Disp" sheetId="17" r:id="rId4"/>
    <sheet name="2025 COS Eq Rates and Revenue" sheetId="6" r:id="rId5"/>
    <sheet name="RRRP Rate Design" sheetId="10" r:id="rId6"/>
    <sheet name="Equiv Rates" sheetId="18" r:id="rId7"/>
    <sheet name="IRM Adjustment Factor" sheetId="4" r:id="rId8"/>
    <sheet name="Indexed Revenue" sheetId="7" r:id="rId9"/>
    <sheet name="Non-RRRP Rate Design" sheetId="13" r:id="rId10"/>
    <sheet name="Seasonal Decoupling" sheetId="16" r:id="rId11"/>
  </sheets>
  <definedNames>
    <definedName name="____xlnm.Print_Area" localSheetId="10">#REF!</definedName>
    <definedName name="____xlnm.Print_Area">#REF!</definedName>
    <definedName name="____xlnm.Print_Area_1" localSheetId="10">#REF!</definedName>
    <definedName name="____xlnm.Print_Area_1">#REF!</definedName>
    <definedName name="___INDEX_SHEET___ASAP_Utilities" localSheetId="10">#REF!</definedName>
    <definedName name="___INDEX_SHEET___ASAP_Utilities">#REF!</definedName>
    <definedName name="___xlnm.Print_Area" localSheetId="10">#REF!</definedName>
    <definedName name="___xlnm.Print_Area">#REF!</definedName>
    <definedName name="___xlnm.Print_Area_1" localSheetId="10">#REF!</definedName>
    <definedName name="___xlnm.Print_Area_1">#REF!</definedName>
    <definedName name="___xlnm.Print_Area_10" localSheetId="10">#REF!</definedName>
    <definedName name="___xlnm.Print_Area_10">#REF!</definedName>
    <definedName name="___xlnm.Print_Area_11" localSheetId="10">#REF!</definedName>
    <definedName name="___xlnm.Print_Area_11">#REF!</definedName>
    <definedName name="___xlnm.Print_Area_12" localSheetId="10">#REF!</definedName>
    <definedName name="___xlnm.Print_Area_12">#REF!</definedName>
    <definedName name="___xlnm.Print_Area_13" localSheetId="10">#REF!</definedName>
    <definedName name="___xlnm.Print_Area_13">#REF!</definedName>
    <definedName name="___xlnm.Print_Area_14" localSheetId="10">#REF!</definedName>
    <definedName name="___xlnm.Print_Area_14">#REF!</definedName>
    <definedName name="___xlnm.Print_Area_15" localSheetId="10">#REF!</definedName>
    <definedName name="___xlnm.Print_Area_15">#REF!</definedName>
    <definedName name="___xlnm.Print_Area_16" localSheetId="10">#REF!</definedName>
    <definedName name="___xlnm.Print_Area_16">#REF!</definedName>
    <definedName name="___xlnm.Print_Area_17" localSheetId="10">#REF!</definedName>
    <definedName name="___xlnm.Print_Area_17">#REF!</definedName>
    <definedName name="___xlnm.Print_Area_18" localSheetId="10">#REF!</definedName>
    <definedName name="___xlnm.Print_Area_18">#REF!</definedName>
    <definedName name="___xlnm.Print_Area_19" localSheetId="10">#REF!</definedName>
    <definedName name="___xlnm.Print_Area_19">#REF!</definedName>
    <definedName name="___xlnm.Print_Area_2" localSheetId="10">#REF!</definedName>
    <definedName name="___xlnm.Print_Area_2">#REF!</definedName>
    <definedName name="___xlnm.Print_Area_20" localSheetId="10">#REF!</definedName>
    <definedName name="___xlnm.Print_Area_20">#REF!</definedName>
    <definedName name="___xlnm.Print_Area_21" localSheetId="10">#REF!</definedName>
    <definedName name="___xlnm.Print_Area_21">#REF!</definedName>
    <definedName name="___xlnm.Print_Area_22" localSheetId="10">#REF!</definedName>
    <definedName name="___xlnm.Print_Area_22">#REF!</definedName>
    <definedName name="___xlnm.Print_Area_23" localSheetId="10">#REF!</definedName>
    <definedName name="___xlnm.Print_Area_23">#REF!</definedName>
    <definedName name="___xlnm.Print_Area_24" localSheetId="10">#REF!</definedName>
    <definedName name="___xlnm.Print_Area_24">#REF!</definedName>
    <definedName name="___xlnm.Print_Area_25" localSheetId="10">#REF!</definedName>
    <definedName name="___xlnm.Print_Area_25">#REF!</definedName>
    <definedName name="___xlnm.Print_Area_26" localSheetId="10">#REF!</definedName>
    <definedName name="___xlnm.Print_Area_26">#REF!</definedName>
    <definedName name="___xlnm.Print_Area_27" localSheetId="10">#REF!</definedName>
    <definedName name="___xlnm.Print_Area_27">#REF!</definedName>
    <definedName name="___xlnm.Print_Area_28" localSheetId="10">#REF!</definedName>
    <definedName name="___xlnm.Print_Area_28">#REF!</definedName>
    <definedName name="___xlnm.Print_Area_29" localSheetId="10">#REF!</definedName>
    <definedName name="___xlnm.Print_Area_29">#REF!</definedName>
    <definedName name="___xlnm.Print_Area_3" localSheetId="10">#REF!</definedName>
    <definedName name="___xlnm.Print_Area_3">#REF!</definedName>
    <definedName name="___xlnm.Print_Area_30" localSheetId="10">#REF!</definedName>
    <definedName name="___xlnm.Print_Area_30">#REF!</definedName>
    <definedName name="___xlnm.Print_Area_31" localSheetId="10">#REF!</definedName>
    <definedName name="___xlnm.Print_Area_31">#REF!</definedName>
    <definedName name="___xlnm.Print_Area_32" localSheetId="10">#REF!</definedName>
    <definedName name="___xlnm.Print_Area_32">#REF!</definedName>
    <definedName name="___xlnm.Print_Area_33" localSheetId="10">#REF!</definedName>
    <definedName name="___xlnm.Print_Area_33">#REF!</definedName>
    <definedName name="___xlnm.Print_Area_34" localSheetId="10">#REF!</definedName>
    <definedName name="___xlnm.Print_Area_34">#REF!</definedName>
    <definedName name="___xlnm.Print_Area_35" localSheetId="10">#REF!</definedName>
    <definedName name="___xlnm.Print_Area_35">#REF!</definedName>
    <definedName name="___xlnm.Print_Area_36" localSheetId="10">#REF!</definedName>
    <definedName name="___xlnm.Print_Area_36">#REF!</definedName>
    <definedName name="___xlnm.Print_Area_37" localSheetId="10">#REF!</definedName>
    <definedName name="___xlnm.Print_Area_37">#REF!</definedName>
    <definedName name="___xlnm.Print_Area_38" localSheetId="10">#REF!</definedName>
    <definedName name="___xlnm.Print_Area_38">#REF!</definedName>
    <definedName name="___xlnm.Print_Area_39" localSheetId="10">#REF!</definedName>
    <definedName name="___xlnm.Print_Area_39">#REF!</definedName>
    <definedName name="___xlnm.Print_Area_4" localSheetId="10">#REF!</definedName>
    <definedName name="___xlnm.Print_Area_4">#REF!</definedName>
    <definedName name="___xlnm.Print_Area_40" localSheetId="10">#REF!</definedName>
    <definedName name="___xlnm.Print_Area_40">#REF!</definedName>
    <definedName name="___xlnm.Print_Area_41" localSheetId="10">#REF!</definedName>
    <definedName name="___xlnm.Print_Area_41">#REF!</definedName>
    <definedName name="___xlnm.Print_Area_42" localSheetId="10">#REF!</definedName>
    <definedName name="___xlnm.Print_Area_42">#REF!</definedName>
    <definedName name="___xlnm.Print_Area_43" localSheetId="10">#REF!</definedName>
    <definedName name="___xlnm.Print_Area_43">#REF!</definedName>
    <definedName name="___xlnm.Print_Area_44" localSheetId="10">#REF!</definedName>
    <definedName name="___xlnm.Print_Area_44">#REF!</definedName>
    <definedName name="___xlnm.Print_Area_45" localSheetId="10">#REF!</definedName>
    <definedName name="___xlnm.Print_Area_45">#REF!</definedName>
    <definedName name="___xlnm.Print_Area_46" localSheetId="10">#REF!</definedName>
    <definedName name="___xlnm.Print_Area_46">#REF!</definedName>
    <definedName name="___xlnm.Print_Area_47" localSheetId="10">#REF!</definedName>
    <definedName name="___xlnm.Print_Area_47">#REF!</definedName>
    <definedName name="___xlnm.Print_Area_48" localSheetId="10">#REF!</definedName>
    <definedName name="___xlnm.Print_Area_48">#REF!</definedName>
    <definedName name="___xlnm.Print_Area_49" localSheetId="10">#REF!</definedName>
    <definedName name="___xlnm.Print_Area_49">#REF!</definedName>
    <definedName name="___xlnm.Print_Area_5" localSheetId="10">#REF!</definedName>
    <definedName name="___xlnm.Print_Area_5">#REF!</definedName>
    <definedName name="___xlnm.Print_Area_6" localSheetId="10">#REF!</definedName>
    <definedName name="___xlnm.Print_Area_6">#REF!</definedName>
    <definedName name="___xlnm.Print_Area_7" localSheetId="10">#REF!</definedName>
    <definedName name="___xlnm.Print_Area_7">#REF!</definedName>
    <definedName name="___xlnm.Print_Area_8" localSheetId="10">#REF!</definedName>
    <definedName name="___xlnm.Print_Area_8">#REF!</definedName>
    <definedName name="___xlnm.Print_Area_9" localSheetId="10">#REF!</definedName>
    <definedName name="___xlnm.Print_Area_9">#REF!</definedName>
    <definedName name="__xlnm._FilterDatabase" localSheetId="10">#REF!</definedName>
    <definedName name="__xlnm._FilterDatabase">#REF!</definedName>
    <definedName name="__xlnm._FilterDatabase_1" localSheetId="10">#REF!</definedName>
    <definedName name="__xlnm._FilterDatabase_1">#REF!</definedName>
    <definedName name="__xlnm.Extract">"#N/A"</definedName>
    <definedName name="__xlnm.Print_Area" localSheetId="10">#REF!</definedName>
    <definedName name="__xlnm.Print_Area">#REF!</definedName>
    <definedName name="__xlnm.Print_Area_1">#N/A</definedName>
    <definedName name="__xlnm.Print_Area_1_1">#N/A</definedName>
    <definedName name="__xlnm.Print_Area_1_2">#N/A</definedName>
    <definedName name="__xlnm.Print_Area_1_3">#N/A</definedName>
    <definedName name="__xlnm.Print_Area_1_4">#N/A</definedName>
    <definedName name="__xlnm.Print_Area_1_5">#N/A</definedName>
    <definedName name="__xlnm.Print_Area_10" localSheetId="10">#REF!</definedName>
    <definedName name="__xlnm.Print_Area_10">#REF!</definedName>
    <definedName name="__xlnm.Print_Area_11" localSheetId="10">#REF!</definedName>
    <definedName name="__xlnm.Print_Area_11">#REF!</definedName>
    <definedName name="__xlnm.Print_Area_12" localSheetId="10">#REF!</definedName>
    <definedName name="__xlnm.Print_Area_12">#REF!</definedName>
    <definedName name="__xlnm.Print_Area_13" localSheetId="10">#REF!</definedName>
    <definedName name="__xlnm.Print_Area_13">#REF!</definedName>
    <definedName name="__xlnm.Print_Area_14" localSheetId="10">#REF!</definedName>
    <definedName name="__xlnm.Print_Area_14">#REF!</definedName>
    <definedName name="__xlnm.Print_Area_15" localSheetId="10">#REF!</definedName>
    <definedName name="__xlnm.Print_Area_15">#REF!</definedName>
    <definedName name="__xlnm.Print_Area_16" localSheetId="10">#REF!</definedName>
    <definedName name="__xlnm.Print_Area_16">#REF!</definedName>
    <definedName name="__xlnm.Print_Area_17" localSheetId="10">#REF!</definedName>
    <definedName name="__xlnm.Print_Area_17">#REF!</definedName>
    <definedName name="__xlnm.Print_Area_18" localSheetId="10">#REF!</definedName>
    <definedName name="__xlnm.Print_Area_18">#REF!</definedName>
    <definedName name="__xlnm.Print_Area_19" localSheetId="10">#REF!</definedName>
    <definedName name="__xlnm.Print_Area_19">#REF!</definedName>
    <definedName name="__xlnm.Print_Area_2" localSheetId="10">#REF!</definedName>
    <definedName name="__xlnm.Print_Area_2">#REF!</definedName>
    <definedName name="__xlnm.Print_Area_2_1" localSheetId="10">#REF!</definedName>
    <definedName name="__xlnm.Print_Area_2_1">#REF!</definedName>
    <definedName name="__xlnm.Print_Area_2_2" localSheetId="10">#REF!</definedName>
    <definedName name="__xlnm.Print_Area_2_2">#REF!</definedName>
    <definedName name="__xlnm.Print_Area_2_3" localSheetId="10">#REF!</definedName>
    <definedName name="__xlnm.Print_Area_2_3">#REF!</definedName>
    <definedName name="__xlnm.Print_Area_2_4" localSheetId="10">#REF!</definedName>
    <definedName name="__xlnm.Print_Area_2_4">#REF!</definedName>
    <definedName name="__xlnm.Print_Area_2_5" localSheetId="10">#REF!</definedName>
    <definedName name="__xlnm.Print_Area_2_5">#REF!</definedName>
    <definedName name="__xlnm.Print_Area_2_6" localSheetId="10">#REF!</definedName>
    <definedName name="__xlnm.Print_Area_2_6">#REF!</definedName>
    <definedName name="__xlnm.Print_Area_20" localSheetId="10">#REF!</definedName>
    <definedName name="__xlnm.Print_Area_20">#REF!</definedName>
    <definedName name="__xlnm.Print_Area_21" localSheetId="10">#REF!</definedName>
    <definedName name="__xlnm.Print_Area_21">#REF!</definedName>
    <definedName name="__xlnm.Print_Area_21_1" localSheetId="10">#REF!</definedName>
    <definedName name="__xlnm.Print_Area_21_1">#REF!</definedName>
    <definedName name="__xlnm.Print_Area_21_2" localSheetId="10">#REF!</definedName>
    <definedName name="__xlnm.Print_Area_21_2">#REF!</definedName>
    <definedName name="__xlnm.Print_Area_21_3" localSheetId="10">#REF!</definedName>
    <definedName name="__xlnm.Print_Area_21_3">#REF!</definedName>
    <definedName name="__xlnm.Print_Area_22" localSheetId="10">#REF!</definedName>
    <definedName name="__xlnm.Print_Area_22">#REF!</definedName>
    <definedName name="__xlnm.Print_Area_23" localSheetId="10">#REF!</definedName>
    <definedName name="__xlnm.Print_Area_23">#REF!</definedName>
    <definedName name="__xlnm.Print_Area_24" localSheetId="10">#REF!</definedName>
    <definedName name="__xlnm.Print_Area_24">#REF!</definedName>
    <definedName name="__xlnm.Print_Area_24_1" localSheetId="10">#REF!</definedName>
    <definedName name="__xlnm.Print_Area_24_1">#REF!</definedName>
    <definedName name="__xlnm.Print_Area_24_2" localSheetId="10">#REF!</definedName>
    <definedName name="__xlnm.Print_Area_24_2">#REF!</definedName>
    <definedName name="__xlnm.Print_Area_25" localSheetId="10">#REF!</definedName>
    <definedName name="__xlnm.Print_Area_25">#REF!</definedName>
    <definedName name="__xlnm.Print_Area_26" localSheetId="10">#REF!</definedName>
    <definedName name="__xlnm.Print_Area_26">#REF!</definedName>
    <definedName name="__xlnm.Print_Area_27" localSheetId="10">#REF!</definedName>
    <definedName name="__xlnm.Print_Area_27">#REF!</definedName>
    <definedName name="__xlnm.Print_Area_28" localSheetId="10">#REF!</definedName>
    <definedName name="__xlnm.Print_Area_28">#REF!</definedName>
    <definedName name="__xlnm.Print_Area_29" localSheetId="10">#REF!</definedName>
    <definedName name="__xlnm.Print_Area_29">#REF!</definedName>
    <definedName name="__xlnm.Print_Area_3" localSheetId="10">#REF!</definedName>
    <definedName name="__xlnm.Print_Area_3">#REF!</definedName>
    <definedName name="__xlnm.Print_Area_30" localSheetId="10">#REF!</definedName>
    <definedName name="__xlnm.Print_Area_30">#REF!</definedName>
    <definedName name="__xlnm.Print_Area_31" localSheetId="10">#REF!</definedName>
    <definedName name="__xlnm.Print_Area_31">#REF!</definedName>
    <definedName name="__xlnm.Print_Area_32" localSheetId="10">#REF!</definedName>
    <definedName name="__xlnm.Print_Area_32">#REF!</definedName>
    <definedName name="__xlnm.Print_Area_33" localSheetId="10">#REF!</definedName>
    <definedName name="__xlnm.Print_Area_33">#REF!</definedName>
    <definedName name="__xlnm.Print_Area_34" localSheetId="10">#REF!</definedName>
    <definedName name="__xlnm.Print_Area_34">#REF!</definedName>
    <definedName name="__xlnm.Print_Area_35" localSheetId="10">#REF!</definedName>
    <definedName name="__xlnm.Print_Area_35">#REF!</definedName>
    <definedName name="__xlnm.Print_Area_36" localSheetId="10">#REF!</definedName>
    <definedName name="__xlnm.Print_Area_36">#REF!</definedName>
    <definedName name="__xlnm.Print_Area_37" localSheetId="10">#REF!</definedName>
    <definedName name="__xlnm.Print_Area_37">#REF!</definedName>
    <definedName name="__xlnm.Print_Area_38" localSheetId="10">#REF!</definedName>
    <definedName name="__xlnm.Print_Area_38">#REF!</definedName>
    <definedName name="__xlnm.Print_Area_39" localSheetId="10">#REF!</definedName>
    <definedName name="__xlnm.Print_Area_39">#REF!</definedName>
    <definedName name="__xlnm.Print_Area_4" localSheetId="10">#REF!</definedName>
    <definedName name="__xlnm.Print_Area_4">#REF!</definedName>
    <definedName name="__xlnm.Print_Area_41" localSheetId="10">#REF!</definedName>
    <definedName name="__xlnm.Print_Area_41">#REF!</definedName>
    <definedName name="__xlnm.Print_Area_42" localSheetId="10">#REF!</definedName>
    <definedName name="__xlnm.Print_Area_42">#REF!</definedName>
    <definedName name="__xlnm.Print_Area_43" localSheetId="10">#REF!</definedName>
    <definedName name="__xlnm.Print_Area_43">#REF!</definedName>
    <definedName name="__xlnm.Print_Area_44" localSheetId="10">#REF!</definedName>
    <definedName name="__xlnm.Print_Area_44">#REF!</definedName>
    <definedName name="__xlnm.Print_Area_45" localSheetId="10">#REF!</definedName>
    <definedName name="__xlnm.Print_Area_45">#REF!</definedName>
    <definedName name="__xlnm.Print_Area_46" localSheetId="10">#REF!</definedName>
    <definedName name="__xlnm.Print_Area_46">#REF!</definedName>
    <definedName name="__xlnm.Print_Area_46_1" localSheetId="10">#REF!</definedName>
    <definedName name="__xlnm.Print_Area_46_1">#REF!</definedName>
    <definedName name="__xlnm.Print_Area_46_2" localSheetId="10">#REF!</definedName>
    <definedName name="__xlnm.Print_Area_46_2">#REF!</definedName>
    <definedName name="__xlnm.Print_Area_46_3" localSheetId="10">#REF!</definedName>
    <definedName name="__xlnm.Print_Area_46_3">#REF!</definedName>
    <definedName name="__xlnm.Print_Area_46_4" localSheetId="10">#REF!</definedName>
    <definedName name="__xlnm.Print_Area_46_4">#REF!</definedName>
    <definedName name="__xlnm.Print_Area_46_5" localSheetId="10">#REF!</definedName>
    <definedName name="__xlnm.Print_Area_46_5">#REF!</definedName>
    <definedName name="__xlnm.Print_Area_46_6" localSheetId="10">#REF!</definedName>
    <definedName name="__xlnm.Print_Area_46_6">#REF!</definedName>
    <definedName name="__xlnm.Print_Area_46_7" localSheetId="10">#REF!</definedName>
    <definedName name="__xlnm.Print_Area_46_7">#REF!</definedName>
    <definedName name="__xlnm.Print_Area_46_8" localSheetId="10">#REF!</definedName>
    <definedName name="__xlnm.Print_Area_46_8">#REF!</definedName>
    <definedName name="__xlnm.Print_Area_46_9" localSheetId="10">#REF!</definedName>
    <definedName name="__xlnm.Print_Area_46_9">#REF!</definedName>
    <definedName name="__xlnm.Print_Area_47">"#REF!"</definedName>
    <definedName name="__xlnm.Print_Area_49" localSheetId="10">#REF!</definedName>
    <definedName name="__xlnm.Print_Area_49">#REF!</definedName>
    <definedName name="__xlnm.Print_Area_5" localSheetId="10">#REF!</definedName>
    <definedName name="__xlnm.Print_Area_5">#REF!</definedName>
    <definedName name="__xlnm.Print_Area_51" localSheetId="10">#REF!</definedName>
    <definedName name="__xlnm.Print_Area_51">#REF!</definedName>
    <definedName name="__xlnm.Print_Area_52" localSheetId="10">#REF!</definedName>
    <definedName name="__xlnm.Print_Area_52">#REF!</definedName>
    <definedName name="__xlnm.Print_Area_53" localSheetId="10">#REF!</definedName>
    <definedName name="__xlnm.Print_Area_53">#REF!</definedName>
    <definedName name="__xlnm.Print_Area_54" localSheetId="10">#REF!</definedName>
    <definedName name="__xlnm.Print_Area_54">#REF!</definedName>
    <definedName name="__xlnm.Print_Area_55" localSheetId="10">#REF!</definedName>
    <definedName name="__xlnm.Print_Area_55">#REF!</definedName>
    <definedName name="__xlnm.Print_Area_56" localSheetId="10">#REF!</definedName>
    <definedName name="__xlnm.Print_Area_56">#REF!</definedName>
    <definedName name="__xlnm.Print_Area_57" localSheetId="10">#REF!</definedName>
    <definedName name="__xlnm.Print_Area_57">#REF!</definedName>
    <definedName name="__xlnm.Print_Area_58" localSheetId="10">#REF!</definedName>
    <definedName name="__xlnm.Print_Area_58">#REF!</definedName>
    <definedName name="__xlnm.Print_Area_59" localSheetId="10">#REF!</definedName>
    <definedName name="__xlnm.Print_Area_59">#REF!</definedName>
    <definedName name="__xlnm.Print_Area_6" localSheetId="10">#REF!</definedName>
    <definedName name="__xlnm.Print_Area_6">#REF!</definedName>
    <definedName name="__xlnm.Print_Area_60" localSheetId="10">#REF!</definedName>
    <definedName name="__xlnm.Print_Area_60">#REF!</definedName>
    <definedName name="__xlnm.Print_Area_61" localSheetId="10">#REF!</definedName>
    <definedName name="__xlnm.Print_Area_61">#REF!</definedName>
    <definedName name="__xlnm.Print_Area_62" localSheetId="10">#REF!</definedName>
    <definedName name="__xlnm.Print_Area_62">#REF!</definedName>
    <definedName name="__xlnm.Print_Area_63" localSheetId="10">#REF!</definedName>
    <definedName name="__xlnm.Print_Area_63">#REF!</definedName>
    <definedName name="__xlnm.Print_Area_64" localSheetId="10">#REF!</definedName>
    <definedName name="__xlnm.Print_Area_64">#REF!</definedName>
    <definedName name="__xlnm.Print_Area_65" localSheetId="10">#REF!</definedName>
    <definedName name="__xlnm.Print_Area_65">#REF!</definedName>
    <definedName name="__xlnm.Print_Area_66" localSheetId="10">#REF!</definedName>
    <definedName name="__xlnm.Print_Area_66">#REF!</definedName>
    <definedName name="__xlnm.Print_Area_67" localSheetId="10">#REF!</definedName>
    <definedName name="__xlnm.Print_Area_67">#REF!</definedName>
    <definedName name="__xlnm.Print_Area_68" localSheetId="10">#REF!</definedName>
    <definedName name="__xlnm.Print_Area_68">#REF!</definedName>
    <definedName name="__xlnm.Print_Area_69" localSheetId="10">#REF!</definedName>
    <definedName name="__xlnm.Print_Area_69">#REF!</definedName>
    <definedName name="__xlnm.Print_Area_7" localSheetId="10">#REF!</definedName>
    <definedName name="__xlnm.Print_Area_7">#REF!</definedName>
    <definedName name="__xlnm.Print_Area_71" localSheetId="10">#REF!</definedName>
    <definedName name="__xlnm.Print_Area_71">#REF!</definedName>
    <definedName name="__xlnm.Print_Area_72" localSheetId="10">#REF!</definedName>
    <definedName name="__xlnm.Print_Area_72">#REF!</definedName>
    <definedName name="__xlnm.Print_Area_73" localSheetId="10">#REF!</definedName>
    <definedName name="__xlnm.Print_Area_73">#REF!</definedName>
    <definedName name="__xlnm.Print_Area_74" localSheetId="10">#REF!</definedName>
    <definedName name="__xlnm.Print_Area_74">#REF!</definedName>
    <definedName name="__xlnm.Print_Area_76" localSheetId="10">#REF!</definedName>
    <definedName name="__xlnm.Print_Area_76">#REF!</definedName>
    <definedName name="__xlnm.Print_Area_77">#N/A</definedName>
    <definedName name="__xlnm.Print_Area_78" localSheetId="10">#REF!</definedName>
    <definedName name="__xlnm.Print_Area_78">#REF!</definedName>
    <definedName name="__xlnm.Print_Area_79" localSheetId="10">#REF!</definedName>
    <definedName name="__xlnm.Print_Area_79">#REF!</definedName>
    <definedName name="__xlnm.Print_Area_8" localSheetId="10">#REF!</definedName>
    <definedName name="__xlnm.Print_Area_8">#REF!</definedName>
    <definedName name="__xlnm.Print_Area_80" localSheetId="10">#REF!</definedName>
    <definedName name="__xlnm.Print_Area_80">#REF!</definedName>
    <definedName name="__xlnm.Print_Area_81" localSheetId="10">#REF!</definedName>
    <definedName name="__xlnm.Print_Area_81">#REF!</definedName>
    <definedName name="__xlnm.Print_Area_9" localSheetId="10">#REF!</definedName>
    <definedName name="__xlnm.Print_Area_9">#REF!</definedName>
    <definedName name="__xlnm.Print_Titles" localSheetId="10">#REF!</definedName>
    <definedName name="__xlnm.Print_Titles">#REF!</definedName>
    <definedName name="__xlnm.Print_Titles_1" localSheetId="10">#REF!</definedName>
    <definedName name="__xlnm.Print_Titles_1">#REF!</definedName>
    <definedName name="__xlnm.Print_Titles_2" localSheetId="10">#REF!</definedName>
    <definedName name="__xlnm.Print_Titles_2">#REF!</definedName>
    <definedName name="_ftn1">"#N/A"</definedName>
    <definedName name="_ftnref1">"#N/A"</definedName>
    <definedName name="_Parse_Out" localSheetId="10" hidden="1">#REF!</definedName>
    <definedName name="_Parse_Out" hidden="1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contactf" localSheetId="10">#REF!</definedName>
    <definedName name="contactf">#REF!</definedName>
    <definedName name="CRLF">#REF!</definedName>
    <definedName name="CustomerAdministration">#REF!</definedName>
    <definedName name="EBCaseNumber">"#N/A"</definedName>
    <definedName name="EBNUMBER">#REF!</definedName>
    <definedName name="Fixed_Charges">#REF!</definedName>
    <definedName name="histdate">#REF!</definedName>
    <definedName name="holidays">#N/A</definedName>
    <definedName name="Incr2000" localSheetId="10">#REF!</definedName>
    <definedName name="Incr2000">#REF!</definedName>
    <definedName name="Index_Sheet_Kutools" localSheetId="10">#REF!</definedName>
    <definedName name="Index_Sheet_Kutools">#REF!</definedName>
    <definedName name="infra">"#REF!"</definedName>
    <definedName name="IRMWG">"#N/A"</definedName>
    <definedName name="IRMWG_1">"#N/A"</definedName>
    <definedName name="Last_Rebasing_Year">#REF!</definedName>
    <definedName name="LDC_LIST">#REF!</definedName>
    <definedName name="LDC_LIST_1" localSheetId="10">#REF!</definedName>
    <definedName name="LDC_LIST_1">#REF!</definedName>
    <definedName name="LDC_LIST_2">#REF!</definedName>
    <definedName name="LDCLIST">"#REF!"</definedName>
    <definedName name="LDCLIST_1">"#REF!"</definedName>
    <definedName name="LDCLIST_10">"#N/A"</definedName>
    <definedName name="LDCLIST_2">"#REF!"</definedName>
    <definedName name="LDCLIST_3">"#REF!"</definedName>
    <definedName name="LDCLIST_4">"#REF!"</definedName>
    <definedName name="LDCLIST_5">"#REF!"</definedName>
    <definedName name="LDCLIST_6">"#N/A"</definedName>
    <definedName name="LDCLIST_7">"#REF!"</definedName>
    <definedName name="LDCLIST_8">"#REF!"</definedName>
    <definedName name="LDCLIST_9">"#REF!"</definedName>
    <definedName name="LDCNAMES">#REF!</definedName>
    <definedName name="LIMIT" localSheetId="10">#REF!</definedName>
    <definedName name="LIMIT">#REF!</definedName>
    <definedName name="LossFactors">#REF!</definedName>
    <definedName name="man_beg_bud" localSheetId="10">#REF!</definedName>
    <definedName name="man_beg_bud">#REF!</definedName>
    <definedName name="man_end_bud" localSheetId="10">#REF!</definedName>
    <definedName name="man_end_bud">#REF!</definedName>
    <definedName name="man12ACT" localSheetId="10">#REF!</definedName>
    <definedName name="man12ACT">#REF!</definedName>
    <definedName name="MANBUD" localSheetId="10">#REF!</definedName>
    <definedName name="MANBUD">#REF!</definedName>
    <definedName name="manCYACT" localSheetId="10">#REF!</definedName>
    <definedName name="manCYACT">#REF!</definedName>
    <definedName name="manCYBUD" localSheetId="10">#REF!</definedName>
    <definedName name="manCYBUD">#REF!</definedName>
    <definedName name="manCYF" localSheetId="10">#REF!</definedName>
    <definedName name="manCYF">#REF!</definedName>
    <definedName name="MANEND" localSheetId="10">#REF!</definedName>
    <definedName name="MANEND">#REF!</definedName>
    <definedName name="manNYbud" localSheetId="10">#REF!</definedName>
    <definedName name="manNYbud">#REF!</definedName>
    <definedName name="manpower_costs" localSheetId="10">#REF!</definedName>
    <definedName name="manpower_costs">#REF!</definedName>
    <definedName name="manPYACT" localSheetId="10">#REF!</definedName>
    <definedName name="manPYACT">#REF!</definedName>
    <definedName name="MANSTART" localSheetId="10">#REF!</definedName>
    <definedName name="MANSTART">#REF!</definedName>
    <definedName name="mat_beg_bud" localSheetId="10">#REF!</definedName>
    <definedName name="mat_beg_bud">#REF!</definedName>
    <definedName name="mat_end_bud" localSheetId="10">#REF!</definedName>
    <definedName name="mat_end_bud">#REF!</definedName>
    <definedName name="mat12ACT" localSheetId="10">#REF!</definedName>
    <definedName name="mat12ACT">#REF!</definedName>
    <definedName name="MATBUD" localSheetId="10">#REF!</definedName>
    <definedName name="MATBUD">#REF!</definedName>
    <definedName name="matCYACT" localSheetId="10">#REF!</definedName>
    <definedName name="matCYACT">#REF!</definedName>
    <definedName name="matCYBUD" localSheetId="10">#REF!</definedName>
    <definedName name="matCYBUD">#REF!</definedName>
    <definedName name="matCYF" localSheetId="10">#REF!</definedName>
    <definedName name="matCYF">#REF!</definedName>
    <definedName name="MATEND" localSheetId="10">#REF!</definedName>
    <definedName name="MATEND">#REF!</definedName>
    <definedName name="material_costs" localSheetId="10">#REF!</definedName>
    <definedName name="material_costs">#REF!</definedName>
    <definedName name="matNYbud" localSheetId="10">#REF!</definedName>
    <definedName name="matNYbud">#REF!</definedName>
    <definedName name="matPYACT" localSheetId="10">#REF!</definedName>
    <definedName name="matPYACT">#REF!</definedName>
    <definedName name="MATSTART" localSheetId="10">#REF!</definedName>
    <definedName name="MATSTART">#REF!</definedName>
    <definedName name="NonPayment">#REF!</definedName>
    <definedName name="OLE_LINK1">"#REF!"</definedName>
    <definedName name="OLE_LINK7">"#REF!"</definedName>
    <definedName name="oth_beg_bud" localSheetId="10">#REF!</definedName>
    <definedName name="oth_beg_bud">#REF!</definedName>
    <definedName name="oth_end_bud" localSheetId="10">#REF!</definedName>
    <definedName name="oth_end_bud">#REF!</definedName>
    <definedName name="oth12ACT" localSheetId="10">#REF!</definedName>
    <definedName name="oth12ACT">#REF!</definedName>
    <definedName name="othCYACT" localSheetId="10">#REF!</definedName>
    <definedName name="othCYACT">#REF!</definedName>
    <definedName name="othCYBUD" localSheetId="10">#REF!</definedName>
    <definedName name="othCYBUD">#REF!</definedName>
    <definedName name="othCYF" localSheetId="10">#REF!</definedName>
    <definedName name="othCYF">#REF!</definedName>
    <definedName name="OTHEND" localSheetId="10">#REF!</definedName>
    <definedName name="OTHEND">#REF!</definedName>
    <definedName name="other_costs" localSheetId="10">#REF!</definedName>
    <definedName name="other_costs">#REF!</definedName>
    <definedName name="OTHERBUD" localSheetId="10">#REF!</definedName>
    <definedName name="OTHERBUD">#REF!</definedName>
    <definedName name="othNYbud" localSheetId="10">#REF!</definedName>
    <definedName name="othNYbud">#REF!</definedName>
    <definedName name="othPYACT" localSheetId="10">#REF!</definedName>
    <definedName name="othPYACT">#REF!</definedName>
    <definedName name="OTHSTART" localSheetId="10">#REF!</definedName>
    <definedName name="OTHSTART">#REF!</definedName>
    <definedName name="_xlnm.Print_Area" localSheetId="4">'2025 COS Eq Rates and Revenue'!$A$1:$U$34</definedName>
    <definedName name="_xlnm.Print_Area" localSheetId="0">'Cover Sheet'!$B$1:$I$34</definedName>
    <definedName name="print_end" localSheetId="10">#REF!</definedName>
    <definedName name="print_end">#REF!</definedName>
    <definedName name="Rate_Class">#REF!</definedName>
    <definedName name="RATE_CLASSES">#REF!</definedName>
    <definedName name="ratedescription">#REF!</definedName>
    <definedName name="RebaseYear">#REF!</definedName>
    <definedName name="RebaseYear_1">#REF!</definedName>
    <definedName name="RMpilsVer">#REF!</definedName>
    <definedName name="RMversion">#REF!</definedName>
    <definedName name="SALBENF" localSheetId="10">#REF!</definedName>
    <definedName name="SALBENF">#REF!</definedName>
    <definedName name="salreg" localSheetId="10">#REF!</definedName>
    <definedName name="salreg">#REF!</definedName>
    <definedName name="SALREGF" localSheetId="10">#REF!</definedName>
    <definedName name="SALREGF">#REF!</definedName>
    <definedName name="sdfvgsdfsf" localSheetId="10">#REF!</definedName>
    <definedName name="sdfvgsdfsf">#REF!</definedName>
    <definedName name="Start_12" localSheetId="10">#REF!</definedName>
    <definedName name="Start_12">#REF!</definedName>
    <definedName name="Start_5" localSheetId="10">#REF!</definedName>
    <definedName name="Start_5">#REF!</definedName>
    <definedName name="TEMPA" localSheetId="10">#REF!</definedName>
    <definedName name="TEMPA">#REF!</definedName>
    <definedName name="Test_Year">#REF!</definedName>
    <definedName name="TestYear">#REF!</definedName>
    <definedName name="TestYr">#REF!</definedName>
    <definedName name="total_dept" localSheetId="10">#REF!</definedName>
    <definedName name="total_dept">#REF!</definedName>
    <definedName name="total_manpower" localSheetId="10">#REF!</definedName>
    <definedName name="total_manpower">#REF!</definedName>
    <definedName name="total_material" localSheetId="10">#REF!</definedName>
    <definedName name="total_material">#REF!</definedName>
    <definedName name="total_other" localSheetId="10">#REF!</definedName>
    <definedName name="total_other">#REF!</definedName>
    <definedName name="total_transportation" localSheetId="10">#REF!</definedName>
    <definedName name="total_transportation">#REF!</definedName>
    <definedName name="TRANBUD" localSheetId="10">#REF!</definedName>
    <definedName name="TRANBUD">#REF!</definedName>
    <definedName name="TRANEND" localSheetId="10">#REF!</definedName>
    <definedName name="TRANEND">#REF!</definedName>
    <definedName name="transportation_costs" localSheetId="10">#REF!</definedName>
    <definedName name="transportation_costs">#REF!</definedName>
    <definedName name="TRANSTART" localSheetId="10">#REF!</definedName>
    <definedName name="TRANSTART">#REF!</definedName>
    <definedName name="trn_beg_bud" localSheetId="10">#REF!</definedName>
    <definedName name="trn_beg_bud">#REF!</definedName>
    <definedName name="trn_end_bud" localSheetId="10">#REF!</definedName>
    <definedName name="trn_end_bud">#REF!</definedName>
    <definedName name="trn12ACT" localSheetId="10">#REF!</definedName>
    <definedName name="trn12ACT">#REF!</definedName>
    <definedName name="trnCYACT" localSheetId="10">#REF!</definedName>
    <definedName name="trnCYACT">#REF!</definedName>
    <definedName name="trnCYBUD" localSheetId="10">#REF!</definedName>
    <definedName name="trnCYBUD">#REF!</definedName>
    <definedName name="trnCYF" localSheetId="10">#REF!</definedName>
    <definedName name="trnCYF">#REF!</definedName>
    <definedName name="trnNYbud" localSheetId="10">#REF!</definedName>
    <definedName name="trnNYbud">#REF!</definedName>
    <definedName name="trnPYACT" localSheetId="10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 localSheetId="10">#REF!</definedName>
    <definedName name="WAGBENF">#REF!</definedName>
    <definedName name="wagdob" localSheetId="10">#REF!</definedName>
    <definedName name="wagdob">#REF!</definedName>
    <definedName name="wagdobf" localSheetId="10">#REF!</definedName>
    <definedName name="wagdobf">#REF!</definedName>
    <definedName name="wagreg" localSheetId="10">#REF!</definedName>
    <definedName name="wagreg">#REF!</definedName>
    <definedName name="wagregf" localSheetId="10">#REF!</definedName>
    <definedName name="wagregf">#REF!</definedName>
    <definedName name="Z_258F368B_AF27_44ED_A772_A0C4A2AFB945_.wvu.Cols" localSheetId="10">#REF!</definedName>
    <definedName name="Z_258F368B_AF27_44ED_A772_A0C4A2AFB945_.wvu.Cols">#REF!</definedName>
    <definedName name="Z_258F368B_AF27_44ED_A772_A0C4A2AFB945_.wvu.Cols_1" localSheetId="10">#REF!</definedName>
    <definedName name="Z_258F368B_AF27_44ED_A772_A0C4A2AFB945_.wvu.Cols_1">#REF!</definedName>
    <definedName name="Z_258F368B_AF27_44ED_A772_A0C4A2AFB945_.wvu.Cols_2">#N/A</definedName>
    <definedName name="Z_258F368B_AF27_44ED_A772_A0C4A2AFB945_.wvu.FilterData" localSheetId="10">#REF!</definedName>
    <definedName name="Z_258F368B_AF27_44ED_A772_A0C4A2AFB945_.wvu.FilterData">#REF!</definedName>
    <definedName name="Z_258F368B_AF27_44ED_A772_A0C4A2AFB945_.wvu.PrintArea" localSheetId="10">#REF!</definedName>
    <definedName name="Z_258F368B_AF27_44ED_A772_A0C4A2AFB945_.wvu.PrintArea">#REF!</definedName>
    <definedName name="Z_258F368B_AF27_44ED_A772_A0C4A2AFB945_.wvu.PrintArea_1">#N/A</definedName>
    <definedName name="Z_258F368B_AF27_44ED_A772_A0C4A2AFB945_.wvu.PrintArea_1_1">#N/A</definedName>
    <definedName name="Z_258F368B_AF27_44ED_A772_A0C4A2AFB945_.wvu.PrintArea_1_2">#N/A</definedName>
    <definedName name="Z_258F368B_AF27_44ED_A772_A0C4A2AFB945_.wvu.PrintArea_1_3">#N/A</definedName>
    <definedName name="Z_258F368B_AF27_44ED_A772_A0C4A2AFB945_.wvu.PrintArea_1_4">#N/A</definedName>
    <definedName name="Z_258F368B_AF27_44ED_A772_A0C4A2AFB945_.wvu.PrintArea_1_5">#N/A</definedName>
    <definedName name="Z_258F368B_AF27_44ED_A772_A0C4A2AFB945_.wvu.PrintArea_10" localSheetId="10">#REF!</definedName>
    <definedName name="Z_258F368B_AF27_44ED_A772_A0C4A2AFB945_.wvu.PrintArea_10">#REF!</definedName>
    <definedName name="Z_258F368B_AF27_44ED_A772_A0C4A2AFB945_.wvu.PrintArea_11" localSheetId="10">#REF!</definedName>
    <definedName name="Z_258F368B_AF27_44ED_A772_A0C4A2AFB945_.wvu.PrintArea_11">#REF!</definedName>
    <definedName name="Z_258F368B_AF27_44ED_A772_A0C4A2AFB945_.wvu.PrintArea_12" localSheetId="10">#REF!</definedName>
    <definedName name="Z_258F368B_AF27_44ED_A772_A0C4A2AFB945_.wvu.PrintArea_12">#REF!</definedName>
    <definedName name="Z_258F368B_AF27_44ED_A772_A0C4A2AFB945_.wvu.PrintArea_13" localSheetId="10">#REF!</definedName>
    <definedName name="Z_258F368B_AF27_44ED_A772_A0C4A2AFB945_.wvu.PrintArea_13">#REF!</definedName>
    <definedName name="Z_258F368B_AF27_44ED_A772_A0C4A2AFB945_.wvu.PrintArea_14" localSheetId="10">#REF!</definedName>
    <definedName name="Z_258F368B_AF27_44ED_A772_A0C4A2AFB945_.wvu.PrintArea_14">#REF!</definedName>
    <definedName name="Z_258F368B_AF27_44ED_A772_A0C4A2AFB945_.wvu.PrintArea_15" localSheetId="10">#REF!</definedName>
    <definedName name="Z_258F368B_AF27_44ED_A772_A0C4A2AFB945_.wvu.PrintArea_15">#REF!</definedName>
    <definedName name="Z_258F368B_AF27_44ED_A772_A0C4A2AFB945_.wvu.PrintArea_16" localSheetId="10">#REF!</definedName>
    <definedName name="Z_258F368B_AF27_44ED_A772_A0C4A2AFB945_.wvu.PrintArea_16">#REF!</definedName>
    <definedName name="Z_258F368B_AF27_44ED_A772_A0C4A2AFB945_.wvu.PrintArea_17" localSheetId="10">#REF!</definedName>
    <definedName name="Z_258F368B_AF27_44ED_A772_A0C4A2AFB945_.wvu.PrintArea_17">#REF!</definedName>
    <definedName name="Z_258F368B_AF27_44ED_A772_A0C4A2AFB945_.wvu.PrintArea_18" localSheetId="10">#REF!</definedName>
    <definedName name="Z_258F368B_AF27_44ED_A772_A0C4A2AFB945_.wvu.PrintArea_18">#REF!</definedName>
    <definedName name="Z_258F368B_AF27_44ED_A772_A0C4A2AFB945_.wvu.PrintArea_19" localSheetId="10">#REF!</definedName>
    <definedName name="Z_258F368B_AF27_44ED_A772_A0C4A2AFB945_.wvu.PrintArea_19">#REF!</definedName>
    <definedName name="Z_258F368B_AF27_44ED_A772_A0C4A2AFB945_.wvu.PrintArea_2" localSheetId="10">#REF!</definedName>
    <definedName name="Z_258F368B_AF27_44ED_A772_A0C4A2AFB945_.wvu.PrintArea_2">#REF!</definedName>
    <definedName name="Z_258F368B_AF27_44ED_A772_A0C4A2AFB945_.wvu.PrintArea_2_1" localSheetId="10">#REF!</definedName>
    <definedName name="Z_258F368B_AF27_44ED_A772_A0C4A2AFB945_.wvu.PrintArea_2_1">#REF!</definedName>
    <definedName name="Z_258F368B_AF27_44ED_A772_A0C4A2AFB945_.wvu.PrintArea_2_2" localSheetId="10">#REF!</definedName>
    <definedName name="Z_258F368B_AF27_44ED_A772_A0C4A2AFB945_.wvu.PrintArea_2_2">#REF!</definedName>
    <definedName name="Z_258F368B_AF27_44ED_A772_A0C4A2AFB945_.wvu.PrintArea_2_3" localSheetId="10">#REF!</definedName>
    <definedName name="Z_258F368B_AF27_44ED_A772_A0C4A2AFB945_.wvu.PrintArea_2_3">#REF!</definedName>
    <definedName name="Z_258F368B_AF27_44ED_A772_A0C4A2AFB945_.wvu.PrintArea_2_4" localSheetId="10">#REF!</definedName>
    <definedName name="Z_258F368B_AF27_44ED_A772_A0C4A2AFB945_.wvu.PrintArea_2_4">#REF!</definedName>
    <definedName name="Z_258F368B_AF27_44ED_A772_A0C4A2AFB945_.wvu.PrintArea_2_5" localSheetId="10">#REF!</definedName>
    <definedName name="Z_258F368B_AF27_44ED_A772_A0C4A2AFB945_.wvu.PrintArea_2_5">#REF!</definedName>
    <definedName name="Z_258F368B_AF27_44ED_A772_A0C4A2AFB945_.wvu.PrintArea_2_6" localSheetId="10">#REF!</definedName>
    <definedName name="Z_258F368B_AF27_44ED_A772_A0C4A2AFB945_.wvu.PrintArea_2_6">#REF!</definedName>
    <definedName name="Z_258F368B_AF27_44ED_A772_A0C4A2AFB945_.wvu.PrintArea_20" localSheetId="10">#REF!</definedName>
    <definedName name="Z_258F368B_AF27_44ED_A772_A0C4A2AFB945_.wvu.PrintArea_20">#REF!</definedName>
    <definedName name="Z_258F368B_AF27_44ED_A772_A0C4A2AFB945_.wvu.PrintArea_21" localSheetId="10">#REF!</definedName>
    <definedName name="Z_258F368B_AF27_44ED_A772_A0C4A2AFB945_.wvu.PrintArea_21">#REF!</definedName>
    <definedName name="Z_258F368B_AF27_44ED_A772_A0C4A2AFB945_.wvu.PrintArea_21_1" localSheetId="10">#REF!</definedName>
    <definedName name="Z_258F368B_AF27_44ED_A772_A0C4A2AFB945_.wvu.PrintArea_21_1">#REF!</definedName>
    <definedName name="Z_258F368B_AF27_44ED_A772_A0C4A2AFB945_.wvu.PrintArea_21_2" localSheetId="10">#REF!</definedName>
    <definedName name="Z_258F368B_AF27_44ED_A772_A0C4A2AFB945_.wvu.PrintArea_21_2">#REF!</definedName>
    <definedName name="Z_258F368B_AF27_44ED_A772_A0C4A2AFB945_.wvu.PrintArea_21_3" localSheetId="10">#REF!</definedName>
    <definedName name="Z_258F368B_AF27_44ED_A772_A0C4A2AFB945_.wvu.PrintArea_21_3">#REF!</definedName>
    <definedName name="Z_258F368B_AF27_44ED_A772_A0C4A2AFB945_.wvu.PrintArea_22" localSheetId="10">#REF!</definedName>
    <definedName name="Z_258F368B_AF27_44ED_A772_A0C4A2AFB945_.wvu.PrintArea_22">#REF!</definedName>
    <definedName name="Z_258F368B_AF27_44ED_A772_A0C4A2AFB945_.wvu.PrintArea_23" localSheetId="10">#REF!</definedName>
    <definedName name="Z_258F368B_AF27_44ED_A772_A0C4A2AFB945_.wvu.PrintArea_23">#REF!</definedName>
    <definedName name="Z_258F368B_AF27_44ED_A772_A0C4A2AFB945_.wvu.PrintArea_24" localSheetId="10">#REF!</definedName>
    <definedName name="Z_258F368B_AF27_44ED_A772_A0C4A2AFB945_.wvu.PrintArea_24">#REF!</definedName>
    <definedName name="Z_258F368B_AF27_44ED_A772_A0C4A2AFB945_.wvu.PrintArea_24_1" localSheetId="10">#REF!</definedName>
    <definedName name="Z_258F368B_AF27_44ED_A772_A0C4A2AFB945_.wvu.PrintArea_24_1">#REF!</definedName>
    <definedName name="Z_258F368B_AF27_44ED_A772_A0C4A2AFB945_.wvu.PrintArea_24_2" localSheetId="10">#REF!</definedName>
    <definedName name="Z_258F368B_AF27_44ED_A772_A0C4A2AFB945_.wvu.PrintArea_24_2">#REF!</definedName>
    <definedName name="Z_258F368B_AF27_44ED_A772_A0C4A2AFB945_.wvu.PrintArea_25" localSheetId="10">#REF!</definedName>
    <definedName name="Z_258F368B_AF27_44ED_A772_A0C4A2AFB945_.wvu.PrintArea_25">#REF!</definedName>
    <definedName name="Z_258F368B_AF27_44ED_A772_A0C4A2AFB945_.wvu.PrintArea_26" localSheetId="10">#REF!</definedName>
    <definedName name="Z_258F368B_AF27_44ED_A772_A0C4A2AFB945_.wvu.PrintArea_26">#REF!</definedName>
    <definedName name="Z_258F368B_AF27_44ED_A772_A0C4A2AFB945_.wvu.PrintArea_27" localSheetId="10">#REF!</definedName>
    <definedName name="Z_258F368B_AF27_44ED_A772_A0C4A2AFB945_.wvu.PrintArea_27">#REF!</definedName>
    <definedName name="Z_258F368B_AF27_44ED_A772_A0C4A2AFB945_.wvu.PrintArea_28" localSheetId="10">#REF!</definedName>
    <definedName name="Z_258F368B_AF27_44ED_A772_A0C4A2AFB945_.wvu.PrintArea_28">#REF!</definedName>
    <definedName name="Z_258F368B_AF27_44ED_A772_A0C4A2AFB945_.wvu.PrintArea_29" localSheetId="10">#REF!</definedName>
    <definedName name="Z_258F368B_AF27_44ED_A772_A0C4A2AFB945_.wvu.PrintArea_29">#REF!</definedName>
    <definedName name="Z_258F368B_AF27_44ED_A772_A0C4A2AFB945_.wvu.PrintArea_3" localSheetId="10">#REF!</definedName>
    <definedName name="Z_258F368B_AF27_44ED_A772_A0C4A2AFB945_.wvu.PrintArea_3">#REF!</definedName>
    <definedName name="Z_258F368B_AF27_44ED_A772_A0C4A2AFB945_.wvu.PrintArea_30" localSheetId="10">#REF!</definedName>
    <definedName name="Z_258F368B_AF27_44ED_A772_A0C4A2AFB945_.wvu.PrintArea_30">#REF!</definedName>
    <definedName name="Z_258F368B_AF27_44ED_A772_A0C4A2AFB945_.wvu.PrintArea_31" localSheetId="10">#REF!</definedName>
    <definedName name="Z_258F368B_AF27_44ED_A772_A0C4A2AFB945_.wvu.PrintArea_31">#REF!</definedName>
    <definedName name="Z_258F368B_AF27_44ED_A772_A0C4A2AFB945_.wvu.PrintArea_32" localSheetId="10">#REF!</definedName>
    <definedName name="Z_258F368B_AF27_44ED_A772_A0C4A2AFB945_.wvu.PrintArea_32">#REF!</definedName>
    <definedName name="Z_258F368B_AF27_44ED_A772_A0C4A2AFB945_.wvu.PrintArea_33" localSheetId="10">#REF!</definedName>
    <definedName name="Z_258F368B_AF27_44ED_A772_A0C4A2AFB945_.wvu.PrintArea_33">#REF!</definedName>
    <definedName name="Z_258F368B_AF27_44ED_A772_A0C4A2AFB945_.wvu.PrintArea_34" localSheetId="10">#REF!</definedName>
    <definedName name="Z_258F368B_AF27_44ED_A772_A0C4A2AFB945_.wvu.PrintArea_34">#REF!</definedName>
    <definedName name="Z_258F368B_AF27_44ED_A772_A0C4A2AFB945_.wvu.PrintArea_35" localSheetId="10">#REF!</definedName>
    <definedName name="Z_258F368B_AF27_44ED_A772_A0C4A2AFB945_.wvu.PrintArea_35">#REF!</definedName>
    <definedName name="Z_258F368B_AF27_44ED_A772_A0C4A2AFB945_.wvu.PrintArea_36" localSheetId="10">#REF!</definedName>
    <definedName name="Z_258F368B_AF27_44ED_A772_A0C4A2AFB945_.wvu.PrintArea_36">#REF!</definedName>
    <definedName name="Z_258F368B_AF27_44ED_A772_A0C4A2AFB945_.wvu.PrintArea_37" localSheetId="10">#REF!</definedName>
    <definedName name="Z_258F368B_AF27_44ED_A772_A0C4A2AFB945_.wvu.PrintArea_37">#REF!</definedName>
    <definedName name="Z_258F368B_AF27_44ED_A772_A0C4A2AFB945_.wvu.PrintArea_38" localSheetId="10">#REF!</definedName>
    <definedName name="Z_258F368B_AF27_44ED_A772_A0C4A2AFB945_.wvu.PrintArea_38">#REF!</definedName>
    <definedName name="Z_258F368B_AF27_44ED_A772_A0C4A2AFB945_.wvu.PrintArea_39" localSheetId="10">#REF!</definedName>
    <definedName name="Z_258F368B_AF27_44ED_A772_A0C4A2AFB945_.wvu.PrintArea_39">#REF!</definedName>
    <definedName name="Z_258F368B_AF27_44ED_A772_A0C4A2AFB945_.wvu.PrintArea_4" localSheetId="10">#REF!</definedName>
    <definedName name="Z_258F368B_AF27_44ED_A772_A0C4A2AFB945_.wvu.PrintArea_4">#REF!</definedName>
    <definedName name="Z_258F368B_AF27_44ED_A772_A0C4A2AFB945_.wvu.PrintArea_41" localSheetId="10">#REF!</definedName>
    <definedName name="Z_258F368B_AF27_44ED_A772_A0C4A2AFB945_.wvu.PrintArea_41">#REF!</definedName>
    <definedName name="Z_258F368B_AF27_44ED_A772_A0C4A2AFB945_.wvu.PrintArea_42" localSheetId="10">#REF!</definedName>
    <definedName name="Z_258F368B_AF27_44ED_A772_A0C4A2AFB945_.wvu.PrintArea_42">#REF!</definedName>
    <definedName name="Z_258F368B_AF27_44ED_A772_A0C4A2AFB945_.wvu.PrintArea_43" localSheetId="10">#REF!</definedName>
    <definedName name="Z_258F368B_AF27_44ED_A772_A0C4A2AFB945_.wvu.PrintArea_43">#REF!</definedName>
    <definedName name="Z_258F368B_AF27_44ED_A772_A0C4A2AFB945_.wvu.PrintArea_44" localSheetId="10">#REF!</definedName>
    <definedName name="Z_258F368B_AF27_44ED_A772_A0C4A2AFB945_.wvu.PrintArea_44">#REF!</definedName>
    <definedName name="Z_258F368B_AF27_44ED_A772_A0C4A2AFB945_.wvu.PrintArea_45" localSheetId="10">#REF!</definedName>
    <definedName name="Z_258F368B_AF27_44ED_A772_A0C4A2AFB945_.wvu.PrintArea_45">#REF!</definedName>
    <definedName name="Z_258F368B_AF27_44ED_A772_A0C4A2AFB945_.wvu.PrintArea_46" localSheetId="10">#REF!</definedName>
    <definedName name="Z_258F368B_AF27_44ED_A772_A0C4A2AFB945_.wvu.PrintArea_46">#REF!</definedName>
    <definedName name="Z_258F368B_AF27_44ED_A772_A0C4A2AFB945_.wvu.PrintArea_46_1" localSheetId="10">#REF!</definedName>
    <definedName name="Z_258F368B_AF27_44ED_A772_A0C4A2AFB945_.wvu.PrintArea_46_1">#REF!</definedName>
    <definedName name="Z_258F368B_AF27_44ED_A772_A0C4A2AFB945_.wvu.PrintArea_46_2" localSheetId="10">#REF!</definedName>
    <definedName name="Z_258F368B_AF27_44ED_A772_A0C4A2AFB945_.wvu.PrintArea_46_2">#REF!</definedName>
    <definedName name="Z_258F368B_AF27_44ED_A772_A0C4A2AFB945_.wvu.PrintArea_46_3" localSheetId="10">#REF!</definedName>
    <definedName name="Z_258F368B_AF27_44ED_A772_A0C4A2AFB945_.wvu.PrintArea_46_3">#REF!</definedName>
    <definedName name="Z_258F368B_AF27_44ED_A772_A0C4A2AFB945_.wvu.PrintArea_46_4" localSheetId="10">#REF!</definedName>
    <definedName name="Z_258F368B_AF27_44ED_A772_A0C4A2AFB945_.wvu.PrintArea_46_4">#REF!</definedName>
    <definedName name="Z_258F368B_AF27_44ED_A772_A0C4A2AFB945_.wvu.PrintArea_46_5" localSheetId="10">#REF!</definedName>
    <definedName name="Z_258F368B_AF27_44ED_A772_A0C4A2AFB945_.wvu.PrintArea_46_5">#REF!</definedName>
    <definedName name="Z_258F368B_AF27_44ED_A772_A0C4A2AFB945_.wvu.PrintArea_46_6" localSheetId="10">#REF!</definedName>
    <definedName name="Z_258F368B_AF27_44ED_A772_A0C4A2AFB945_.wvu.PrintArea_46_6">#REF!</definedName>
    <definedName name="Z_258F368B_AF27_44ED_A772_A0C4A2AFB945_.wvu.PrintArea_46_7" localSheetId="10">#REF!</definedName>
    <definedName name="Z_258F368B_AF27_44ED_A772_A0C4A2AFB945_.wvu.PrintArea_46_7">#REF!</definedName>
    <definedName name="Z_258F368B_AF27_44ED_A772_A0C4A2AFB945_.wvu.PrintArea_46_8" localSheetId="10">#REF!</definedName>
    <definedName name="Z_258F368B_AF27_44ED_A772_A0C4A2AFB945_.wvu.PrintArea_46_8">#REF!</definedName>
    <definedName name="Z_258F368B_AF27_44ED_A772_A0C4A2AFB945_.wvu.PrintArea_46_9" localSheetId="10">#REF!</definedName>
    <definedName name="Z_258F368B_AF27_44ED_A772_A0C4A2AFB945_.wvu.PrintArea_46_9">#REF!</definedName>
    <definedName name="Z_258F368B_AF27_44ED_A772_A0C4A2AFB945_.wvu.PrintArea_47">"#REF!"</definedName>
    <definedName name="Z_258F368B_AF27_44ED_A772_A0C4A2AFB945_.wvu.PrintArea_49" localSheetId="10">#REF!</definedName>
    <definedName name="Z_258F368B_AF27_44ED_A772_A0C4A2AFB945_.wvu.PrintArea_49">#REF!</definedName>
    <definedName name="Z_258F368B_AF27_44ED_A772_A0C4A2AFB945_.wvu.PrintArea_5" localSheetId="10">#REF!</definedName>
    <definedName name="Z_258F368B_AF27_44ED_A772_A0C4A2AFB945_.wvu.PrintArea_5">#REF!</definedName>
    <definedName name="Z_258F368B_AF27_44ED_A772_A0C4A2AFB945_.wvu.PrintArea_6" localSheetId="10">#REF!</definedName>
    <definedName name="Z_258F368B_AF27_44ED_A772_A0C4A2AFB945_.wvu.PrintArea_6">#REF!</definedName>
    <definedName name="Z_258F368B_AF27_44ED_A772_A0C4A2AFB945_.wvu.PrintArea_7" localSheetId="10">#REF!</definedName>
    <definedName name="Z_258F368B_AF27_44ED_A772_A0C4A2AFB945_.wvu.PrintArea_7">#REF!</definedName>
    <definedName name="Z_258F368B_AF27_44ED_A772_A0C4A2AFB945_.wvu.PrintArea_8" localSheetId="10">#REF!</definedName>
    <definedName name="Z_258F368B_AF27_44ED_A772_A0C4A2AFB945_.wvu.PrintArea_8">#REF!</definedName>
    <definedName name="Z_258F368B_AF27_44ED_A772_A0C4A2AFB945_.wvu.PrintArea_9" localSheetId="10">#REF!</definedName>
    <definedName name="Z_258F368B_AF27_44ED_A772_A0C4A2AFB945_.wvu.PrintArea_9">#REF!</definedName>
    <definedName name="Z_258F368B_AF27_44ED_A772_A0C4A2AFB945_.wvu.Rows" localSheetId="10">#REF!</definedName>
    <definedName name="Z_258F368B_AF27_44ED_A772_A0C4A2AFB945_.wvu.R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7" l="1"/>
  <c r="H8" i="7"/>
  <c r="H7" i="7"/>
  <c r="H6" i="7"/>
  <c r="H5" i="7"/>
  <c r="N67" i="19"/>
  <c r="N66" i="19"/>
  <c r="N65" i="19"/>
  <c r="J17" i="17" l="1"/>
  <c r="C30" i="17"/>
  <c r="C31" i="17" s="1"/>
  <c r="N31" i="6" l="1"/>
  <c r="M26" i="6"/>
  <c r="M29" i="6" s="1"/>
  <c r="D29" i="6"/>
  <c r="E6" i="7"/>
  <c r="E7" i="7"/>
  <c r="E8" i="7"/>
  <c r="E5" i="7"/>
  <c r="E18" i="7"/>
  <c r="E17" i="7"/>
  <c r="E19" i="7" s="1"/>
  <c r="E16" i="7"/>
  <c r="F18" i="18"/>
  <c r="M7" i="18"/>
  <c r="M16" i="18" s="1"/>
  <c r="G7" i="18"/>
  <c r="H7" i="18"/>
  <c r="G8" i="18"/>
  <c r="H8" i="18"/>
  <c r="G9" i="18"/>
  <c r="H9" i="18"/>
  <c r="H6" i="18"/>
  <c r="G6" i="18"/>
  <c r="D7" i="18"/>
  <c r="D16" i="18" s="1"/>
  <c r="E7" i="18"/>
  <c r="E16" i="18" s="1"/>
  <c r="F7" i="18"/>
  <c r="F16" i="18" s="1"/>
  <c r="D8" i="18"/>
  <c r="D17" i="18" s="1"/>
  <c r="E8" i="18"/>
  <c r="E17" i="18" s="1"/>
  <c r="F8" i="18"/>
  <c r="F17" i="18" s="1"/>
  <c r="D9" i="18"/>
  <c r="D18" i="18" s="1"/>
  <c r="E9" i="18"/>
  <c r="E18" i="18" s="1"/>
  <c r="F9" i="18"/>
  <c r="E6" i="18"/>
  <c r="E15" i="18" s="1"/>
  <c r="F6" i="18"/>
  <c r="F15" i="18" s="1"/>
  <c r="D6" i="18"/>
  <c r="D15" i="18" s="1"/>
  <c r="I8" i="6"/>
  <c r="I7" i="6"/>
  <c r="D9" i="6"/>
  <c r="I6" i="6"/>
  <c r="I5" i="6"/>
  <c r="H9" i="17"/>
  <c r="J9" i="17" s="1"/>
  <c r="H8" i="17"/>
  <c r="J8" i="17" s="1"/>
  <c r="H7" i="17"/>
  <c r="H6" i="17"/>
  <c r="I7" i="17"/>
  <c r="I8" i="17"/>
  <c r="I9" i="17"/>
  <c r="I6" i="17"/>
  <c r="I5" i="19"/>
  <c r="I4" i="19"/>
  <c r="N51" i="19"/>
  <c r="N52" i="19"/>
  <c r="N53" i="19"/>
  <c r="N56" i="19"/>
  <c r="N59" i="19"/>
  <c r="N61" i="19"/>
  <c r="N62" i="19"/>
  <c r="N50" i="19"/>
  <c r="N14" i="19"/>
  <c r="N15" i="19"/>
  <c r="N19" i="19"/>
  <c r="L17" i="19"/>
  <c r="L16" i="19"/>
  <c r="L28" i="19" s="1"/>
  <c r="L32" i="19" s="1"/>
  <c r="L36" i="19" s="1"/>
  <c r="L12" i="19"/>
  <c r="L11" i="19"/>
  <c r="F17" i="19"/>
  <c r="F16" i="19"/>
  <c r="F28" i="19" s="1"/>
  <c r="F32" i="19" s="1"/>
  <c r="F36" i="19" s="1"/>
  <c r="F12" i="19"/>
  <c r="F11" i="19"/>
  <c r="J7" i="17" l="1"/>
  <c r="H10" i="17"/>
  <c r="H11" i="17" s="1"/>
  <c r="K8" i="17"/>
  <c r="G7" i="6"/>
  <c r="K7" i="17"/>
  <c r="G6" i="6"/>
  <c r="K6" i="6" s="1"/>
  <c r="M6" i="6" s="1"/>
  <c r="I7" i="18" s="1"/>
  <c r="G8" i="6"/>
  <c r="K9" i="17"/>
  <c r="J6" i="17"/>
  <c r="E9" i="7"/>
  <c r="N17" i="19"/>
  <c r="F13" i="19"/>
  <c r="L38" i="19"/>
  <c r="L40" i="19" s="1"/>
  <c r="L54" i="19" s="1"/>
  <c r="F38" i="19"/>
  <c r="F40" i="19" s="1"/>
  <c r="F54" i="19" s="1"/>
  <c r="N11" i="19"/>
  <c r="N12" i="19"/>
  <c r="F18" i="19"/>
  <c r="N16" i="19"/>
  <c r="L18" i="19"/>
  <c r="L58" i="19" s="1"/>
  <c r="L13" i="19"/>
  <c r="L57" i="19" s="1"/>
  <c r="E18" i="17" l="1"/>
  <c r="F18" i="17" s="1"/>
  <c r="G18" i="17" s="1"/>
  <c r="K18" i="17" s="1"/>
  <c r="L18" i="17" s="1"/>
  <c r="M18" i="17" s="1"/>
  <c r="N18" i="17" s="1"/>
  <c r="E16" i="17"/>
  <c r="F16" i="17" s="1"/>
  <c r="G16" i="17" s="1"/>
  <c r="K16" i="17" s="1"/>
  <c r="L16" i="17" s="1"/>
  <c r="M16" i="17" s="1"/>
  <c r="N16" i="17" s="1"/>
  <c r="E17" i="17"/>
  <c r="F17" i="17" s="1"/>
  <c r="G17" i="17" s="1"/>
  <c r="K17" i="17" s="1"/>
  <c r="L17" i="17" s="1"/>
  <c r="M17" i="17" s="1"/>
  <c r="N17" i="17" s="1"/>
  <c r="K6" i="17"/>
  <c r="J10" i="17"/>
  <c r="G5" i="6"/>
  <c r="L8" i="6"/>
  <c r="N8" i="6" s="1"/>
  <c r="K8" i="6"/>
  <c r="M8" i="6" s="1"/>
  <c r="L6" i="6"/>
  <c r="I17" i="6"/>
  <c r="I26" i="6" s="1"/>
  <c r="K26" i="6" s="1"/>
  <c r="K7" i="6"/>
  <c r="M7" i="6" s="1"/>
  <c r="L7" i="6"/>
  <c r="N7" i="6" s="1"/>
  <c r="L60" i="19"/>
  <c r="N54" i="19"/>
  <c r="E18" i="19"/>
  <c r="F58" i="19"/>
  <c r="N58" i="19" s="1"/>
  <c r="E13" i="19"/>
  <c r="F57" i="19"/>
  <c r="F60" i="19" s="1"/>
  <c r="F63" i="19" s="1"/>
  <c r="I2" i="19" s="1"/>
  <c r="N40" i="19"/>
  <c r="F20" i="19"/>
  <c r="N13" i="19"/>
  <c r="K13" i="19"/>
  <c r="N18" i="19"/>
  <c r="K18" i="19"/>
  <c r="L20" i="19"/>
  <c r="N20" i="19" s="1"/>
  <c r="E15" i="17" l="1"/>
  <c r="N6" i="6"/>
  <c r="J7" i="18" s="1"/>
  <c r="I18" i="6"/>
  <c r="I27" i="6" s="1"/>
  <c r="K27" i="6" s="1"/>
  <c r="I8" i="18"/>
  <c r="F7" i="13"/>
  <c r="H7" i="13" s="1"/>
  <c r="G8" i="13"/>
  <c r="J19" i="6"/>
  <c r="J28" i="6" s="1"/>
  <c r="L28" i="6" s="1"/>
  <c r="J9" i="18"/>
  <c r="J8" i="18"/>
  <c r="G7" i="13"/>
  <c r="I7" i="13" s="1"/>
  <c r="J18" i="6"/>
  <c r="J27" i="6" s="1"/>
  <c r="L27" i="6" s="1"/>
  <c r="I19" i="6"/>
  <c r="I28" i="6" s="1"/>
  <c r="K28" i="6" s="1"/>
  <c r="F8" i="13"/>
  <c r="I9" i="18"/>
  <c r="L5" i="6"/>
  <c r="G9" i="6"/>
  <c r="K5" i="6"/>
  <c r="K10" i="17"/>
  <c r="J11" i="17"/>
  <c r="N57" i="19"/>
  <c r="L63" i="19"/>
  <c r="N60" i="19"/>
  <c r="E20" i="19"/>
  <c r="K20" i="19"/>
  <c r="F15" i="17" l="1"/>
  <c r="G15" i="17" s="1"/>
  <c r="E19" i="17"/>
  <c r="F19" i="17" s="1"/>
  <c r="N28" i="6"/>
  <c r="O28" i="6" s="1"/>
  <c r="K11" i="17"/>
  <c r="D20" i="17"/>
  <c r="M5" i="6"/>
  <c r="I6" i="18" s="1"/>
  <c r="K9" i="6"/>
  <c r="N27" i="6"/>
  <c r="O27" i="6" s="1"/>
  <c r="N5" i="6"/>
  <c r="J6" i="18" s="1"/>
  <c r="L9" i="6"/>
  <c r="J17" i="6"/>
  <c r="J26" i="6" s="1"/>
  <c r="L26" i="6" s="1"/>
  <c r="N26" i="6" s="1"/>
  <c r="O26" i="6" s="1"/>
  <c r="N63" i="19"/>
  <c r="I3" i="19"/>
  <c r="I8" i="13"/>
  <c r="H8" i="13"/>
  <c r="I13" i="10"/>
  <c r="D15" i="10"/>
  <c r="G19" i="17" l="1"/>
  <c r="K15" i="17"/>
  <c r="L15" i="17" s="1"/>
  <c r="J16" i="6"/>
  <c r="J25" i="6" s="1"/>
  <c r="L25" i="6" s="1"/>
  <c r="L29" i="6" s="1"/>
  <c r="L10" i="6"/>
  <c r="I16" i="6"/>
  <c r="I25" i="6" s="1"/>
  <c r="K25" i="6" s="1"/>
  <c r="L16" i="6"/>
  <c r="D5" i="7" s="1"/>
  <c r="F5" i="7" s="1"/>
  <c r="I5" i="7" s="1"/>
  <c r="L17" i="6"/>
  <c r="D6" i="7" s="1"/>
  <c r="F6" i="7" s="1"/>
  <c r="I6" i="7" s="1"/>
  <c r="K17" i="6"/>
  <c r="K18" i="6"/>
  <c r="C7" i="7" s="1"/>
  <c r="L19" i="17" l="1"/>
  <c r="M19" i="17" s="1"/>
  <c r="N19" i="17" s="1"/>
  <c r="M19" i="10"/>
  <c r="M15" i="17"/>
  <c r="N15" i="17" s="1"/>
  <c r="K16" i="6"/>
  <c r="C5" i="7" s="1"/>
  <c r="N25" i="6"/>
  <c r="K29" i="6"/>
  <c r="N17" i="6"/>
  <c r="P26" i="6" s="1"/>
  <c r="C6" i="7"/>
  <c r="N16" i="6"/>
  <c r="O25" i="6" l="1"/>
  <c r="O29" i="6" s="1"/>
  <c r="N29" i="6"/>
  <c r="N33" i="6" s="1"/>
  <c r="M19" i="18"/>
  <c r="D19" i="18"/>
  <c r="M10" i="18"/>
  <c r="D10" i="18"/>
  <c r="L9" i="18"/>
  <c r="K9" i="18"/>
  <c r="L8" i="18"/>
  <c r="K8" i="18"/>
  <c r="L7" i="18"/>
  <c r="K7" i="18"/>
  <c r="L6" i="18"/>
  <c r="K6" i="18"/>
  <c r="P25" i="6" l="1"/>
  <c r="N7" i="18"/>
  <c r="N8" i="18"/>
  <c r="N9" i="18"/>
  <c r="N6" i="18"/>
  <c r="L10" i="18"/>
  <c r="K10" i="18"/>
  <c r="N10" i="18" l="1"/>
  <c r="J9" i="3"/>
  <c r="M16" i="10" l="1"/>
  <c r="F7" i="17" l="1"/>
  <c r="F8" i="17"/>
  <c r="F9" i="17"/>
  <c r="E10" i="17"/>
  <c r="D10" i="17"/>
  <c r="C10" i="17"/>
  <c r="I12" i="13" l="1"/>
  <c r="H12" i="13"/>
  <c r="G8" i="16"/>
  <c r="H11" i="13"/>
  <c r="J25" i="3"/>
  <c r="J26" i="3"/>
  <c r="F8" i="16"/>
  <c r="F12" i="16" s="1"/>
  <c r="I11" i="13" l="1"/>
  <c r="D8" i="13"/>
  <c r="J8" i="13" s="1"/>
  <c r="E8" i="13"/>
  <c r="K8" i="13" s="1"/>
  <c r="E7" i="13"/>
  <c r="K7" i="13" s="1"/>
  <c r="D7" i="13"/>
  <c r="J7" i="13" s="1"/>
  <c r="L7" i="13" l="1"/>
  <c r="D8" i="16"/>
  <c r="E8" i="16"/>
  <c r="D9" i="13"/>
  <c r="E9" i="13"/>
  <c r="D22" i="16" l="1"/>
  <c r="D29" i="16" s="1"/>
  <c r="H8" i="16"/>
  <c r="E22" i="16"/>
  <c r="E29" i="16" s="1"/>
  <c r="I8" i="16"/>
  <c r="I14" i="10"/>
  <c r="I15" i="10"/>
  <c r="J17" i="3" s="1"/>
  <c r="J13" i="10"/>
  <c r="J10" i="3" s="1"/>
  <c r="J14" i="10"/>
  <c r="J15" i="10"/>
  <c r="J18" i="3" s="1"/>
  <c r="F15" i="10"/>
  <c r="H17" i="6"/>
  <c r="H18" i="6"/>
  <c r="H19" i="6"/>
  <c r="H16" i="6"/>
  <c r="M20" i="6"/>
  <c r="J8" i="16" l="1"/>
  <c r="L13" i="10"/>
  <c r="L14" i="10"/>
  <c r="J14" i="3"/>
  <c r="K14" i="10"/>
  <c r="J13" i="3"/>
  <c r="K13" i="10"/>
  <c r="K15" i="10"/>
  <c r="L15" i="10"/>
  <c r="L18" i="6"/>
  <c r="L19" i="6"/>
  <c r="D8" i="7" s="1"/>
  <c r="F8" i="7" s="1"/>
  <c r="I8" i="7" s="1"/>
  <c r="K19" i="6"/>
  <c r="C8" i="7" s="1"/>
  <c r="C9" i="7" s="1"/>
  <c r="D20" i="6"/>
  <c r="N18" i="6" l="1"/>
  <c r="P27" i="6" s="1"/>
  <c r="D7" i="7"/>
  <c r="N19" i="6"/>
  <c r="P28" i="6" s="1"/>
  <c r="M13" i="10"/>
  <c r="G13" i="10" s="1"/>
  <c r="M14" i="10"/>
  <c r="H14" i="10" s="1"/>
  <c r="M15" i="10"/>
  <c r="G15" i="10" s="1"/>
  <c r="L20" i="6"/>
  <c r="K20" i="6"/>
  <c r="D9" i="7" l="1"/>
  <c r="F7" i="7"/>
  <c r="G14" i="10"/>
  <c r="N20" i="6"/>
  <c r="H13" i="10"/>
  <c r="H15" i="10"/>
  <c r="D7" i="4"/>
  <c r="F9" i="7" l="1"/>
  <c r="I7" i="7"/>
  <c r="N34" i="6"/>
  <c r="K15" i="18"/>
  <c r="I15" i="18" s="1"/>
  <c r="M18" i="3"/>
  <c r="M17" i="3"/>
  <c r="M14" i="3"/>
  <c r="M13" i="3"/>
  <c r="K17" i="18" l="1"/>
  <c r="I17" i="18" s="1"/>
  <c r="L15" i="18"/>
  <c r="L18" i="18"/>
  <c r="J18" i="18" s="1"/>
  <c r="L17" i="18"/>
  <c r="J17" i="18" s="1"/>
  <c r="K16" i="18"/>
  <c r="I16" i="18" s="1"/>
  <c r="L16" i="18"/>
  <c r="J16" i="18" s="1"/>
  <c r="K18" i="18"/>
  <c r="I9" i="7"/>
  <c r="I10" i="7" s="1"/>
  <c r="J7" i="7"/>
  <c r="J8" i="7"/>
  <c r="M26" i="3"/>
  <c r="M25" i="3"/>
  <c r="J6" i="7"/>
  <c r="L5" i="10" s="1"/>
  <c r="H9" i="7"/>
  <c r="H10" i="7" s="1"/>
  <c r="J5" i="7"/>
  <c r="K5" i="10" s="1"/>
  <c r="M5" i="10" l="1"/>
  <c r="N5" i="10" s="1"/>
  <c r="N18" i="18"/>
  <c r="G18" i="18" s="1"/>
  <c r="H18" i="18" s="1"/>
  <c r="I18" i="18"/>
  <c r="L19" i="18"/>
  <c r="J15" i="18"/>
  <c r="K19" i="18"/>
  <c r="N16" i="18"/>
  <c r="N17" i="18"/>
  <c r="G17" i="18" s="1"/>
  <c r="H17" i="18" s="1"/>
  <c r="N15" i="18"/>
  <c r="G15" i="18" s="1"/>
  <c r="L8" i="13"/>
  <c r="J9" i="13"/>
  <c r="K9" i="13"/>
  <c r="J9" i="7"/>
  <c r="M10" i="3"/>
  <c r="E20" i="7" l="1"/>
  <c r="G16" i="18"/>
  <c r="H16" i="18" s="1"/>
  <c r="N19" i="18"/>
  <c r="O19" i="18" s="1"/>
  <c r="L6" i="10"/>
  <c r="M9" i="3"/>
  <c r="H15" i="18"/>
  <c r="L9" i="13"/>
  <c r="K8" i="16"/>
  <c r="F13" i="16" l="1"/>
  <c r="L8" i="16"/>
  <c r="K6" i="10" l="1"/>
  <c r="F14" i="16"/>
  <c r="F15" i="16" s="1"/>
  <c r="F22" i="16" s="1"/>
  <c r="H22" i="16" s="1"/>
  <c r="K22" i="16" s="1"/>
  <c r="L22" i="16" s="1"/>
  <c r="I22" i="16" s="1"/>
  <c r="G22" i="16" s="1"/>
  <c r="M6" i="10" l="1"/>
  <c r="G12" i="16"/>
  <c r="G14" i="16" s="1"/>
  <c r="G15" i="16" s="1"/>
  <c r="H12" i="16" s="1"/>
  <c r="M18" i="10" l="1"/>
  <c r="M20" i="10" s="1"/>
  <c r="J29" i="3" s="1"/>
  <c r="H14" i="16"/>
  <c r="H15" i="16" s="1"/>
  <c r="I12" i="16" s="1"/>
  <c r="I14" i="16" s="1"/>
  <c r="I15" i="16" s="1"/>
  <c r="J12" i="16" s="1"/>
  <c r="J14" i="16" s="1"/>
  <c r="J15" i="16" s="1"/>
  <c r="F29" i="16"/>
  <c r="H29" i="16" s="1"/>
  <c r="J28" i="3" l="1"/>
  <c r="M28" i="3" s="1"/>
  <c r="J21" i="3"/>
  <c r="M21" i="3" l="1"/>
  <c r="H31" i="16"/>
  <c r="H32" i="16" s="1"/>
  <c r="G29" i="16" l="1"/>
  <c r="J22" i="16"/>
  <c r="I29" i="16" l="1"/>
  <c r="J22" i="3"/>
  <c r="M22" i="3" l="1"/>
  <c r="I31" i="16"/>
  <c r="I32" i="16" s="1"/>
  <c r="J29" i="16"/>
  <c r="J31" i="16" s="1"/>
  <c r="J32" i="16" s="1"/>
</calcChain>
</file>

<file path=xl/sharedStrings.xml><?xml version="1.0" encoding="utf-8"?>
<sst xmlns="http://schemas.openxmlformats.org/spreadsheetml/2006/main" count="512" uniqueCount="226">
  <si>
    <t>Algoma Power Inc.</t>
  </si>
  <si>
    <t xml:space="preserve">Incentive Rate-setting Mechanism </t>
  </si>
  <si>
    <t>Rate Design Model</t>
  </si>
  <si>
    <t>Percent Change</t>
  </si>
  <si>
    <t>Distribution Charges</t>
  </si>
  <si>
    <t>Monthly Rates and Charges</t>
  </si>
  <si>
    <t>Metric</t>
  </si>
  <si>
    <t>Residential - R1(i)</t>
  </si>
  <si>
    <t>Monthly Service Charge</t>
  </si>
  <si>
    <t>$</t>
  </si>
  <si>
    <t>Distribution Volumetric Rate</t>
  </si>
  <si>
    <t>$/kWh</t>
  </si>
  <si>
    <t>Residential - R1(ii)</t>
  </si>
  <si>
    <t>Residential - R2</t>
  </si>
  <si>
    <t>$/kW</t>
  </si>
  <si>
    <t>Seasonal</t>
  </si>
  <si>
    <t>Street Lighting</t>
  </si>
  <si>
    <t>Price Cap Metric</t>
  </si>
  <si>
    <t>Status</t>
  </si>
  <si>
    <t>Value</t>
  </si>
  <si>
    <t>Inflation Factor</t>
  </si>
  <si>
    <t>Productivity Factor</t>
  </si>
  <si>
    <t>Stretch Factor</t>
  </si>
  <si>
    <t>Calculated</t>
  </si>
  <si>
    <t>Customer Class</t>
  </si>
  <si>
    <t>Average # of Customers</t>
  </si>
  <si>
    <t>Billing Determinant</t>
  </si>
  <si>
    <t>F/V Split</t>
  </si>
  <si>
    <t>Distribution Rates</t>
  </si>
  <si>
    <t>Revenues</t>
  </si>
  <si>
    <t>kWh</t>
  </si>
  <si>
    <t>kW</t>
  </si>
  <si>
    <t>Fixed Allocation</t>
  </si>
  <si>
    <t>Variable Allocation</t>
  </si>
  <si>
    <t>Variable Charge</t>
  </si>
  <si>
    <t>Fixed</t>
  </si>
  <si>
    <t>Variable</t>
  </si>
  <si>
    <t>Total Revenue</t>
  </si>
  <si>
    <t>Residential - R1</t>
  </si>
  <si>
    <t>Total</t>
  </si>
  <si>
    <t>Transformer Ownership Allowance</t>
  </si>
  <si>
    <t>Revenue Less Transformer Ownership</t>
  </si>
  <si>
    <t>Difference (Rounding):</t>
  </si>
  <si>
    <t>% Difference:</t>
  </si>
  <si>
    <t>Check</t>
  </si>
  <si>
    <t>Delivery Charges Indexed by Simple Average of Other LDC Increases in Current Year</t>
  </si>
  <si>
    <t>Residential - R1 (i)</t>
  </si>
  <si>
    <t>Residential - R1 (ii)</t>
  </si>
  <si>
    <t>Notes:</t>
  </si>
  <si>
    <t>Revenue</t>
  </si>
  <si>
    <t>Transformer Ownership Allowance (not indexed) - Attributable to the Residential - R2 class</t>
  </si>
  <si>
    <t>R1</t>
  </si>
  <si>
    <t>R2</t>
  </si>
  <si>
    <t>Total R1+R2</t>
  </si>
  <si>
    <t>Revenue Component</t>
  </si>
  <si>
    <t>Determination of Seasonal and Street Lighting Distribution Rates</t>
  </si>
  <si>
    <t>Customers</t>
  </si>
  <si>
    <t>Rate Class</t>
  </si>
  <si>
    <t>Customers/ Connections</t>
  </si>
  <si>
    <t>Test Year Consumption</t>
  </si>
  <si>
    <t>Proposed Rates</t>
  </si>
  <si>
    <t>Proposed Revenues</t>
  </si>
  <si>
    <t>Existing Split</t>
  </si>
  <si>
    <t>Average number of Customers</t>
  </si>
  <si>
    <t>Volumetric</t>
  </si>
  <si>
    <t>Monthly Service Charge to Achieve 100% Recovery</t>
  </si>
  <si>
    <t>Monthly Service Charge Increment</t>
  </si>
  <si>
    <t>Proposed Monthly Service Charge</t>
  </si>
  <si>
    <t>%</t>
  </si>
  <si>
    <t>Difference due to Rounding of Volumetric Rate:</t>
  </si>
  <si>
    <t>Revenue Reconciliation - Volumetric Rate Rounded to 4th Decimal Place</t>
  </si>
  <si>
    <t>Revenue Decoupling - Seasonal</t>
  </si>
  <si>
    <t>Notes</t>
  </si>
  <si>
    <t>Misc. Revenue</t>
  </si>
  <si>
    <t>Approved Revenue to Cost Ratio</t>
  </si>
  <si>
    <t>LF X Proposed Rates</t>
  </si>
  <si>
    <t>Price Cap Index</t>
  </si>
  <si>
    <t>Final</t>
  </si>
  <si>
    <t>Check - inflation adjustment applied</t>
  </si>
  <si>
    <t>Average # of Customers*</t>
  </si>
  <si>
    <t>kWh*</t>
  </si>
  <si>
    <t>kW*</t>
  </si>
  <si>
    <t>*</t>
  </si>
  <si>
    <t>Seasonal (before rate design adj)</t>
  </si>
  <si>
    <t>Proposed Distribution Charges and RRRP Funding for 2026 Rate Year</t>
  </si>
  <si>
    <t>Approved 2025 COS</t>
  </si>
  <si>
    <t>EB-2024-0007</t>
  </si>
  <si>
    <t>Effective January 1, 2025</t>
  </si>
  <si>
    <t>Proposed 2026 IRM</t>
  </si>
  <si>
    <t>EB-2025-0054</t>
  </si>
  <si>
    <t>Effective January 1, 2026</t>
  </si>
  <si>
    <t>EB-2024-0007 Approved Revenue to Cost Ratios</t>
  </si>
  <si>
    <t>2025 Accepted Equivalent Electricity Distribution Rates</t>
  </si>
  <si>
    <t>Equivalent rates/figures for use in RRRP calculation- values in absence of RRRP regulaiton</t>
  </si>
  <si>
    <t xml:space="preserve">Price Cap for 2026 Electricity Distribution Rates </t>
  </si>
  <si>
    <t>Placeholder</t>
  </si>
  <si>
    <t xml:space="preserve">Check to Base RR </t>
  </si>
  <si>
    <t>IRM Indexed Revenue for 2026
(Using the 2026 Price-Cap Index)</t>
  </si>
  <si>
    <t>2026 Equivalent Electricity Distribution Rates</t>
  </si>
  <si>
    <t>Simple Average Increase in Delivery Charge for 2026 using the 2025 Board Calculated RRRP Adjustment Factor</t>
  </si>
  <si>
    <t>2026 Application of Rate Indexing Methodology</t>
  </si>
  <si>
    <t>Placeholder RRRP Adjustment Factor requires updating for 2026 rates - see Manager's Summary</t>
  </si>
  <si>
    <t>R1 customer count and kWh splits can be confirmed in EB-2024-0007: DRO RRWF Tabs 10 and 13</t>
  </si>
  <si>
    <t>2025 Board -Approved Values for Customers and Billing Determinants</t>
  </si>
  <si>
    <t>Indexed Revenue Attributable to Residential Rate Classes for 2026</t>
  </si>
  <si>
    <t>Determination of Residential R1 &amp; R2 2026 Electricity Distribution Rates and RRRP Funding</t>
  </si>
  <si>
    <t>2026 Indexed Rates</t>
  </si>
  <si>
    <t>2026 Revenues</t>
  </si>
  <si>
    <t>Proposed Revenues (before FV Adj)</t>
  </si>
  <si>
    <t>Indexed Monthly Service Charge (post IRM adjustment for 2026)</t>
  </si>
  <si>
    <t>2026 Proposed Seasonal Rates - Calculate Volumetric Rate Based on Change in F/V Split</t>
  </si>
  <si>
    <t>2026 Distribution Base Rate Determination for Non-RRRP Rate Classes</t>
  </si>
  <si>
    <t>Per Board Decision</t>
  </si>
  <si>
    <t>(%)</t>
  </si>
  <si>
    <t>($)</t>
  </si>
  <si>
    <t>Debt</t>
  </si>
  <si>
    <t xml:space="preserve">  Long-term Debt</t>
  </si>
  <si>
    <t xml:space="preserve">  Short-term Debt</t>
  </si>
  <si>
    <t>Total Debt</t>
  </si>
  <si>
    <t>Equity</t>
  </si>
  <si>
    <t xml:space="preserve">  Common Equity</t>
  </si>
  <si>
    <t xml:space="preserve">  Preferred Shares</t>
  </si>
  <si>
    <t>Total Equity</t>
  </si>
  <si>
    <t>2025 Cost of Capital- Approved based on Interim ROE, STD Rates</t>
  </si>
  <si>
    <t xml:space="preserve">Revenue Requirement Impact </t>
  </si>
  <si>
    <t xml:space="preserve">2025 Cost of Capital- Updated for Final ROE, STD Rates </t>
  </si>
  <si>
    <t xml:space="preserve">Particulars </t>
  </si>
  <si>
    <t>Determination of Taxable Income</t>
  </si>
  <si>
    <t>Utility net income before taxes</t>
  </si>
  <si>
    <t>Adjustments required to arrive at taxable utility income</t>
  </si>
  <si>
    <t>Taxable income</t>
  </si>
  <si>
    <t>Calculation of Utility income Taxes</t>
  </si>
  <si>
    <t>Income taxes</t>
  </si>
  <si>
    <t>Gross-up of Income Taxes</t>
  </si>
  <si>
    <t>Grossed-up Income Taxes</t>
  </si>
  <si>
    <t>Tax Rates</t>
  </si>
  <si>
    <t>Federal tax (%)</t>
  </si>
  <si>
    <t>Provincial tax (%)</t>
  </si>
  <si>
    <t>Total tax rate (%)</t>
  </si>
  <si>
    <t/>
  </si>
  <si>
    <t>OM&amp;A Expenses</t>
  </si>
  <si>
    <t>Amortization/Depreciation</t>
  </si>
  <si>
    <t>Property Taxes</t>
  </si>
  <si>
    <t>Income Taxes (Grossed up)</t>
  </si>
  <si>
    <t>Other Expenses</t>
  </si>
  <si>
    <t>Return</t>
  </si>
  <si>
    <t>Deemed Interest Expense</t>
  </si>
  <si>
    <t>Return on Deemed Equity</t>
  </si>
  <si>
    <t>Service Revenue Requirement (before Revenues)</t>
  </si>
  <si>
    <t>Revenue Offsets</t>
  </si>
  <si>
    <t>Base Revenue Requirement</t>
  </si>
  <si>
    <t xml:space="preserve">2025 Grossed Up PILS- Approved based on Interim ROE </t>
  </si>
  <si>
    <t>2025 Grossed Up PILS Updated for Final ROE</t>
  </si>
  <si>
    <t xml:space="preserve">2025 Revenue Requirement- Approved based on Interim ROE, STD Rates  </t>
  </si>
  <si>
    <t xml:space="preserve">2025 Revenue Requirement - Updated for Final ROE, STD Rates </t>
  </si>
  <si>
    <t>N/A</t>
  </si>
  <si>
    <t xml:space="preserve">2025 Approved Base Revenue Requirement- Using Interim Cost of Capital Parameters </t>
  </si>
  <si>
    <t xml:space="preserve">2025 Updated Base Revenue Requirement- Using Final Cost of Capital Parameters </t>
  </si>
  <si>
    <t xml:space="preserve">Difference in Revenue Requirement </t>
  </si>
  <si>
    <t xml:space="preserve">% Change in Revenue Requirement </t>
  </si>
  <si>
    <t>Assumptions Used : 2025 approved Billing Units, 2025 approved Revenue Requirements, 2015 FV Split for R1 class</t>
  </si>
  <si>
    <t xml:space="preserve">consistent with 2015 COS Final Rate Design </t>
  </si>
  <si>
    <t xml:space="preserve">Adjusted Base Revenue Requirement per Class- Cost of Capital Adjustment </t>
  </si>
  <si>
    <t xml:space="preserve">2025 Cost of Capital Update RR Adjustment Factor </t>
  </si>
  <si>
    <t xml:space="preserve">2025 Approved Base Revenue per Class </t>
  </si>
  <si>
    <t>Check to BRR</t>
  </si>
  <si>
    <t xml:space="preserve">2025 Allocated BRR Adjustment </t>
  </si>
  <si>
    <t xml:space="preserve">Equivalent Distribution Rates Required to Recover the Cost of Capital - Adjusted 2025 Base Revenue Requirement in the absence of RRRP Funding
</t>
  </si>
  <si>
    <t xml:space="preserve">Allocated Revenue Requirement </t>
  </si>
  <si>
    <t>Cost of Capital Adjusted Base Revenue Requirement:</t>
  </si>
  <si>
    <t xml:space="preserve">Equivalent Rates Calculation- Cost of Capital Adjusted 
</t>
  </si>
  <si>
    <t xml:space="preserve">Consistent with 2025 Approved COS, adjusted for Cost of Capital </t>
  </si>
  <si>
    <t xml:space="preserve">check to indexed adj. RR </t>
  </si>
  <si>
    <t xml:space="preserve">2025 Base Revenue Requirement </t>
  </si>
  <si>
    <t xml:space="preserve">2025 Cost of Capital Adjusted Base RR </t>
  </si>
  <si>
    <t xml:space="preserve">2026 IRM Adjustment </t>
  </si>
  <si>
    <t xml:space="preserve">2026 Indexed Base RR </t>
  </si>
  <si>
    <t>IRM Index Factor</t>
  </si>
  <si>
    <t xml:space="preserve">Fixed </t>
  </si>
  <si>
    <t xml:space="preserve">Transformer Allowance </t>
  </si>
  <si>
    <t xml:space="preserve">Revenue Reconciliation </t>
  </si>
  <si>
    <t>Distribution Rates (Rounded)</t>
  </si>
  <si>
    <t>Variable (incl TA)</t>
  </si>
  <si>
    <t>Variable ( Base RR before TA Adj)</t>
  </si>
  <si>
    <t>2025 Cost of Capital Adj Rates</t>
  </si>
  <si>
    <t>2026 IRM Electricity Distribution Rate Application</t>
  </si>
  <si>
    <t>Application: August 14, 2025</t>
  </si>
  <si>
    <t xml:space="preserve">Proposed Rate Rider </t>
  </si>
  <si>
    <t xml:space="preserve">2025 Projected Interest </t>
  </si>
  <si>
    <t>Q1 2025</t>
  </si>
  <si>
    <t>Q2 2025</t>
  </si>
  <si>
    <t>Q3 2025</t>
  </si>
  <si>
    <t>Q4 2025</t>
  </si>
  <si>
    <t xml:space="preserve">placeholder </t>
  </si>
  <si>
    <t xml:space="preserve">2025 Average Rt </t>
  </si>
  <si>
    <t>Disposition Methodology</t>
  </si>
  <si>
    <t>RRRP Reduction</t>
  </si>
  <si>
    <t>Rate Rider- Per Customer</t>
  </si>
  <si>
    <t xml:space="preserve">Rate Rider - Per kWh </t>
  </si>
  <si>
    <t xml:space="preserve">Allocated Balance </t>
  </si>
  <si>
    <t>Billing Unit</t>
  </si>
  <si>
    <t xml:space="preserve">Customer </t>
  </si>
  <si>
    <t xml:space="preserve">kWh </t>
  </si>
  <si>
    <t>Annualized Billing Units (2024 RRR)</t>
  </si>
  <si>
    <t xml:space="preserve">one time </t>
  </si>
  <si>
    <t>Interest Assumption</t>
  </si>
  <si>
    <t>final</t>
  </si>
  <si>
    <t xml:space="preserve">calc. </t>
  </si>
  <si>
    <t xml:space="preserve">Rate </t>
  </si>
  <si>
    <t xml:space="preserve">Period </t>
  </si>
  <si>
    <t>The Rural and Remote Rate Protection Amount Required for 2026</t>
  </si>
  <si>
    <t xml:space="preserve">2026 RRRP Proposal, adjusted for disposition of R1/R2 2025 Cost of Capital DVA Disposition </t>
  </si>
  <si>
    <t xml:space="preserve">One Time RRRP Adjustment for 2025 Cost Of Capital DVA Impact </t>
  </si>
  <si>
    <t>**</t>
  </si>
  <si>
    <t xml:space="preserve">Rural and Remote Rate Protection-Base Amount </t>
  </si>
  <si>
    <t>Rural and Remote Rate Protection with One Time Adj.</t>
  </si>
  <si>
    <t xml:space="preserve">* 2025 RRRP funding included a one-time adjustment for 2025 ACM True Up. </t>
  </si>
  <si>
    <t>**2026 RRRP funding proposal includes a one-time adjustment in 2026 for the 2025 Cost of Capital Impact</t>
  </si>
  <si>
    <t>Reconciliation</t>
  </si>
  <si>
    <t>Difference (%)</t>
  </si>
  <si>
    <t>Difference ($)</t>
  </si>
  <si>
    <t>Revenue Decoupling for the Seasonal Rate Class - 2026 Increment</t>
  </si>
  <si>
    <t xml:space="preserve">ROE Impact </t>
  </si>
  <si>
    <t xml:space="preserve">DSTDR Impact </t>
  </si>
  <si>
    <t xml:space="preserve">Cost of Capital Adjusted 2025 Revenues by Class </t>
  </si>
  <si>
    <r>
      <t xml:space="preserve">Allocation of Service Revenue Requirement </t>
    </r>
    <r>
      <rPr>
        <sz val="10"/>
        <rFont val="Arial"/>
        <family val="2"/>
      </rPr>
      <t>(100% R-C Ratio)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</si>
</sst>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000_);_(* \(#,##0.0000\);_(* &quot;-&quot;??_);_(@_)"/>
    <numFmt numFmtId="167" formatCode="_(* #,##0_);_(* \(#,##0\);_(* &quot;-&quot;??_);_(@_)"/>
    <numFmt numFmtId="168" formatCode="0.0%"/>
    <numFmt numFmtId="169" formatCode="0.000%"/>
    <numFmt numFmtId="170" formatCode="_(&quot;$&quot;* #,##0_);_(&quot;$&quot;* \(#,##0\);_(&quot;$&quot;* &quot;-&quot;??_);_(@_)"/>
    <numFmt numFmtId="171" formatCode="_-* #,##0_-;\-* #,##0_-;_-* &quot;-&quot;??_-;_-@_-"/>
    <numFmt numFmtId="172" formatCode="_-* #,##0.00_-;\-* #,##0.00_-;_-* \-??_-;_-@_-"/>
    <numFmt numFmtId="173" formatCode="0.0000%"/>
    <numFmt numFmtId="174" formatCode="_-&quot;$&quot;* #,##0.0000_-;\-&quot;$&quot;* #,##0.0000_-;_-&quot;$&quot;* &quot;-&quot;??_-;_-@_-"/>
    <numFmt numFmtId="175" formatCode="#,##0.0000"/>
    <numFmt numFmtId="176" formatCode="_-* #,##0.0000_-;\-* #,##0.0000_-;_-* &quot;-&quot;??_-;_-@_-"/>
    <numFmt numFmtId="177" formatCode="&quot;$&quot;#,##0_);[Red]\(&quot;$&quot;#,##0\);&quot;$&quot;\ \-"/>
    <numFmt numFmtId="178" formatCode="&quot;$&quot;#,##0.00;[Red]&quot;$&quot;#,##0.00"/>
    <numFmt numFmtId="179" formatCode="_-&quot;$&quot;* #,##0_-;\-&quot;$&quot;* #,##0_-;_-&quot;$&quot;* &quot;-&quot;??_-;_-@_-"/>
    <numFmt numFmtId="180" formatCode="_-[$$-1009]* #,##0.00_-;\-[$$-1009]* #,##0.00_-;_-[$$-1009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angal"/>
      <family val="2"/>
      <charset val="1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u/>
      <sz val="10"/>
      <color indexed="12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b/>
      <sz val="10"/>
      <color theme="2" tint="-0.249977111117893"/>
      <name val="Arial"/>
      <family val="2"/>
    </font>
    <font>
      <sz val="11"/>
      <color theme="2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4" fillId="0" borderId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1">
    <xf numFmtId="0" fontId="0" fillId="0" borderId="0" xfId="0"/>
    <xf numFmtId="0" fontId="2" fillId="0" borderId="0" xfId="0" applyFont="1"/>
    <xf numFmtId="165" fontId="0" fillId="2" borderId="17" xfId="2" applyFont="1" applyFill="1" applyBorder="1"/>
    <xf numFmtId="10" fontId="0" fillId="0" borderId="9" xfId="1" applyNumberFormat="1" applyFont="1" applyBorder="1" applyAlignment="1">
      <alignment horizontal="center"/>
    </xf>
    <xf numFmtId="166" fontId="0" fillId="2" borderId="17" xfId="2" applyNumberFormat="1" applyFont="1" applyFill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6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0" fillId="2" borderId="17" xfId="0" applyFill="1" applyBorder="1"/>
    <xf numFmtId="0" fontId="0" fillId="0" borderId="10" xfId="0" applyBorder="1"/>
    <xf numFmtId="0" fontId="0" fillId="0" borderId="18" xfId="0" applyBorder="1"/>
    <xf numFmtId="0" fontId="0" fillId="0" borderId="11" xfId="0" applyBorder="1"/>
    <xf numFmtId="0" fontId="0" fillId="0" borderId="16" xfId="0" applyBorder="1"/>
    <xf numFmtId="0" fontId="0" fillId="0" borderId="21" xfId="0" applyBorder="1"/>
    <xf numFmtId="10" fontId="0" fillId="0" borderId="9" xfId="0" applyNumberFormat="1" applyBorder="1" applyAlignment="1">
      <alignment horizontal="center"/>
    </xf>
    <xf numFmtId="0" fontId="7" fillId="0" borderId="22" xfId="0" applyFont="1" applyBorder="1"/>
    <xf numFmtId="0" fontId="0" fillId="0" borderId="23" xfId="0" applyBorder="1" applyAlignment="1">
      <alignment horizontal="center"/>
    </xf>
    <xf numFmtId="0" fontId="0" fillId="2" borderId="24" xfId="0" applyFill="1" applyBorder="1"/>
    <xf numFmtId="0" fontId="0" fillId="0" borderId="27" xfId="0" applyBorder="1"/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167" fontId="0" fillId="0" borderId="9" xfId="2" applyNumberFormat="1" applyFont="1" applyBorder="1"/>
    <xf numFmtId="167" fontId="0" fillId="0" borderId="31" xfId="0" applyNumberFormat="1" applyBorder="1"/>
    <xf numFmtId="0" fontId="0" fillId="0" borderId="22" xfId="0" applyBorder="1"/>
    <xf numFmtId="0" fontId="8" fillId="0" borderId="0" xfId="0" applyFont="1"/>
    <xf numFmtId="0" fontId="2" fillId="0" borderId="22" xfId="0" applyFont="1" applyBorder="1"/>
    <xf numFmtId="0" fontId="2" fillId="4" borderId="23" xfId="0" applyFont="1" applyFill="1" applyBorder="1"/>
    <xf numFmtId="3" fontId="2" fillId="0" borderId="23" xfId="0" applyNumberFormat="1" applyFont="1" applyBorder="1" applyAlignment="1">
      <alignment horizontal="center"/>
    </xf>
    <xf numFmtId="167" fontId="0" fillId="4" borderId="9" xfId="2" applyNumberFormat="1" applyFont="1" applyFill="1" applyBorder="1"/>
    <xf numFmtId="167" fontId="0" fillId="3" borderId="9" xfId="2" applyNumberFormat="1" applyFont="1" applyFill="1" applyBorder="1"/>
    <xf numFmtId="165" fontId="0" fillId="3" borderId="9" xfId="2" applyFont="1" applyFill="1" applyBorder="1"/>
    <xf numFmtId="166" fontId="0" fillId="3" borderId="9" xfId="2" applyNumberFormat="1" applyFont="1" applyFill="1" applyBorder="1"/>
    <xf numFmtId="3" fontId="0" fillId="3" borderId="9" xfId="0" applyNumberFormat="1" applyFill="1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169" fontId="0" fillId="0" borderId="0" xfId="1" applyNumberFormat="1" applyFont="1"/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6" xfId="0" applyFont="1" applyBorder="1"/>
    <xf numFmtId="10" fontId="0" fillId="3" borderId="9" xfId="1" applyNumberFormat="1" applyFont="1" applyFill="1" applyBorder="1" applyAlignment="1">
      <alignment horizontal="center"/>
    </xf>
    <xf numFmtId="10" fontId="0" fillId="0" borderId="9" xfId="1" applyNumberFormat="1" applyFont="1" applyFill="1" applyBorder="1" applyAlignment="1">
      <alignment horizontal="center"/>
    </xf>
    <xf numFmtId="5" fontId="10" fillId="0" borderId="23" xfId="0" applyNumberFormat="1" applyFont="1" applyBorder="1"/>
    <xf numFmtId="5" fontId="10" fillId="0" borderId="32" xfId="0" applyNumberFormat="1" applyFont="1" applyBorder="1"/>
    <xf numFmtId="167" fontId="7" fillId="0" borderId="0" xfId="0" applyNumberFormat="1" applyFont="1"/>
    <xf numFmtId="0" fontId="11" fillId="0" borderId="0" xfId="0" applyFont="1"/>
    <xf numFmtId="0" fontId="3" fillId="0" borderId="0" xfId="0" applyFont="1"/>
    <xf numFmtId="5" fontId="2" fillId="0" borderId="0" xfId="0" applyNumberFormat="1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/>
    <xf numFmtId="170" fontId="7" fillId="0" borderId="32" xfId="3" applyNumberFormat="1" applyFont="1" applyBorder="1"/>
    <xf numFmtId="170" fontId="0" fillId="0" borderId="0" xfId="0" applyNumberFormat="1"/>
    <xf numFmtId="0" fontId="10" fillId="0" borderId="29" xfId="0" applyFont="1" applyBorder="1" applyAlignment="1">
      <alignment horizontal="center"/>
    </xf>
    <xf numFmtId="165" fontId="10" fillId="0" borderId="30" xfId="0" applyNumberFormat="1" applyFont="1" applyBorder="1" applyAlignment="1">
      <alignment horizontal="center"/>
    </xf>
    <xf numFmtId="0" fontId="7" fillId="0" borderId="38" xfId="0" applyFont="1" applyBorder="1"/>
    <xf numFmtId="3" fontId="12" fillId="0" borderId="9" xfId="0" applyNumberFormat="1" applyFont="1" applyBorder="1" applyAlignment="1">
      <alignment horizontal="center"/>
    </xf>
    <xf numFmtId="168" fontId="0" fillId="0" borderId="47" xfId="1" applyNumberFormat="1" applyFont="1" applyBorder="1"/>
    <xf numFmtId="168" fontId="0" fillId="0" borderId="48" xfId="1" applyNumberFormat="1" applyFont="1" applyBorder="1"/>
    <xf numFmtId="0" fontId="2" fillId="0" borderId="0" xfId="0" applyFont="1" applyAlignment="1">
      <alignment horizontal="center"/>
    </xf>
    <xf numFmtId="164" fontId="0" fillId="0" borderId="0" xfId="3" applyFont="1"/>
    <xf numFmtId="171" fontId="0" fillId="0" borderId="47" xfId="2" applyNumberFormat="1" applyFont="1" applyBorder="1"/>
    <xf numFmtId="171" fontId="0" fillId="0" borderId="47" xfId="0" applyNumberFormat="1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5" xfId="0" applyBorder="1"/>
    <xf numFmtId="164" fontId="0" fillId="0" borderId="0" xfId="0" applyNumberFormat="1"/>
    <xf numFmtId="0" fontId="0" fillId="0" borderId="0" xfId="0" applyAlignment="1">
      <alignment horizontal="left"/>
    </xf>
    <xf numFmtId="171" fontId="0" fillId="0" borderId="0" xfId="0" applyNumberFormat="1"/>
    <xf numFmtId="0" fontId="2" fillId="0" borderId="4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27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0" fillId="0" borderId="47" xfId="0" applyBorder="1"/>
    <xf numFmtId="0" fontId="0" fillId="0" borderId="43" xfId="0" applyBorder="1"/>
    <xf numFmtId="171" fontId="12" fillId="0" borderId="48" xfId="2" applyNumberFormat="1" applyFont="1" applyBorder="1"/>
    <xf numFmtId="164" fontId="12" fillId="0" borderId="47" xfId="3" applyFont="1" applyFill="1" applyBorder="1"/>
    <xf numFmtId="174" fontId="12" fillId="0" borderId="47" xfId="3" applyNumberFormat="1" applyFont="1" applyFill="1" applyBorder="1"/>
    <xf numFmtId="0" fontId="10" fillId="0" borderId="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vertical="center" wrapText="1"/>
    </xf>
    <xf numFmtId="171" fontId="12" fillId="0" borderId="47" xfId="2" applyNumberFormat="1" applyFont="1" applyBorder="1"/>
    <xf numFmtId="171" fontId="12" fillId="0" borderId="0" xfId="2" applyNumberFormat="1" applyFont="1" applyBorder="1"/>
    <xf numFmtId="174" fontId="12" fillId="0" borderId="0" xfId="3" applyNumberFormat="1" applyFont="1" applyFill="1" applyBorder="1"/>
    <xf numFmtId="171" fontId="0" fillId="0" borderId="0" xfId="2" applyNumberFormat="1" applyFont="1" applyBorder="1"/>
    <xf numFmtId="173" fontId="0" fillId="0" borderId="23" xfId="1" applyNumberFormat="1" applyFont="1" applyBorder="1"/>
    <xf numFmtId="0" fontId="2" fillId="0" borderId="23" xfId="0" applyFont="1" applyBorder="1" applyAlignment="1">
      <alignment horizontal="center"/>
    </xf>
    <xf numFmtId="173" fontId="0" fillId="0" borderId="32" xfId="1" applyNumberFormat="1" applyFont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7" fillId="0" borderId="28" xfId="0" applyFont="1" applyBorder="1"/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0" fontId="1" fillId="0" borderId="31" xfId="1" applyNumberFormat="1" applyBorder="1" applyAlignment="1">
      <alignment horizontal="center"/>
    </xf>
    <xf numFmtId="10" fontId="2" fillId="5" borderId="32" xfId="0" applyNumberFormat="1" applyFont="1" applyFill="1" applyBorder="1" applyAlignment="1">
      <alignment horizontal="center"/>
    </xf>
    <xf numFmtId="0" fontId="3" fillId="0" borderId="16" xfId="0" applyFont="1" applyBorder="1"/>
    <xf numFmtId="0" fontId="3" fillId="0" borderId="9" xfId="0" applyFont="1" applyBorder="1"/>
    <xf numFmtId="0" fontId="3" fillId="0" borderId="31" xfId="0" applyFont="1" applyBorder="1"/>
    <xf numFmtId="170" fontId="3" fillId="0" borderId="0" xfId="0" applyNumberFormat="1" applyFont="1"/>
    <xf numFmtId="0" fontId="12" fillId="0" borderId="23" xfId="0" applyFont="1" applyBorder="1" applyAlignment="1">
      <alignment horizontal="center"/>
    </xf>
    <xf numFmtId="10" fontId="12" fillId="0" borderId="32" xfId="1" applyNumberFormat="1" applyFont="1" applyBorder="1" applyAlignment="1">
      <alignment horizontal="center"/>
    </xf>
    <xf numFmtId="167" fontId="10" fillId="0" borderId="31" xfId="2" applyNumberFormat="1" applyFont="1" applyBorder="1"/>
    <xf numFmtId="167" fontId="10" fillId="0" borderId="23" xfId="2" applyNumberFormat="1" applyFont="1" applyBorder="1"/>
    <xf numFmtId="167" fontId="12" fillId="0" borderId="9" xfId="2" applyNumberFormat="1" applyFont="1" applyBorder="1"/>
    <xf numFmtId="0" fontId="18" fillId="0" borderId="0" xfId="0" applyFont="1"/>
    <xf numFmtId="0" fontId="12" fillId="0" borderId="0" xfId="0" applyFont="1"/>
    <xf numFmtId="0" fontId="12" fillId="0" borderId="9" xfId="0" applyFont="1" applyBorder="1" applyAlignment="1">
      <alignment horizontal="center"/>
    </xf>
    <xf numFmtId="168" fontId="12" fillId="0" borderId="9" xfId="1" applyNumberFormat="1" applyFont="1" applyBorder="1" applyAlignment="1">
      <alignment horizontal="center"/>
    </xf>
    <xf numFmtId="167" fontId="12" fillId="0" borderId="9" xfId="2" applyNumberFormat="1" applyFont="1" applyFill="1" applyBorder="1"/>
    <xf numFmtId="167" fontId="12" fillId="0" borderId="31" xfId="0" applyNumberFormat="1" applyFont="1" applyBorder="1"/>
    <xf numFmtId="0" fontId="12" fillId="0" borderId="6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8" xfId="0" applyFont="1" applyBorder="1"/>
    <xf numFmtId="165" fontId="12" fillId="0" borderId="10" xfId="2" applyFont="1" applyBorder="1" applyAlignment="1">
      <alignment horizontal="center"/>
    </xf>
    <xf numFmtId="167" fontId="12" fillId="0" borderId="25" xfId="2" applyNumberFormat="1" applyFont="1" applyBorder="1" applyAlignment="1">
      <alignment horizontal="center"/>
    </xf>
    <xf numFmtId="1" fontId="12" fillId="3" borderId="9" xfId="0" applyNumberFormat="1" applyFont="1" applyFill="1" applyBorder="1" applyAlignment="1">
      <alignment horizontal="center"/>
    </xf>
    <xf numFmtId="167" fontId="12" fillId="4" borderId="9" xfId="2" applyNumberFormat="1" applyFont="1" applyFill="1" applyBorder="1"/>
    <xf numFmtId="1" fontId="12" fillId="0" borderId="9" xfId="0" applyNumberFormat="1" applyFont="1" applyBorder="1" applyAlignment="1">
      <alignment horizontal="center"/>
    </xf>
    <xf numFmtId="165" fontId="12" fillId="0" borderId="9" xfId="2" applyFont="1" applyBorder="1"/>
    <xf numFmtId="166" fontId="12" fillId="0" borderId="9" xfId="2" applyNumberFormat="1" applyFont="1" applyBorder="1"/>
    <xf numFmtId="165" fontId="12" fillId="0" borderId="9" xfId="2" applyFont="1" applyFill="1" applyBorder="1"/>
    <xf numFmtId="166" fontId="12" fillId="0" borderId="9" xfId="2" applyNumberFormat="1" applyFont="1" applyFill="1" applyBorder="1"/>
    <xf numFmtId="167" fontId="12" fillId="0" borderId="9" xfId="2" applyNumberFormat="1" applyFont="1" applyBorder="1" applyAlignment="1">
      <alignment horizontal="center"/>
    </xf>
    <xf numFmtId="167" fontId="12" fillId="0" borderId="31" xfId="2" applyNumberFormat="1" applyFont="1" applyBorder="1" applyAlignment="1">
      <alignment horizontal="center"/>
    </xf>
    <xf numFmtId="4" fontId="12" fillId="0" borderId="9" xfId="1" applyNumberFormat="1" applyFont="1" applyFill="1" applyBorder="1" applyAlignment="1">
      <alignment horizontal="center"/>
    </xf>
    <xf numFmtId="175" fontId="12" fillId="0" borderId="9" xfId="1" applyNumberFormat="1" applyFont="1" applyBorder="1" applyAlignment="1">
      <alignment horizontal="center"/>
    </xf>
    <xf numFmtId="10" fontId="12" fillId="0" borderId="31" xfId="1" applyNumberFormat="1" applyFont="1" applyFill="1" applyBorder="1" applyAlignment="1">
      <alignment horizontal="center"/>
    </xf>
    <xf numFmtId="10" fontId="18" fillId="0" borderId="31" xfId="1" applyNumberFormat="1" applyFont="1" applyFill="1" applyBorder="1" applyAlignment="1">
      <alignment horizontal="center"/>
    </xf>
    <xf numFmtId="176" fontId="0" fillId="3" borderId="9" xfId="2" applyNumberFormat="1" applyFont="1" applyFill="1" applyBorder="1"/>
    <xf numFmtId="168" fontId="3" fillId="0" borderId="0" xfId="1" applyNumberFormat="1" applyFont="1"/>
    <xf numFmtId="0" fontId="3" fillId="0" borderId="0" xfId="0" applyFont="1" applyAlignment="1">
      <alignment horizontal="right"/>
    </xf>
    <xf numFmtId="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" fontId="12" fillId="0" borderId="9" xfId="2" applyNumberFormat="1" applyFont="1" applyFill="1" applyBorder="1" applyAlignment="1">
      <alignment horizontal="center"/>
    </xf>
    <xf numFmtId="175" fontId="12" fillId="0" borderId="9" xfId="2" applyNumberFormat="1" applyFont="1" applyFill="1" applyBorder="1" applyAlignment="1">
      <alignment horizontal="center"/>
    </xf>
    <xf numFmtId="0" fontId="2" fillId="0" borderId="49" xfId="0" applyFont="1" applyBorder="1"/>
    <xf numFmtId="0" fontId="0" fillId="0" borderId="50" xfId="0" applyBorder="1"/>
    <xf numFmtId="3" fontId="0" fillId="0" borderId="50" xfId="0" applyNumberFormat="1" applyBorder="1" applyAlignment="1">
      <alignment horizontal="center"/>
    </xf>
    <xf numFmtId="0" fontId="0" fillId="4" borderId="50" xfId="0" applyFill="1" applyBorder="1"/>
    <xf numFmtId="167" fontId="10" fillId="0" borderId="50" xfId="0" applyNumberFormat="1" applyFont="1" applyBorder="1"/>
    <xf numFmtId="167" fontId="10" fillId="0" borderId="51" xfId="0" applyNumberFormat="1" applyFont="1" applyBorder="1"/>
    <xf numFmtId="0" fontId="10" fillId="0" borderId="22" xfId="0" applyFont="1" applyBorder="1"/>
    <xf numFmtId="3" fontId="12" fillId="0" borderId="23" xfId="0" applyNumberFormat="1" applyFont="1" applyBorder="1" applyAlignment="1">
      <alignment horizontal="center"/>
    </xf>
    <xf numFmtId="4" fontId="12" fillId="0" borderId="23" xfId="1" applyNumberFormat="1" applyFont="1" applyFill="1" applyBorder="1" applyAlignment="1">
      <alignment horizontal="center"/>
    </xf>
    <xf numFmtId="175" fontId="12" fillId="0" borderId="23" xfId="1" applyNumberFormat="1" applyFont="1" applyBorder="1" applyAlignment="1">
      <alignment horizontal="center"/>
    </xf>
    <xf numFmtId="4" fontId="12" fillId="0" borderId="23" xfId="2" applyNumberFormat="1" applyFont="1" applyFill="1" applyBorder="1" applyAlignment="1">
      <alignment horizontal="center"/>
    </xf>
    <xf numFmtId="175" fontId="12" fillId="0" borderId="23" xfId="2" applyNumberFormat="1" applyFont="1" applyFill="1" applyBorder="1" applyAlignment="1">
      <alignment horizontal="center"/>
    </xf>
    <xf numFmtId="167" fontId="12" fillId="0" borderId="23" xfId="2" applyNumberFormat="1" applyFont="1" applyBorder="1" applyAlignment="1">
      <alignment horizontal="center"/>
    </xf>
    <xf numFmtId="167" fontId="12" fillId="0" borderId="32" xfId="2" applyNumberFormat="1" applyFont="1" applyBorder="1" applyAlignment="1">
      <alignment horizontal="center"/>
    </xf>
    <xf numFmtId="0" fontId="2" fillId="0" borderId="23" xfId="0" applyFont="1" applyBorder="1"/>
    <xf numFmtId="10" fontId="7" fillId="6" borderId="31" xfId="1" applyNumberFormat="1" applyFont="1" applyFill="1" applyBorder="1" applyAlignment="1">
      <alignment horizontal="center"/>
    </xf>
    <xf numFmtId="0" fontId="19" fillId="0" borderId="0" xfId="0" applyFont="1"/>
    <xf numFmtId="168" fontId="19" fillId="0" borderId="0" xfId="1" applyNumberFormat="1" applyFont="1"/>
    <xf numFmtId="164" fontId="0" fillId="0" borderId="29" xfId="12" applyFont="1" applyBorder="1"/>
    <xf numFmtId="164" fontId="0" fillId="0" borderId="30" xfId="12" applyFont="1" applyBorder="1"/>
    <xf numFmtId="165" fontId="12" fillId="7" borderId="11" xfId="2" applyFont="1" applyFill="1" applyBorder="1"/>
    <xf numFmtId="0" fontId="12" fillId="7" borderId="18" xfId="0" applyFont="1" applyFill="1" applyBorder="1"/>
    <xf numFmtId="0" fontId="3" fillId="7" borderId="0" xfId="0" applyFont="1" applyFill="1"/>
    <xf numFmtId="0" fontId="3" fillId="7" borderId="19" xfId="0" applyFont="1" applyFill="1" applyBorder="1"/>
    <xf numFmtId="165" fontId="12" fillId="7" borderId="20" xfId="2" applyFont="1" applyFill="1" applyBorder="1"/>
    <xf numFmtId="166" fontId="12" fillId="7" borderId="11" xfId="2" applyNumberFormat="1" applyFont="1" applyFill="1" applyBorder="1"/>
    <xf numFmtId="0" fontId="3" fillId="7" borderId="10" xfId="0" applyFont="1" applyFill="1" applyBorder="1"/>
    <xf numFmtId="166" fontId="3" fillId="7" borderId="11" xfId="2" applyNumberFormat="1" applyFont="1" applyFill="1" applyBorder="1"/>
    <xf numFmtId="0" fontId="3" fillId="7" borderId="11" xfId="0" applyFont="1" applyFill="1" applyBorder="1"/>
    <xf numFmtId="0" fontId="12" fillId="7" borderId="11" xfId="0" applyFont="1" applyFill="1" applyBorder="1"/>
    <xf numFmtId="43" fontId="12" fillId="7" borderId="11" xfId="0" applyNumberFormat="1" applyFont="1" applyFill="1" applyBorder="1"/>
    <xf numFmtId="167" fontId="12" fillId="7" borderId="26" xfId="2" applyNumberFormat="1" applyFont="1" applyFill="1" applyBorder="1"/>
    <xf numFmtId="0" fontId="12" fillId="7" borderId="27" xfId="0" applyFont="1" applyFill="1" applyBorder="1"/>
    <xf numFmtId="0" fontId="3" fillId="7" borderId="26" xfId="0" applyFont="1" applyFill="1" applyBorder="1"/>
    <xf numFmtId="0" fontId="3" fillId="7" borderId="25" xfId="0" applyFont="1" applyFill="1" applyBorder="1"/>
    <xf numFmtId="0" fontId="0" fillId="0" borderId="0" xfId="0" quotePrefix="1"/>
    <xf numFmtId="165" fontId="0" fillId="0" borderId="0" xfId="0" applyNumberFormat="1"/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wrapText="1"/>
    </xf>
    <xf numFmtId="5" fontId="0" fillId="0" borderId="0" xfId="12" applyNumberFormat="1" applyFont="1"/>
    <xf numFmtId="0" fontId="2" fillId="0" borderId="24" xfId="0" applyFont="1" applyBorder="1"/>
    <xf numFmtId="0" fontId="2" fillId="0" borderId="9" xfId="0" applyFont="1" applyBorder="1"/>
    <xf numFmtId="177" fontId="0" fillId="0" borderId="0" xfId="7" applyNumberFormat="1" applyFont="1" applyAlignment="1" applyProtection="1"/>
    <xf numFmtId="10" fontId="0" fillId="8" borderId="9" xfId="1" applyNumberFormat="1" applyFont="1" applyFill="1" applyBorder="1" applyAlignment="1">
      <alignment horizontal="center"/>
    </xf>
    <xf numFmtId="0" fontId="0" fillId="8" borderId="0" xfId="0" applyFill="1"/>
    <xf numFmtId="0" fontId="0" fillId="3" borderId="0" xfId="0" applyFill="1"/>
    <xf numFmtId="171" fontId="13" fillId="3" borderId="9" xfId="6" applyNumberFormat="1" applyFont="1" applyFill="1" applyBorder="1"/>
    <xf numFmtId="167" fontId="0" fillId="3" borderId="17" xfId="2" applyNumberFormat="1" applyFont="1" applyFill="1" applyBorder="1"/>
    <xf numFmtId="0" fontId="0" fillId="9" borderId="0" xfId="0" applyFill="1"/>
    <xf numFmtId="167" fontId="0" fillId="3" borderId="31" xfId="0" applyNumberFormat="1" applyFill="1" applyBorder="1"/>
    <xf numFmtId="165" fontId="0" fillId="9" borderId="9" xfId="2" applyFont="1" applyFill="1" applyBorder="1"/>
    <xf numFmtId="166" fontId="0" fillId="9" borderId="9" xfId="2" applyNumberFormat="1" applyFont="1" applyFill="1" applyBorder="1"/>
    <xf numFmtId="167" fontId="0" fillId="9" borderId="9" xfId="2" applyNumberFormat="1" applyFont="1" applyFill="1" applyBorder="1"/>
    <xf numFmtId="167" fontId="0" fillId="9" borderId="31" xfId="0" applyNumberFormat="1" applyFill="1" applyBorder="1"/>
    <xf numFmtId="3" fontId="0" fillId="0" borderId="0" xfId="0" applyNumberFormat="1"/>
    <xf numFmtId="0" fontId="10" fillId="0" borderId="5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1" fontId="12" fillId="3" borderId="9" xfId="11" applyNumberFormat="1" applyFont="1" applyFill="1" applyBorder="1" applyAlignment="1">
      <alignment horizontal="center"/>
    </xf>
    <xf numFmtId="167" fontId="0" fillId="0" borderId="0" xfId="0" applyNumberFormat="1"/>
    <xf numFmtId="10" fontId="2" fillId="0" borderId="0" xfId="0" applyNumberFormat="1" applyFont="1"/>
    <xf numFmtId="0" fontId="2" fillId="0" borderId="9" xfId="0" applyFont="1" applyBorder="1" applyAlignment="1">
      <alignment horizontal="center" wrapText="1"/>
    </xf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20" fillId="0" borderId="9" xfId="0" applyFont="1" applyBorder="1"/>
    <xf numFmtId="0" fontId="0" fillId="0" borderId="9" xfId="0" quotePrefix="1" applyBorder="1"/>
    <xf numFmtId="10" fontId="0" fillId="0" borderId="9" xfId="9" applyNumberFormat="1" applyFont="1" applyFill="1" applyBorder="1" applyProtection="1"/>
    <xf numFmtId="177" fontId="0" fillId="0" borderId="9" xfId="7" applyNumberFormat="1" applyFont="1" applyFill="1" applyBorder="1" applyProtection="1"/>
    <xf numFmtId="177" fontId="0" fillId="0" borderId="9" xfId="7" applyNumberFormat="1" applyFont="1" applyBorder="1" applyProtection="1"/>
    <xf numFmtId="10" fontId="0" fillId="0" borderId="9" xfId="9" applyNumberFormat="1" applyFont="1" applyBorder="1" applyProtection="1"/>
    <xf numFmtId="168" fontId="0" fillId="0" borderId="9" xfId="9" applyNumberFormat="1" applyFont="1" applyBorder="1" applyProtection="1"/>
    <xf numFmtId="177" fontId="0" fillId="0" borderId="9" xfId="0" applyNumberFormat="1" applyBorder="1"/>
    <xf numFmtId="10" fontId="0" fillId="0" borderId="9" xfId="0" applyNumberFormat="1" applyBorder="1"/>
    <xf numFmtId="0" fontId="17" fillId="10" borderId="9" xfId="0" applyFont="1" applyFill="1" applyBorder="1" applyAlignment="1">
      <alignment vertical="center"/>
    </xf>
    <xf numFmtId="10" fontId="0" fillId="6" borderId="9" xfId="9" applyNumberFormat="1" applyFont="1" applyFill="1" applyBorder="1" applyProtection="1"/>
    <xf numFmtId="10" fontId="0" fillId="0" borderId="0" xfId="0" applyNumberFormat="1"/>
    <xf numFmtId="0" fontId="17" fillId="0" borderId="9" xfId="0" applyFont="1" applyBorder="1" applyAlignment="1">
      <alignment horizontal="center" vertical="center"/>
    </xf>
    <xf numFmtId="0" fontId="17" fillId="11" borderId="9" xfId="0" applyFont="1" applyFill="1" applyBorder="1" applyAlignment="1">
      <alignment horizontal="center" vertical="center" wrapText="1"/>
    </xf>
    <xf numFmtId="0" fontId="21" fillId="0" borderId="9" xfId="0" applyFont="1" applyBorder="1"/>
    <xf numFmtId="0" fontId="22" fillId="0" borderId="9" xfId="0" applyFont="1" applyBorder="1"/>
    <xf numFmtId="177" fontId="0" fillId="0" borderId="9" xfId="7" applyNumberFormat="1" applyFont="1" applyFill="1" applyBorder="1" applyAlignment="1" applyProtection="1">
      <alignment vertical="top"/>
    </xf>
    <xf numFmtId="177" fontId="0" fillId="0" borderId="9" xfId="0" applyNumberFormat="1" applyBorder="1" applyAlignment="1">
      <alignment vertical="top"/>
    </xf>
    <xf numFmtId="177" fontId="22" fillId="0" borderId="9" xfId="0" applyNumberFormat="1" applyFont="1" applyBorder="1" applyAlignment="1">
      <alignment vertical="top"/>
    </xf>
    <xf numFmtId="177" fontId="13" fillId="0" borderId="9" xfId="0" applyNumberFormat="1" applyFont="1" applyBorder="1" applyAlignment="1">
      <alignment vertical="top"/>
    </xf>
    <xf numFmtId="0" fontId="23" fillId="0" borderId="9" xfId="0" applyFont="1" applyBorder="1"/>
    <xf numFmtId="177" fontId="0" fillId="0" borderId="9" xfId="7" applyNumberFormat="1" applyFont="1" applyBorder="1" applyAlignment="1" applyProtection="1">
      <alignment horizontal="center" vertical="top"/>
    </xf>
    <xf numFmtId="177" fontId="0" fillId="0" borderId="9" xfId="7" applyNumberFormat="1" applyFont="1" applyBorder="1" applyAlignment="1" applyProtection="1">
      <alignment horizontal="right" vertical="top"/>
    </xf>
    <xf numFmtId="0" fontId="0" fillId="0" borderId="9" xfId="0" applyBorder="1" applyAlignment="1">
      <alignment wrapText="1"/>
    </xf>
    <xf numFmtId="0" fontId="0" fillId="0" borderId="9" xfId="0" quotePrefix="1" applyBorder="1" applyAlignment="1">
      <alignment horizontal="right"/>
    </xf>
    <xf numFmtId="10" fontId="0" fillId="0" borderId="9" xfId="9" applyNumberFormat="1" applyFont="1" applyFill="1" applyBorder="1" applyAlignment="1" applyProtection="1">
      <alignment horizontal="right"/>
    </xf>
    <xf numFmtId="10" fontId="0" fillId="0" borderId="9" xfId="9" applyNumberFormat="1" applyFont="1" applyFill="1" applyBorder="1" applyAlignment="1" applyProtection="1"/>
    <xf numFmtId="10" fontId="0" fillId="0" borderId="9" xfId="9" applyNumberFormat="1" applyFont="1" applyBorder="1" applyAlignment="1" applyProtection="1"/>
    <xf numFmtId="0" fontId="20" fillId="0" borderId="0" xfId="0" applyFont="1" applyAlignment="1">
      <alignment wrapText="1"/>
    </xf>
    <xf numFmtId="164" fontId="0" fillId="0" borderId="9" xfId="12" applyFont="1" applyBorder="1"/>
    <xf numFmtId="177" fontId="0" fillId="0" borderId="9" xfId="12" applyNumberFormat="1" applyFont="1" applyBorder="1"/>
    <xf numFmtId="0" fontId="13" fillId="0" borderId="9" xfId="0" applyFont="1" applyBorder="1" applyAlignment="1">
      <alignment horizontal="left" indent="1"/>
    </xf>
    <xf numFmtId="0" fontId="20" fillId="0" borderId="9" xfId="0" applyFont="1" applyBorder="1" applyAlignment="1">
      <alignment wrapText="1"/>
    </xf>
    <xf numFmtId="0" fontId="0" fillId="0" borderId="17" xfId="0" quotePrefix="1" applyBorder="1" applyAlignment="1">
      <alignment horizontal="center"/>
    </xf>
    <xf numFmtId="0" fontId="0" fillId="0" borderId="17" xfId="0" applyBorder="1"/>
    <xf numFmtId="177" fontId="0" fillId="0" borderId="17" xfId="7" applyNumberFormat="1" applyFont="1" applyBorder="1" applyProtection="1"/>
    <xf numFmtId="177" fontId="0" fillId="0" borderId="17" xfId="0" applyNumberFormat="1" applyBorder="1"/>
    <xf numFmtId="0" fontId="17" fillId="11" borderId="17" xfId="0" applyFont="1" applyFill="1" applyBorder="1" applyAlignment="1">
      <alignment horizontal="center" vertical="center" wrapText="1"/>
    </xf>
    <xf numFmtId="0" fontId="22" fillId="0" borderId="17" xfId="0" applyFont="1" applyBorder="1"/>
    <xf numFmtId="177" fontId="0" fillId="6" borderId="17" xfId="7" applyNumberFormat="1" applyFont="1" applyFill="1" applyBorder="1" applyAlignment="1" applyProtection="1">
      <alignment vertical="top"/>
    </xf>
    <xf numFmtId="177" fontId="0" fillId="0" borderId="17" xfId="0" applyNumberFormat="1" applyBorder="1" applyAlignment="1">
      <alignment vertical="top"/>
    </xf>
    <xf numFmtId="177" fontId="0" fillId="0" borderId="17" xfId="7" applyNumberFormat="1" applyFont="1" applyFill="1" applyBorder="1" applyAlignment="1" applyProtection="1">
      <alignment vertical="top"/>
    </xf>
    <xf numFmtId="177" fontId="22" fillId="0" borderId="17" xfId="0" applyNumberFormat="1" applyFont="1" applyBorder="1" applyAlignment="1">
      <alignment vertical="top"/>
    </xf>
    <xf numFmtId="177" fontId="13" fillId="0" borderId="17" xfId="0" applyNumberFormat="1" applyFont="1" applyBorder="1" applyAlignment="1">
      <alignment vertical="top"/>
    </xf>
    <xf numFmtId="177" fontId="0" fillId="0" borderId="17" xfId="7" applyNumberFormat="1" applyFont="1" applyBorder="1" applyAlignment="1" applyProtection="1">
      <alignment horizontal="center" vertical="top"/>
    </xf>
    <xf numFmtId="177" fontId="0" fillId="0" borderId="17" xfId="7" applyNumberFormat="1" applyFont="1" applyBorder="1" applyAlignment="1" applyProtection="1">
      <alignment horizontal="right" vertical="top"/>
    </xf>
    <xf numFmtId="0" fontId="0" fillId="0" borderId="17" xfId="0" quotePrefix="1" applyBorder="1" applyAlignment="1">
      <alignment horizontal="right"/>
    </xf>
    <xf numFmtId="10" fontId="0" fillId="0" borderId="17" xfId="9" applyNumberFormat="1" applyFont="1" applyFill="1" applyBorder="1" applyAlignment="1" applyProtection="1">
      <alignment horizontal="right"/>
    </xf>
    <xf numFmtId="10" fontId="0" fillId="0" borderId="17" xfId="9" applyNumberFormat="1" applyFont="1" applyFill="1" applyBorder="1" applyAlignment="1" applyProtection="1"/>
    <xf numFmtId="10" fontId="0" fillId="0" borderId="17" xfId="9" applyNumberFormat="1" applyFont="1" applyBorder="1" applyAlignment="1" applyProtection="1"/>
    <xf numFmtId="164" fontId="0" fillId="0" borderId="17" xfId="12" applyFont="1" applyBorder="1"/>
    <xf numFmtId="177" fontId="0" fillId="0" borderId="17" xfId="12" applyNumberFormat="1" applyFont="1" applyBorder="1"/>
    <xf numFmtId="177" fontId="2" fillId="0" borderId="9" xfId="0" applyNumberFormat="1" applyFont="1" applyBorder="1"/>
    <xf numFmtId="0" fontId="17" fillId="0" borderId="0" xfId="0" applyFont="1" applyAlignment="1">
      <alignment vertical="center"/>
    </xf>
    <xf numFmtId="0" fontId="0" fillId="12" borderId="0" xfId="0" applyFill="1"/>
    <xf numFmtId="178" fontId="0" fillId="12" borderId="0" xfId="0" applyNumberFormat="1" applyFill="1"/>
    <xf numFmtId="168" fontId="0" fillId="0" borderId="0" xfId="1" applyNumberFormat="1" applyFont="1"/>
    <xf numFmtId="0" fontId="2" fillId="0" borderId="20" xfId="0" applyFont="1" applyBorder="1"/>
    <xf numFmtId="168" fontId="2" fillId="0" borderId="0" xfId="1" applyNumberFormat="1" applyFont="1"/>
    <xf numFmtId="179" fontId="2" fillId="0" borderId="0" xfId="0" applyNumberFormat="1" applyFont="1"/>
    <xf numFmtId="179" fontId="2" fillId="0" borderId="20" xfId="0" applyNumberFormat="1" applyFont="1" applyBorder="1"/>
    <xf numFmtId="164" fontId="2" fillId="0" borderId="23" xfId="12" applyFont="1" applyBorder="1" applyAlignment="1">
      <alignment horizontal="center"/>
    </xf>
    <xf numFmtId="10" fontId="1" fillId="0" borderId="9" xfId="1" applyNumberFormat="1" applyBorder="1" applyAlignment="1">
      <alignment horizontal="center"/>
    </xf>
    <xf numFmtId="10" fontId="2" fillId="0" borderId="23" xfId="0" applyNumberFormat="1" applyFont="1" applyBorder="1" applyAlignment="1">
      <alignment horizontal="center"/>
    </xf>
    <xf numFmtId="179" fontId="1" fillId="0" borderId="9" xfId="12" applyNumberFormat="1" applyBorder="1" applyAlignment="1">
      <alignment horizontal="center"/>
    </xf>
    <xf numFmtId="179" fontId="2" fillId="0" borderId="23" xfId="12" applyNumberFormat="1" applyFont="1" applyBorder="1" applyAlignment="1">
      <alignment horizontal="center"/>
    </xf>
    <xf numFmtId="179" fontId="0" fillId="0" borderId="0" xfId="12" applyNumberFormat="1" applyFont="1"/>
    <xf numFmtId="179" fontId="0" fillId="0" borderId="0" xfId="0" applyNumberFormat="1"/>
    <xf numFmtId="164" fontId="0" fillId="3" borderId="9" xfId="12" applyFont="1" applyFill="1" applyBorder="1" applyAlignment="1">
      <alignment horizontal="center"/>
    </xf>
    <xf numFmtId="9" fontId="0" fillId="8" borderId="9" xfId="1" applyFont="1" applyFill="1" applyBorder="1" applyAlignment="1">
      <alignment horizontal="center"/>
    </xf>
    <xf numFmtId="9" fontId="0" fillId="3" borderId="9" xfId="1" applyFont="1" applyFill="1" applyBorder="1" applyAlignment="1">
      <alignment horizontal="center"/>
    </xf>
    <xf numFmtId="9" fontId="0" fillId="3" borderId="9" xfId="1" applyFont="1" applyFill="1" applyBorder="1" applyAlignment="1" applyProtection="1">
      <alignment horizontal="center"/>
      <protection locked="0"/>
    </xf>
    <xf numFmtId="10" fontId="0" fillId="3" borderId="9" xfId="9" applyNumberFormat="1" applyFont="1" applyFill="1" applyBorder="1" applyAlignment="1" applyProtection="1">
      <alignment horizontal="center"/>
      <protection locked="0"/>
    </xf>
    <xf numFmtId="165" fontId="0" fillId="0" borderId="9" xfId="2" applyFont="1" applyFill="1" applyBorder="1"/>
    <xf numFmtId="166" fontId="0" fillId="0" borderId="9" xfId="2" applyNumberFormat="1" applyFont="1" applyFill="1" applyBorder="1"/>
    <xf numFmtId="179" fontId="0" fillId="9" borderId="9" xfId="12" applyNumberFormat="1" applyFont="1" applyFill="1" applyBorder="1"/>
    <xf numFmtId="179" fontId="0" fillId="3" borderId="9" xfId="12" applyNumberFormat="1" applyFont="1" applyFill="1" applyBorder="1" applyAlignment="1">
      <alignment horizontal="center"/>
    </xf>
    <xf numFmtId="5" fontId="3" fillId="0" borderId="0" xfId="0" applyNumberFormat="1" applyFont="1" applyAlignment="1">
      <alignment horizontal="right"/>
    </xf>
    <xf numFmtId="0" fontId="10" fillId="0" borderId="9" xfId="0" applyFont="1" applyBorder="1"/>
    <xf numFmtId="180" fontId="0" fillId="0" borderId="9" xfId="12" applyNumberFormat="1" applyFont="1" applyBorder="1"/>
    <xf numFmtId="167" fontId="12" fillId="0" borderId="9" xfId="0" applyNumberFormat="1" applyFont="1" applyBorder="1"/>
    <xf numFmtId="167" fontId="10" fillId="0" borderId="9" xfId="0" applyNumberFormat="1" applyFont="1" applyBorder="1"/>
    <xf numFmtId="3" fontId="0" fillId="0" borderId="9" xfId="0" applyNumberFormat="1" applyBorder="1" applyAlignment="1">
      <alignment horizontal="center"/>
    </xf>
    <xf numFmtId="167" fontId="0" fillId="0" borderId="9" xfId="2" applyNumberFormat="1" applyFont="1" applyFill="1" applyBorder="1"/>
    <xf numFmtId="9" fontId="0" fillId="0" borderId="9" xfId="1" applyFont="1" applyFill="1" applyBorder="1" applyAlignment="1">
      <alignment horizontal="center"/>
    </xf>
    <xf numFmtId="171" fontId="13" fillId="0" borderId="9" xfId="6" applyNumberFormat="1" applyFont="1" applyFill="1" applyBorder="1"/>
    <xf numFmtId="167" fontId="0" fillId="0" borderId="17" xfId="2" applyNumberFormat="1" applyFont="1" applyFill="1" applyBorder="1"/>
    <xf numFmtId="9" fontId="0" fillId="0" borderId="9" xfId="1" applyFont="1" applyFill="1" applyBorder="1" applyAlignment="1" applyProtection="1">
      <alignment horizontal="center"/>
      <protection locked="0"/>
    </xf>
    <xf numFmtId="167" fontId="12" fillId="0" borderId="53" xfId="0" applyNumberFormat="1" applyFont="1" applyBorder="1"/>
    <xf numFmtId="10" fontId="2" fillId="0" borderId="9" xfId="0" applyNumberFormat="1" applyFont="1" applyBorder="1"/>
    <xf numFmtId="171" fontId="0" fillId="0" borderId="9" xfId="11" applyNumberFormat="1" applyFont="1" applyBorder="1"/>
    <xf numFmtId="171" fontId="2" fillId="0" borderId="9" xfId="11" applyNumberFormat="1" applyFont="1" applyBorder="1"/>
    <xf numFmtId="179" fontId="25" fillId="0" borderId="9" xfId="0" applyNumberFormat="1" applyFont="1" applyBorder="1"/>
    <xf numFmtId="164" fontId="12" fillId="0" borderId="0" xfId="12" applyFont="1" applyAlignment="1">
      <alignment horizontal="center"/>
    </xf>
    <xf numFmtId="0" fontId="10" fillId="0" borderId="0" xfId="0" applyFont="1"/>
    <xf numFmtId="0" fontId="7" fillId="0" borderId="0" xfId="0" applyFont="1"/>
    <xf numFmtId="164" fontId="10" fillId="0" borderId="0" xfId="12" applyFont="1" applyAlignment="1">
      <alignment horizontal="center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10" fontId="25" fillId="0" borderId="31" xfId="1" applyNumberFormat="1" applyFont="1" applyBorder="1"/>
    <xf numFmtId="0" fontId="0" fillId="0" borderId="23" xfId="0" applyBorder="1"/>
    <xf numFmtId="179" fontId="25" fillId="0" borderId="23" xfId="0" applyNumberFormat="1" applyFont="1" applyBorder="1"/>
    <xf numFmtId="10" fontId="25" fillId="0" borderId="32" xfId="1" applyNumberFormat="1" applyFont="1" applyBorder="1"/>
    <xf numFmtId="179" fontId="1" fillId="0" borderId="31" xfId="12" applyNumberFormat="1" applyBorder="1" applyAlignment="1">
      <alignment horizontal="center"/>
    </xf>
    <xf numFmtId="179" fontId="2" fillId="0" borderId="32" xfId="12" applyNumberFormat="1" applyFont="1" applyBorder="1" applyAlignment="1">
      <alignment horizontal="center"/>
    </xf>
    <xf numFmtId="0" fontId="24" fillId="0" borderId="56" xfId="0" applyFont="1" applyBorder="1" applyAlignment="1">
      <alignment horizontal="center" vertical="center" wrapText="1"/>
    </xf>
    <xf numFmtId="179" fontId="25" fillId="0" borderId="35" xfId="0" applyNumberFormat="1" applyFont="1" applyBorder="1"/>
    <xf numFmtId="165" fontId="25" fillId="0" borderId="35" xfId="0" applyNumberFormat="1" applyFont="1" applyBorder="1"/>
    <xf numFmtId="179" fontId="25" fillId="0" borderId="41" xfId="0" applyNumberFormat="1" applyFont="1" applyBorder="1"/>
    <xf numFmtId="0" fontId="17" fillId="0" borderId="28" xfId="0" applyFont="1" applyBorder="1" applyAlignment="1">
      <alignment horizontal="center" vertical="center" wrapText="1"/>
    </xf>
    <xf numFmtId="179" fontId="1" fillId="0" borderId="16" xfId="12" applyNumberFormat="1" applyBorder="1" applyAlignment="1">
      <alignment horizontal="center"/>
    </xf>
    <xf numFmtId="179" fontId="1" fillId="0" borderId="31" xfId="12" applyNumberFormat="1" applyFill="1" applyBorder="1" applyAlignment="1">
      <alignment horizontal="center"/>
    </xf>
    <xf numFmtId="164" fontId="0" fillId="0" borderId="31" xfId="12" applyFont="1" applyBorder="1"/>
    <xf numFmtId="174" fontId="0" fillId="0" borderId="31" xfId="12" applyNumberFormat="1" applyFont="1" applyBorder="1"/>
    <xf numFmtId="179" fontId="2" fillId="0" borderId="22" xfId="12" applyNumberFormat="1" applyFont="1" applyBorder="1" applyAlignment="1">
      <alignment horizontal="center"/>
    </xf>
    <xf numFmtId="0" fontId="0" fillId="0" borderId="32" xfId="0" applyBorder="1"/>
    <xf numFmtId="164" fontId="0" fillId="0" borderId="0" xfId="12" applyFont="1"/>
    <xf numFmtId="0" fontId="7" fillId="0" borderId="22" xfId="0" applyFont="1" applyBorder="1" applyAlignment="1">
      <alignment wrapText="1"/>
    </xf>
    <xf numFmtId="177" fontId="0" fillId="0" borderId="0" xfId="0" applyNumberFormat="1"/>
    <xf numFmtId="180" fontId="2" fillId="0" borderId="9" xfId="0" applyNumberFormat="1" applyFont="1" applyBorder="1"/>
    <xf numFmtId="164" fontId="2" fillId="0" borderId="9" xfId="12" applyFont="1" applyBorder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15" fontId="4" fillId="7" borderId="0" xfId="0" quotePrefix="1" applyNumberFormat="1" applyFont="1" applyFill="1" applyAlignment="1">
      <alignment horizontal="center" wrapText="1"/>
    </xf>
    <xf numFmtId="0" fontId="4" fillId="7" borderId="0" xfId="0" quotePrefix="1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17" fillId="10" borderId="9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7" fillId="10" borderId="11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5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6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2" fillId="0" borderId="34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wrapText="1"/>
    </xf>
    <xf numFmtId="0" fontId="10" fillId="0" borderId="34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17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1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19">
    <cellStyle name="Comma" xfId="11" builtinId="3"/>
    <cellStyle name="Comma 2" xfId="2" xr:uid="{7BE898D3-340C-4B9E-A1F6-C757EE20C23B}"/>
    <cellStyle name="Comma 2 11" xfId="6" xr:uid="{877D0614-2CC4-4242-81EB-95D752FB48CF}"/>
    <cellStyle name="Comma 2 11 2" xfId="15" xr:uid="{1BB387AF-3CDB-4BC5-9E1D-856BA91D9466}"/>
    <cellStyle name="Comma 2 2" xfId="13" xr:uid="{3AFD7B77-B262-41D9-BCA4-04446AAF0B05}"/>
    <cellStyle name="Comma 3" xfId="8" xr:uid="{974591EE-19F2-4158-931B-B8A3B260F9CE}"/>
    <cellStyle name="Comma 4" xfId="17" xr:uid="{2C8FDFC3-D276-4268-BA5D-B38D391D5841}"/>
    <cellStyle name="Currency" xfId="12" builtinId="4"/>
    <cellStyle name="Currency 2" xfId="3" xr:uid="{732C39E1-518E-4DE7-ADAD-AE5E6BC9C08B}"/>
    <cellStyle name="Currency 2 10" xfId="7" xr:uid="{CA904D9A-663F-4E4C-962F-2F88BCB59405}"/>
    <cellStyle name="Currency 2 10 2" xfId="16" xr:uid="{01848BC4-672D-436A-BFA0-39EE0BDBA8BE}"/>
    <cellStyle name="Currency 2 2" xfId="14" xr:uid="{99427D32-2AFF-447A-BFFF-2E69B8183E36}"/>
    <cellStyle name="Currency 3" xfId="18" xr:uid="{E84073C0-0F39-477D-BBF2-D1F033C00151}"/>
    <cellStyle name="Normal" xfId="0" builtinId="0"/>
    <cellStyle name="Normal 2 2 3" xfId="4" xr:uid="{58841765-0DA8-41B1-B85C-E1B0E71F54CB}"/>
    <cellStyle name="Normal 76" xfId="5" xr:uid="{8097078B-F0B8-486B-A4AD-BDC9C88CC75A}"/>
    <cellStyle name="Percent" xfId="1" builtinId="5"/>
    <cellStyle name="Percent 10 2 2" xfId="9" xr:uid="{937C59EE-86CA-4EF2-9B83-BBE37C02ED7D}"/>
    <cellStyle name="Percent 2" xfId="10" xr:uid="{F717EAAD-4A70-4375-B8DB-5DE5D89B5250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" name="Picture 1" descr="Algoma Power_logo">
          <a:extLst>
            <a:ext uri="{FF2B5EF4-FFF2-40B4-BE49-F238E27FC236}">
              <a16:creationId xmlns:a16="http://schemas.microsoft.com/office/drawing/2014/main" id="{85516A2B-2EEF-449F-9EC9-E241E128A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1638300"/>
          <a:ext cx="28575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48C5-14DD-474D-8760-7C8E52D64281}">
  <sheetPr>
    <tabColor theme="9"/>
  </sheetPr>
  <dimension ref="B20:I34"/>
  <sheetViews>
    <sheetView view="pageBreakPreview" zoomScale="60" zoomScaleNormal="100" workbookViewId="0">
      <selection activeCell="B26" sqref="B26:I26"/>
    </sheetView>
  </sheetViews>
  <sheetFormatPr defaultColWidth="9.140625" defaultRowHeight="15" x14ac:dyDescent="0.25"/>
  <cols>
    <col min="1" max="1" width="5" customWidth="1"/>
    <col min="2" max="2" width="18.7109375" customWidth="1"/>
    <col min="9" max="9" width="47" customWidth="1"/>
  </cols>
  <sheetData>
    <row r="20" spans="2:9" ht="33.75" x14ac:dyDescent="0.5">
      <c r="B20" s="330" t="s">
        <v>0</v>
      </c>
      <c r="C20" s="330"/>
      <c r="D20" s="330"/>
      <c r="E20" s="330"/>
      <c r="F20" s="330"/>
      <c r="G20" s="330"/>
      <c r="H20" s="330"/>
      <c r="I20" s="330"/>
    </row>
    <row r="21" spans="2:9" ht="33.75" x14ac:dyDescent="0.5">
      <c r="B21" s="330" t="s">
        <v>185</v>
      </c>
      <c r="C21" s="330"/>
      <c r="D21" s="330"/>
      <c r="E21" s="330"/>
      <c r="F21" s="330"/>
      <c r="G21" s="330"/>
      <c r="H21" s="330"/>
      <c r="I21" s="330"/>
    </row>
    <row r="22" spans="2:9" ht="33.75" x14ac:dyDescent="0.5">
      <c r="B22" s="330" t="s">
        <v>1</v>
      </c>
      <c r="C22" s="330"/>
      <c r="D22" s="330"/>
      <c r="E22" s="330"/>
      <c r="F22" s="330"/>
      <c r="G22" s="330"/>
      <c r="H22" s="330"/>
      <c r="I22" s="330"/>
    </row>
    <row r="25" spans="2:9" ht="31.5" x14ac:dyDescent="0.5">
      <c r="B25" s="336" t="s">
        <v>2</v>
      </c>
      <c r="C25" s="336"/>
      <c r="D25" s="336"/>
      <c r="E25" s="336"/>
      <c r="F25" s="336"/>
      <c r="G25" s="336"/>
      <c r="H25" s="336"/>
      <c r="I25" s="336"/>
    </row>
    <row r="26" spans="2:9" ht="33.75" x14ac:dyDescent="0.5">
      <c r="B26" s="330" t="s">
        <v>89</v>
      </c>
      <c r="C26" s="330"/>
      <c r="D26" s="330"/>
      <c r="E26" s="330"/>
      <c r="F26" s="330"/>
      <c r="G26" s="330"/>
      <c r="H26" s="330"/>
      <c r="I26" s="330"/>
    </row>
    <row r="27" spans="2:9" ht="33.75" x14ac:dyDescent="0.5">
      <c r="B27" s="330"/>
      <c r="C27" s="331"/>
      <c r="D27" s="331"/>
      <c r="E27" s="331"/>
      <c r="F27" s="331"/>
      <c r="G27" s="331"/>
      <c r="H27" s="331"/>
      <c r="I27" s="331"/>
    </row>
    <row r="28" spans="2:9" ht="33.75" x14ac:dyDescent="0.5">
      <c r="B28" s="332"/>
      <c r="C28" s="333"/>
      <c r="D28" s="333"/>
      <c r="E28" s="333"/>
      <c r="F28" s="333"/>
      <c r="G28" s="333"/>
      <c r="H28" s="333"/>
      <c r="I28" s="333"/>
    </row>
    <row r="29" spans="2:9" ht="33.75" x14ac:dyDescent="0.5">
      <c r="B29" s="334" t="s">
        <v>186</v>
      </c>
      <c r="C29" s="335"/>
      <c r="D29" s="335"/>
      <c r="E29" s="335"/>
      <c r="F29" s="335"/>
      <c r="G29" s="335"/>
      <c r="H29" s="335"/>
      <c r="I29" s="335"/>
    </row>
    <row r="30" spans="2:9" x14ac:dyDescent="0.25">
      <c r="C30" s="161"/>
    </row>
    <row r="32" spans="2:9" x14ac:dyDescent="0.25">
      <c r="B32" s="1"/>
    </row>
    <row r="33" spans="2:2" x14ac:dyDescent="0.25">
      <c r="B33" s="1"/>
    </row>
    <row r="34" spans="2:2" x14ac:dyDescent="0.25">
      <c r="B34" s="1"/>
    </row>
  </sheetData>
  <mergeCells count="8">
    <mergeCell ref="B27:I27"/>
    <mergeCell ref="B28:I28"/>
    <mergeCell ref="B29:I29"/>
    <mergeCell ref="B20:I20"/>
    <mergeCell ref="B21:I21"/>
    <mergeCell ref="B22:I22"/>
    <mergeCell ref="B25:I25"/>
    <mergeCell ref="B26:I26"/>
  </mergeCells>
  <pageMargins left="0.7" right="0.7" top="0.75" bottom="0.75" header="0.3" footer="0.3"/>
  <pageSetup scale="7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64E9-2019-4699-98F5-96F159A60E67}">
  <sheetPr>
    <tabColor theme="9" tint="0.79998168889431442"/>
    <pageSetUpPr fitToPage="1"/>
  </sheetPr>
  <dimension ref="B2:M12"/>
  <sheetViews>
    <sheetView view="pageBreakPreview" zoomScale="60" zoomScaleNormal="100" workbookViewId="0">
      <selection activeCell="K11" sqref="K11"/>
    </sheetView>
  </sheetViews>
  <sheetFormatPr defaultColWidth="9.140625" defaultRowHeight="15" x14ac:dyDescent="0.25"/>
  <cols>
    <col min="1" max="1" width="2.85546875" customWidth="1"/>
    <col min="2" max="2" width="41.42578125" bestFit="1" customWidth="1"/>
    <col min="3" max="3" width="9.42578125" bestFit="1" customWidth="1"/>
    <col min="4" max="4" width="31.140625" bestFit="1" customWidth="1"/>
    <col min="5" max="5" width="10.42578125" bestFit="1" customWidth="1"/>
    <col min="6" max="6" width="11.28515625" bestFit="1" customWidth="1"/>
    <col min="7" max="7" width="38" bestFit="1" customWidth="1"/>
    <col min="8" max="9" width="11.28515625" bestFit="1" customWidth="1"/>
    <col min="10" max="10" width="14.7109375" bestFit="1" customWidth="1"/>
    <col min="11" max="11" width="12.5703125" bestFit="1" customWidth="1"/>
    <col min="12" max="12" width="14.7109375" bestFit="1" customWidth="1"/>
    <col min="13" max="13" width="10.7109375" bestFit="1" customWidth="1"/>
  </cols>
  <sheetData>
    <row r="2" spans="2:13" ht="15.75" x14ac:dyDescent="0.25">
      <c r="B2" s="337" t="s">
        <v>55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54"/>
    </row>
    <row r="3" spans="2:13" ht="15.75" thickBot="1" x14ac:dyDescent="0.3"/>
    <row r="4" spans="2:13" x14ac:dyDescent="0.25">
      <c r="B4" s="432" t="s">
        <v>111</v>
      </c>
      <c r="C4" s="433"/>
      <c r="D4" s="433"/>
      <c r="E4" s="433"/>
      <c r="F4" s="433"/>
      <c r="G4" s="433"/>
      <c r="H4" s="433"/>
      <c r="I4" s="433"/>
      <c r="J4" s="433"/>
      <c r="K4" s="433"/>
      <c r="L4" s="434"/>
      <c r="M4" s="59"/>
    </row>
    <row r="5" spans="2:13" x14ac:dyDescent="0.25">
      <c r="B5" s="435" t="s">
        <v>24</v>
      </c>
      <c r="C5" s="428" t="s">
        <v>6</v>
      </c>
      <c r="D5" s="436" t="s">
        <v>25</v>
      </c>
      <c r="E5" s="437" t="s">
        <v>30</v>
      </c>
      <c r="F5" s="439" t="s">
        <v>184</v>
      </c>
      <c r="G5" s="440"/>
      <c r="H5" s="381" t="s">
        <v>106</v>
      </c>
      <c r="I5" s="382"/>
      <c r="J5" s="381" t="s">
        <v>107</v>
      </c>
      <c r="K5" s="383"/>
      <c r="L5" s="384"/>
      <c r="M5" s="59"/>
    </row>
    <row r="6" spans="2:13" ht="45" x14ac:dyDescent="0.25">
      <c r="B6" s="435"/>
      <c r="C6" s="428"/>
      <c r="D6" s="436"/>
      <c r="E6" s="438"/>
      <c r="F6" s="41" t="s">
        <v>8</v>
      </c>
      <c r="G6" s="41" t="s">
        <v>34</v>
      </c>
      <c r="H6" s="41" t="s">
        <v>8</v>
      </c>
      <c r="I6" s="41" t="s">
        <v>34</v>
      </c>
      <c r="J6" s="41" t="s">
        <v>35</v>
      </c>
      <c r="K6" s="41" t="s">
        <v>36</v>
      </c>
      <c r="L6" s="42" t="s">
        <v>37</v>
      </c>
    </row>
    <row r="7" spans="2:13" x14ac:dyDescent="0.25">
      <c r="B7" s="43" t="s">
        <v>83</v>
      </c>
      <c r="C7" s="115" t="s">
        <v>30</v>
      </c>
      <c r="D7" s="60">
        <f>'2025 COS Eq Rates and Revenue'!D18</f>
        <v>2719</v>
      </c>
      <c r="E7" s="60">
        <f>'2025 COS Eq Rates and Revenue'!E18</f>
        <v>5961327.3980811778</v>
      </c>
      <c r="F7" s="134">
        <f>'2025 COS Eq Rates and Revenue'!M7</f>
        <v>98.087050429307865</v>
      </c>
      <c r="G7" s="135">
        <f>'2025 COS Eq Rates and Revenue'!N7</f>
        <v>4.5501667108830975E-2</v>
      </c>
      <c r="H7" s="143">
        <f>ROUND(F7*(1+'IRM Adjustment Factor'!D7),2)</f>
        <v>101.13</v>
      </c>
      <c r="I7" s="144">
        <f>ROUND(G7*(1+'IRM Adjustment Factor'!D7),4)</f>
        <v>4.6899999999999997E-2</v>
      </c>
      <c r="J7" s="132">
        <f>D7*H7*12</f>
        <v>3299669.6399999997</v>
      </c>
      <c r="K7" s="132">
        <f>E7*I7</f>
        <v>279586.25497000723</v>
      </c>
      <c r="L7" s="133">
        <f>SUM(J7:K7)</f>
        <v>3579255.8949700068</v>
      </c>
    </row>
    <row r="8" spans="2:13" ht="15.75" thickBot="1" x14ac:dyDescent="0.3">
      <c r="B8" s="151" t="s">
        <v>16</v>
      </c>
      <c r="C8" s="108" t="s">
        <v>30</v>
      </c>
      <c r="D8" s="152">
        <f>'2025 COS Eq Rates and Revenue'!D19</f>
        <v>1129</v>
      </c>
      <c r="E8" s="152">
        <f>'2025 COS Eq Rates and Revenue'!E19</f>
        <v>536180.1972169095</v>
      </c>
      <c r="F8" s="153">
        <f>'2025 COS Eq Rates and Revenue'!M8</f>
        <v>2.2183761661457897</v>
      </c>
      <c r="G8" s="154">
        <f>'2025 COS Eq Rates and Revenue'!N8</f>
        <v>0.35834665838247848</v>
      </c>
      <c r="H8" s="155">
        <f>ROUND(F8*(1+'IRM Adjustment Factor'!D7),2)</f>
        <v>2.29</v>
      </c>
      <c r="I8" s="156">
        <f>ROUND(G8*(1+'IRM Adjustment Factor'!D7),4)</f>
        <v>0.3695</v>
      </c>
      <c r="J8" s="157">
        <f>D8*H8*12</f>
        <v>31024.92</v>
      </c>
      <c r="K8" s="157">
        <f>E8*I8</f>
        <v>198118.58287164805</v>
      </c>
      <c r="L8" s="158">
        <f>SUM(J8:K8)</f>
        <v>229143.50287164806</v>
      </c>
    </row>
    <row r="9" spans="2:13" ht="15.75" hidden="1" thickBot="1" x14ac:dyDescent="0.3">
      <c r="B9" s="145" t="s">
        <v>39</v>
      </c>
      <c r="C9" s="146"/>
      <c r="D9" s="147">
        <f>SUM(D7:D8)</f>
        <v>3848</v>
      </c>
      <c r="E9" s="147">
        <f>SUM(E7:E8)</f>
        <v>6497507.5952980872</v>
      </c>
      <c r="F9" s="148"/>
      <c r="G9" s="148"/>
      <c r="H9" s="148"/>
      <c r="I9" s="148"/>
      <c r="J9" s="149">
        <f>J7+J8</f>
        <v>3330694.5599999996</v>
      </c>
      <c r="K9" s="149">
        <f>K7+K8</f>
        <v>477704.83784165524</v>
      </c>
      <c r="L9" s="150">
        <f>L7+L8</f>
        <v>3808399.3978416547</v>
      </c>
    </row>
    <row r="10" spans="2:13" x14ac:dyDescent="0.25">
      <c r="G10" s="161" t="s">
        <v>78</v>
      </c>
      <c r="H10" s="161"/>
      <c r="I10" s="161"/>
    </row>
    <row r="11" spans="2:13" x14ac:dyDescent="0.25">
      <c r="G11" s="161" t="s">
        <v>15</v>
      </c>
      <c r="H11" s="162">
        <f>H7/F7</f>
        <v>1.0310229490781273</v>
      </c>
      <c r="I11" s="162">
        <f>I7/G7</f>
        <v>1.0307314650213693</v>
      </c>
    </row>
    <row r="12" spans="2:13" x14ac:dyDescent="0.25">
      <c r="G12" s="161" t="s">
        <v>16</v>
      </c>
      <c r="H12" s="162">
        <f>H8/F8</f>
        <v>1.0322866044754933</v>
      </c>
      <c r="I12" s="162">
        <f>I8/G8</f>
        <v>1.0311244471146068</v>
      </c>
    </row>
  </sheetData>
  <mergeCells count="9">
    <mergeCell ref="B2:L2"/>
    <mergeCell ref="B4:L4"/>
    <mergeCell ref="B5:B6"/>
    <mergeCell ref="C5:C6"/>
    <mergeCell ref="D5:D6"/>
    <mergeCell ref="E5:E6"/>
    <mergeCell ref="F5:G5"/>
    <mergeCell ref="J5:L5"/>
    <mergeCell ref="H5:I5"/>
  </mergeCells>
  <pageMargins left="0.7" right="0.7" top="0.75" bottom="0.75" header="0.3" footer="0.3"/>
  <pageSetup scale="5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AE17-E022-42C7-8062-45D3B1C6C683}">
  <sheetPr>
    <tabColor theme="9" tint="0.79998168889431442"/>
    <pageSetUpPr fitToPage="1"/>
  </sheetPr>
  <dimension ref="B2:L32"/>
  <sheetViews>
    <sheetView view="pageBreakPreview" zoomScale="60" zoomScaleNormal="80" workbookViewId="0">
      <selection activeCell="K27" sqref="K27"/>
    </sheetView>
  </sheetViews>
  <sheetFormatPr defaultColWidth="9.140625" defaultRowHeight="15" x14ac:dyDescent="0.25"/>
  <cols>
    <col min="1" max="1" width="2.140625" customWidth="1"/>
    <col min="2" max="2" width="19.140625" bestFit="1" customWidth="1"/>
    <col min="3" max="3" width="12.85546875" customWidth="1"/>
    <col min="4" max="4" width="12.140625" bestFit="1" customWidth="1"/>
    <col min="5" max="5" width="13" customWidth="1"/>
    <col min="6" max="6" width="10" bestFit="1" customWidth="1"/>
    <col min="7" max="9" width="10.85546875" bestFit="1" customWidth="1"/>
    <col min="10" max="10" width="11.85546875" bestFit="1" customWidth="1"/>
    <col min="11" max="12" width="9.140625" bestFit="1" customWidth="1"/>
  </cols>
  <sheetData>
    <row r="2" spans="2:12" ht="18.75" x14ac:dyDescent="0.3">
      <c r="B2" s="441" t="s">
        <v>221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</row>
    <row r="4" spans="2:12" ht="15.75" thickBot="1" x14ac:dyDescent="0.3"/>
    <row r="5" spans="2:12" ht="15.75" customHeight="1" thickBot="1" x14ac:dyDescent="0.3">
      <c r="B5" s="442" t="s">
        <v>57</v>
      </c>
      <c r="C5" s="444" t="s">
        <v>58</v>
      </c>
      <c r="D5" s="445"/>
      <c r="E5" s="446" t="s">
        <v>59</v>
      </c>
      <c r="F5" s="448" t="s">
        <v>106</v>
      </c>
      <c r="G5" s="449"/>
      <c r="H5" s="450" t="s">
        <v>108</v>
      </c>
      <c r="I5" s="451"/>
      <c r="J5" s="452"/>
      <c r="K5" s="451" t="s">
        <v>62</v>
      </c>
      <c r="L5" s="452"/>
    </row>
    <row r="6" spans="2:12" ht="45.75" thickBot="1" x14ac:dyDescent="0.3">
      <c r="B6" s="443"/>
      <c r="C6" s="77"/>
      <c r="D6" s="78" t="s">
        <v>63</v>
      </c>
      <c r="E6" s="447"/>
      <c r="F6" s="78" t="s">
        <v>8</v>
      </c>
      <c r="G6" s="79" t="s">
        <v>64</v>
      </c>
      <c r="H6" s="75" t="s">
        <v>35</v>
      </c>
      <c r="I6" s="75" t="s">
        <v>36</v>
      </c>
      <c r="J6" s="75" t="s">
        <v>39</v>
      </c>
      <c r="K6" s="75" t="s">
        <v>35</v>
      </c>
      <c r="L6" s="76" t="s">
        <v>36</v>
      </c>
    </row>
    <row r="7" spans="2:12" x14ac:dyDescent="0.25">
      <c r="B7" s="67"/>
      <c r="C7" s="68"/>
      <c r="D7" s="16"/>
      <c r="E7" s="69" t="s">
        <v>30</v>
      </c>
      <c r="F7" s="67"/>
      <c r="G7" s="70" t="s">
        <v>30</v>
      </c>
      <c r="H7" s="70" t="s">
        <v>9</v>
      </c>
      <c r="I7" s="70" t="s">
        <v>9</v>
      </c>
      <c r="J7" s="70" t="s">
        <v>9</v>
      </c>
      <c r="K7" s="68"/>
      <c r="L7" s="71"/>
    </row>
    <row r="8" spans="2:12" ht="15.75" thickBot="1" x14ac:dyDescent="0.3">
      <c r="B8" s="80" t="s">
        <v>15</v>
      </c>
      <c r="C8" s="81" t="s">
        <v>56</v>
      </c>
      <c r="D8" s="82">
        <f>'Non-RRRP Rate Design'!D7</f>
        <v>2719</v>
      </c>
      <c r="E8" s="82">
        <f>'Non-RRRP Rate Design'!E7</f>
        <v>5961327.3980811778</v>
      </c>
      <c r="F8" s="83">
        <f>'Non-RRRP Rate Design'!H7</f>
        <v>101.13</v>
      </c>
      <c r="G8" s="84">
        <f>'Non-RRRP Rate Design'!I7</f>
        <v>4.6899999999999997E-2</v>
      </c>
      <c r="H8" s="82">
        <f>D8*F8*12</f>
        <v>3299669.6399999997</v>
      </c>
      <c r="I8" s="82">
        <f>E8*G8</f>
        <v>279586.25497000723</v>
      </c>
      <c r="J8" s="82">
        <f>H8+I8</f>
        <v>3579255.8949700068</v>
      </c>
      <c r="K8" s="61">
        <f>H8/J8</f>
        <v>0.92188704491262707</v>
      </c>
      <c r="L8" s="62">
        <f>I8/J8</f>
        <v>7.8112955087373009E-2</v>
      </c>
    </row>
    <row r="10" spans="2:12" x14ac:dyDescent="0.25">
      <c r="B10" s="453" t="s">
        <v>71</v>
      </c>
      <c r="C10" s="453"/>
      <c r="D10" s="453"/>
      <c r="E10" s="453"/>
    </row>
    <row r="11" spans="2:12" x14ac:dyDescent="0.25">
      <c r="F11" s="63">
        <v>2026</v>
      </c>
      <c r="G11" s="63">
        <v>2027</v>
      </c>
      <c r="H11" s="63">
        <v>2028</v>
      </c>
      <c r="I11" s="63">
        <v>2029</v>
      </c>
      <c r="J11" s="63">
        <v>2030</v>
      </c>
      <c r="K11" s="63"/>
    </row>
    <row r="12" spans="2:12" x14ac:dyDescent="0.25">
      <c r="B12" s="454" t="s">
        <v>109</v>
      </c>
      <c r="C12" s="454"/>
      <c r="D12" s="454"/>
      <c r="E12" s="454"/>
      <c r="F12" s="72">
        <f>F8</f>
        <v>101.13</v>
      </c>
      <c r="G12" s="72">
        <f>F15</f>
        <v>105.13</v>
      </c>
      <c r="H12" s="72">
        <f>G15</f>
        <v>109.13</v>
      </c>
      <c r="I12" s="72">
        <f t="shared" ref="I12:J12" si="0">H15</f>
        <v>109.69890569357626</v>
      </c>
      <c r="J12" s="72">
        <f t="shared" si="0"/>
        <v>109.69890569357626</v>
      </c>
      <c r="K12" s="72"/>
    </row>
    <row r="13" spans="2:12" x14ac:dyDescent="0.25">
      <c r="B13" s="454" t="s">
        <v>65</v>
      </c>
      <c r="C13" s="454"/>
      <c r="D13" s="454"/>
      <c r="E13" s="454"/>
      <c r="F13" s="64">
        <f>J8/D8/12</f>
        <v>109.69890569357626</v>
      </c>
      <c r="G13" s="72"/>
    </row>
    <row r="14" spans="2:12" x14ac:dyDescent="0.25">
      <c r="B14" s="73" t="s">
        <v>66</v>
      </c>
      <c r="C14" s="73"/>
      <c r="D14" s="73"/>
      <c r="E14" s="73"/>
      <c r="F14" s="64">
        <f>IF(($F$13-F12)&gt;4,4,$F$13-F12)</f>
        <v>4</v>
      </c>
      <c r="G14" s="64">
        <f>IF(($F$13-G12)&gt;4,4,$F$13-G12)</f>
        <v>4</v>
      </c>
      <c r="H14" s="64">
        <f>IF(($F$13-H12)&gt;4,4,$F$13-H12)</f>
        <v>0.5689056935762693</v>
      </c>
      <c r="I14" s="64">
        <f t="shared" ref="I14:J14" si="1">IF(($F$13-I12)&gt;4,4,$F$13-I12)</f>
        <v>0</v>
      </c>
      <c r="J14" s="64">
        <f t="shared" si="1"/>
        <v>0</v>
      </c>
      <c r="K14" s="64"/>
    </row>
    <row r="15" spans="2:12" x14ac:dyDescent="0.25">
      <c r="B15" s="454" t="s">
        <v>67</v>
      </c>
      <c r="C15" s="454"/>
      <c r="D15" s="454"/>
      <c r="E15" s="454"/>
      <c r="F15" s="64">
        <f>F12+F14</f>
        <v>105.13</v>
      </c>
      <c r="G15" s="64">
        <f>G12+G14</f>
        <v>109.13</v>
      </c>
      <c r="H15" s="64">
        <f>H12+H14</f>
        <v>109.69890569357626</v>
      </c>
      <c r="I15" s="64">
        <f t="shared" ref="I15:J15" si="2">I12+I14</f>
        <v>109.69890569357626</v>
      </c>
      <c r="J15" s="64">
        <f t="shared" si="2"/>
        <v>109.69890569357626</v>
      </c>
      <c r="K15" s="64"/>
    </row>
    <row r="17" spans="2:12" x14ac:dyDescent="0.25">
      <c r="B17" s="1" t="s">
        <v>110</v>
      </c>
    </row>
    <row r="18" spans="2:12" ht="15.75" thickBot="1" x14ac:dyDescent="0.3"/>
    <row r="19" spans="2:12" ht="15.75" thickBot="1" x14ac:dyDescent="0.3">
      <c r="B19" s="85" t="s">
        <v>57</v>
      </c>
      <c r="C19" s="455" t="s">
        <v>58</v>
      </c>
      <c r="D19" s="445"/>
      <c r="E19" s="446" t="s">
        <v>59</v>
      </c>
      <c r="F19" s="448" t="s">
        <v>60</v>
      </c>
      <c r="G19" s="449"/>
      <c r="H19" s="450" t="s">
        <v>61</v>
      </c>
      <c r="I19" s="451"/>
      <c r="J19" s="452"/>
      <c r="K19" s="451" t="s">
        <v>27</v>
      </c>
      <c r="L19" s="452"/>
    </row>
    <row r="20" spans="2:12" ht="45.75" thickBot="1" x14ac:dyDescent="0.3">
      <c r="B20" s="86"/>
      <c r="C20" s="87"/>
      <c r="D20" s="78" t="s">
        <v>63</v>
      </c>
      <c r="E20" s="447"/>
      <c r="F20" s="78" t="s">
        <v>8</v>
      </c>
      <c r="G20" s="79" t="s">
        <v>64</v>
      </c>
      <c r="H20" s="75" t="s">
        <v>35</v>
      </c>
      <c r="I20" s="75" t="s">
        <v>36</v>
      </c>
      <c r="J20" s="75" t="s">
        <v>39</v>
      </c>
      <c r="K20" s="75" t="s">
        <v>35</v>
      </c>
      <c r="L20" s="76" t="s">
        <v>36</v>
      </c>
    </row>
    <row r="21" spans="2:12" x14ac:dyDescent="0.25">
      <c r="B21" s="67"/>
      <c r="C21" s="67"/>
      <c r="D21" s="67"/>
      <c r="E21" s="69" t="s">
        <v>30</v>
      </c>
      <c r="F21" s="67"/>
      <c r="G21" s="70" t="s">
        <v>30</v>
      </c>
      <c r="H21" s="70" t="s">
        <v>9</v>
      </c>
      <c r="I21" s="70" t="s">
        <v>9</v>
      </c>
      <c r="J21" s="70" t="s">
        <v>9</v>
      </c>
      <c r="K21" s="68"/>
      <c r="L21" s="71"/>
    </row>
    <row r="22" spans="2:12" ht="15.75" thickBot="1" x14ac:dyDescent="0.3">
      <c r="B22" s="80" t="s">
        <v>15</v>
      </c>
      <c r="C22" s="80" t="s">
        <v>56</v>
      </c>
      <c r="D22" s="88">
        <f>D8</f>
        <v>2719</v>
      </c>
      <c r="E22" s="88">
        <f>E8</f>
        <v>5961327.3980811778</v>
      </c>
      <c r="F22" s="83">
        <f>F15</f>
        <v>105.13</v>
      </c>
      <c r="G22" s="84">
        <f>I22/E22</f>
        <v>2.5006889408219848E-2</v>
      </c>
      <c r="H22" s="65">
        <f>F22*D22*12</f>
        <v>3430181.6399999997</v>
      </c>
      <c r="I22" s="65">
        <f>L22*J8</f>
        <v>149074.25497000699</v>
      </c>
      <c r="J22" s="66">
        <f>H22+I22</f>
        <v>3579255.8949700068</v>
      </c>
      <c r="K22" s="61">
        <f>H22/J8</f>
        <v>0.95835048978210702</v>
      </c>
      <c r="L22" s="62">
        <f>1-K22</f>
        <v>4.1649510217892982E-2</v>
      </c>
    </row>
    <row r="24" spans="2:12" x14ac:dyDescent="0.25">
      <c r="B24" s="1" t="s">
        <v>70</v>
      </c>
      <c r="H24" s="460"/>
      <c r="I24" s="460"/>
      <c r="J24" s="74"/>
    </row>
    <row r="25" spans="2:12" ht="15.75" thickBot="1" x14ac:dyDescent="0.3"/>
    <row r="26" spans="2:12" ht="15.75" thickBot="1" x14ac:dyDescent="0.3">
      <c r="B26" s="85" t="s">
        <v>57</v>
      </c>
      <c r="C26" s="455" t="s">
        <v>58</v>
      </c>
      <c r="D26" s="445"/>
      <c r="E26" s="446" t="s">
        <v>59</v>
      </c>
      <c r="F26" s="448" t="s">
        <v>60</v>
      </c>
      <c r="G26" s="449"/>
      <c r="H26" s="450" t="s">
        <v>61</v>
      </c>
      <c r="I26" s="451"/>
      <c r="J26" s="452"/>
    </row>
    <row r="27" spans="2:12" ht="45.75" thickBot="1" x14ac:dyDescent="0.3">
      <c r="B27" s="86"/>
      <c r="C27" s="87"/>
      <c r="D27" s="78" t="s">
        <v>63</v>
      </c>
      <c r="E27" s="447"/>
      <c r="F27" s="78" t="s">
        <v>8</v>
      </c>
      <c r="G27" s="79" t="s">
        <v>64</v>
      </c>
      <c r="H27" s="75" t="s">
        <v>35</v>
      </c>
      <c r="I27" s="75" t="s">
        <v>36</v>
      </c>
      <c r="J27" s="75" t="s">
        <v>39</v>
      </c>
    </row>
    <row r="28" spans="2:12" x14ac:dyDescent="0.25">
      <c r="B28" s="67"/>
      <c r="C28" s="67"/>
      <c r="D28" s="67"/>
      <c r="E28" s="69" t="s">
        <v>30</v>
      </c>
      <c r="F28" s="67"/>
      <c r="G28" s="70" t="s">
        <v>30</v>
      </c>
      <c r="H28" s="70" t="s">
        <v>9</v>
      </c>
      <c r="I28" s="70" t="s">
        <v>9</v>
      </c>
      <c r="J28" s="70" t="s">
        <v>9</v>
      </c>
    </row>
    <row r="29" spans="2:12" ht="15.75" thickBot="1" x14ac:dyDescent="0.3">
      <c r="B29" s="80" t="s">
        <v>15</v>
      </c>
      <c r="C29" s="80" t="s">
        <v>56</v>
      </c>
      <c r="D29" s="88">
        <f>D22</f>
        <v>2719</v>
      </c>
      <c r="E29" s="88">
        <f>E22</f>
        <v>5961327.3980811778</v>
      </c>
      <c r="F29" s="83">
        <f>F22</f>
        <v>105.13</v>
      </c>
      <c r="G29" s="84">
        <f>ROUND(G22,4)</f>
        <v>2.5000000000000001E-2</v>
      </c>
      <c r="H29" s="65">
        <f>F29*D29*12</f>
        <v>3430181.6399999997</v>
      </c>
      <c r="I29" s="65">
        <f>E29*G29</f>
        <v>149033.18495202946</v>
      </c>
      <c r="J29" s="66">
        <f>H29+I29</f>
        <v>3579214.8249520292</v>
      </c>
    </row>
    <row r="30" spans="2:12" ht="15.75" thickBot="1" x14ac:dyDescent="0.3">
      <c r="D30" s="89"/>
      <c r="E30" s="89"/>
      <c r="F30" s="90"/>
      <c r="G30" s="90"/>
      <c r="H30" s="91"/>
      <c r="I30" s="91"/>
      <c r="J30" s="74"/>
    </row>
    <row r="31" spans="2:12" x14ac:dyDescent="0.25">
      <c r="B31" s="456" t="s">
        <v>69</v>
      </c>
      <c r="C31" s="457"/>
      <c r="D31" s="457"/>
      <c r="E31" s="457"/>
      <c r="F31" s="457"/>
      <c r="G31" s="23" t="s">
        <v>9</v>
      </c>
      <c r="H31" s="163">
        <f>H29-H22</f>
        <v>0</v>
      </c>
      <c r="I31" s="163">
        <f>I29-I22</f>
        <v>-41.07001797753037</v>
      </c>
      <c r="J31" s="164">
        <f>J29-J22</f>
        <v>-41.070017977617681</v>
      </c>
    </row>
    <row r="32" spans="2:12" ht="15.75" thickBot="1" x14ac:dyDescent="0.3">
      <c r="B32" s="458"/>
      <c r="C32" s="459"/>
      <c r="D32" s="459"/>
      <c r="E32" s="459"/>
      <c r="F32" s="459"/>
      <c r="G32" s="93" t="s">
        <v>68</v>
      </c>
      <c r="H32" s="92">
        <f>H31/H22</f>
        <v>0</v>
      </c>
      <c r="I32" s="92">
        <f t="shared" ref="I32:J32" si="3">I31/I22</f>
        <v>-2.7550040740296475E-4</v>
      </c>
      <c r="J32" s="94">
        <f t="shared" si="3"/>
        <v>-1.1474457033187854E-5</v>
      </c>
    </row>
  </sheetData>
  <mergeCells count="22">
    <mergeCell ref="B31:F32"/>
    <mergeCell ref="F19:G19"/>
    <mergeCell ref="H19:J19"/>
    <mergeCell ref="K19:L19"/>
    <mergeCell ref="H24:I24"/>
    <mergeCell ref="C26:D26"/>
    <mergeCell ref="E26:E27"/>
    <mergeCell ref="F26:G26"/>
    <mergeCell ref="H26:J26"/>
    <mergeCell ref="B10:E10"/>
    <mergeCell ref="B12:E12"/>
    <mergeCell ref="B13:E13"/>
    <mergeCell ref="B15:E15"/>
    <mergeCell ref="C19:D19"/>
    <mergeCell ref="E19:E20"/>
    <mergeCell ref="B2:L2"/>
    <mergeCell ref="B5:B6"/>
    <mergeCell ref="C5:D5"/>
    <mergeCell ref="E5:E6"/>
    <mergeCell ref="F5:G5"/>
    <mergeCell ref="H5:J5"/>
    <mergeCell ref="K5:L5"/>
  </mergeCells>
  <pageMargins left="0.7" right="0.7" top="0.75" bottom="0.75" header="0.3" footer="0.3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0746-760F-4A40-AF18-6199DD84677D}">
  <sheetPr>
    <tabColor theme="9" tint="0.79998168889431442"/>
    <pageSetUpPr fitToPage="1"/>
  </sheetPr>
  <dimension ref="B2:M32"/>
  <sheetViews>
    <sheetView view="pageBreakPreview" zoomScale="60" zoomScaleNormal="100" workbookViewId="0">
      <selection activeCell="M10" sqref="M10"/>
    </sheetView>
  </sheetViews>
  <sheetFormatPr defaultColWidth="9.140625" defaultRowHeight="15" x14ac:dyDescent="0.25"/>
  <cols>
    <col min="1" max="1" width="2.85546875" customWidth="1"/>
    <col min="2" max="2" width="39.7109375" customWidth="1"/>
    <col min="3" max="3" width="6.7109375" bestFit="1" customWidth="1"/>
    <col min="4" max="4" width="2.85546875" customWidth="1"/>
    <col min="5" max="5" width="5.7109375" customWidth="1"/>
    <col min="6" max="6" width="15.28515625" bestFit="1" customWidth="1"/>
    <col min="7" max="7" width="7" customWidth="1"/>
    <col min="8" max="8" width="1.85546875" customWidth="1"/>
    <col min="9" max="9" width="6.140625" customWidth="1"/>
    <col min="10" max="10" width="13" bestFit="1" customWidth="1"/>
    <col min="11" max="11" width="8.85546875" customWidth="1"/>
    <col min="12" max="12" width="3" customWidth="1"/>
    <col min="13" max="13" width="9.140625" style="5"/>
    <col min="15" max="15" width="16.28515625" bestFit="1" customWidth="1"/>
  </cols>
  <sheetData>
    <row r="2" spans="2:13" ht="15.75" x14ac:dyDescent="0.25">
      <c r="B2" s="337" t="s">
        <v>84</v>
      </c>
      <c r="C2" s="337"/>
      <c r="D2" s="337"/>
      <c r="E2" s="337"/>
      <c r="F2" s="337"/>
      <c r="G2" s="337"/>
      <c r="H2" s="337"/>
      <c r="I2" s="337"/>
      <c r="J2" s="337"/>
      <c r="K2" s="337"/>
    </row>
    <row r="3" spans="2:13" ht="15.75" thickBot="1" x14ac:dyDescent="0.3">
      <c r="C3" s="5"/>
    </row>
    <row r="4" spans="2:13" ht="16.5" thickBot="1" x14ac:dyDescent="0.3">
      <c r="B4" s="338"/>
      <c r="C4" s="339"/>
      <c r="D4" s="339"/>
      <c r="E4" s="340" t="s">
        <v>85</v>
      </c>
      <c r="F4" s="341"/>
      <c r="G4" s="342"/>
      <c r="H4" s="119"/>
      <c r="I4" s="343" t="s">
        <v>88</v>
      </c>
      <c r="J4" s="344"/>
      <c r="K4" s="345"/>
      <c r="M4" s="346" t="s">
        <v>3</v>
      </c>
    </row>
    <row r="5" spans="2:13" ht="16.5" thickBot="1" x14ac:dyDescent="0.3">
      <c r="B5" s="347" t="s">
        <v>4</v>
      </c>
      <c r="C5" s="348"/>
      <c r="D5" s="348"/>
      <c r="E5" s="349" t="s">
        <v>86</v>
      </c>
      <c r="F5" s="350"/>
      <c r="G5" s="351"/>
      <c r="H5" s="114"/>
      <c r="I5" s="349" t="s">
        <v>89</v>
      </c>
      <c r="J5" s="350"/>
      <c r="K5" s="351"/>
      <c r="M5" s="346"/>
    </row>
    <row r="6" spans="2:13" ht="16.5" thickBot="1" x14ac:dyDescent="0.3">
      <c r="B6" s="347"/>
      <c r="C6" s="348"/>
      <c r="D6" s="348"/>
      <c r="E6" s="352"/>
      <c r="F6" s="353"/>
      <c r="G6" s="354"/>
      <c r="H6" s="114"/>
      <c r="I6" s="355"/>
      <c r="J6" s="356"/>
      <c r="K6" s="357"/>
      <c r="M6" s="6"/>
    </row>
    <row r="7" spans="2:13" ht="43.5" customHeight="1" x14ac:dyDescent="0.25">
      <c r="B7" s="7" t="s">
        <v>5</v>
      </c>
      <c r="C7" s="8" t="s">
        <v>6</v>
      </c>
      <c r="D7" s="9"/>
      <c r="E7" s="358" t="s">
        <v>87</v>
      </c>
      <c r="F7" s="359"/>
      <c r="G7" s="360"/>
      <c r="H7" s="114"/>
      <c r="I7" s="361" t="s">
        <v>90</v>
      </c>
      <c r="J7" s="362"/>
      <c r="K7" s="363"/>
      <c r="M7" s="6"/>
    </row>
    <row r="8" spans="2:13" x14ac:dyDescent="0.25">
      <c r="B8" s="10" t="s">
        <v>7</v>
      </c>
      <c r="C8" s="6"/>
      <c r="D8" s="11"/>
      <c r="E8" s="120"/>
      <c r="F8" s="121"/>
      <c r="G8" s="122"/>
      <c r="I8" s="12"/>
      <c r="J8" s="14"/>
      <c r="K8" s="13"/>
      <c r="M8" s="6"/>
    </row>
    <row r="9" spans="2:13" x14ac:dyDescent="0.25">
      <c r="B9" s="15" t="s">
        <v>8</v>
      </c>
      <c r="C9" s="6" t="s">
        <v>9</v>
      </c>
      <c r="D9" s="2"/>
      <c r="E9" s="123"/>
      <c r="F9" s="165">
        <v>67.36</v>
      </c>
      <c r="G9" s="166"/>
      <c r="H9" s="167"/>
      <c r="I9" s="168"/>
      <c r="J9" s="169">
        <f>'RRRP Rate Design'!I13</f>
        <v>69.91</v>
      </c>
      <c r="K9" s="16"/>
      <c r="M9" s="3">
        <f>(J9-F9)/F9</f>
        <v>3.7856294536817062E-2</v>
      </c>
    </row>
    <row r="10" spans="2:13" x14ac:dyDescent="0.25">
      <c r="B10" s="15" t="s">
        <v>10</v>
      </c>
      <c r="C10" s="6" t="s">
        <v>11</v>
      </c>
      <c r="D10" s="4"/>
      <c r="E10" s="123"/>
      <c r="F10" s="170">
        <v>0</v>
      </c>
      <c r="G10" s="166"/>
      <c r="H10" s="167"/>
      <c r="I10" s="171"/>
      <c r="J10" s="170">
        <f>'RRRP Rate Design'!J13</f>
        <v>0</v>
      </c>
      <c r="K10" s="13"/>
      <c r="M10" s="3" t="e">
        <f>(J10-F10)/F10</f>
        <v>#DIV/0!</v>
      </c>
    </row>
    <row r="11" spans="2:13" x14ac:dyDescent="0.25">
      <c r="B11" s="15"/>
      <c r="C11" s="6"/>
      <c r="D11" s="4"/>
      <c r="E11" s="123"/>
      <c r="F11" s="172"/>
      <c r="G11" s="166"/>
      <c r="H11" s="167"/>
      <c r="I11" s="171"/>
      <c r="J11" s="170"/>
      <c r="K11" s="13"/>
      <c r="M11" s="3"/>
    </row>
    <row r="12" spans="2:13" x14ac:dyDescent="0.25">
      <c r="B12" s="10" t="s">
        <v>12</v>
      </c>
      <c r="C12" s="6"/>
      <c r="D12" s="4"/>
      <c r="E12" s="123"/>
      <c r="F12" s="172"/>
      <c r="G12" s="166"/>
      <c r="H12" s="167"/>
      <c r="I12" s="171"/>
      <c r="J12" s="169"/>
      <c r="K12" s="13"/>
      <c r="M12" s="3"/>
    </row>
    <row r="13" spans="2:13" x14ac:dyDescent="0.25">
      <c r="B13" s="15" t="s">
        <v>8</v>
      </c>
      <c r="C13" s="6" t="s">
        <v>9</v>
      </c>
      <c r="D13" s="4"/>
      <c r="E13" s="123"/>
      <c r="F13" s="165">
        <v>30.21</v>
      </c>
      <c r="G13" s="166"/>
      <c r="H13" s="167"/>
      <c r="I13" s="171"/>
      <c r="J13" s="169">
        <f>'RRRP Rate Design'!I14</f>
        <v>31.35</v>
      </c>
      <c r="K13" s="13"/>
      <c r="M13" s="3">
        <f>(J13-F13)/F13</f>
        <v>3.7735849056603793E-2</v>
      </c>
    </row>
    <row r="14" spans="2:13" x14ac:dyDescent="0.25">
      <c r="B14" s="15" t="s">
        <v>10</v>
      </c>
      <c r="C14" s="6" t="s">
        <v>11</v>
      </c>
      <c r="D14" s="4"/>
      <c r="E14" s="123"/>
      <c r="F14" s="170">
        <v>4.2500000000000003E-2</v>
      </c>
      <c r="G14" s="166"/>
      <c r="H14" s="167"/>
      <c r="I14" s="171"/>
      <c r="J14" s="170">
        <f>'RRRP Rate Design'!J14</f>
        <v>4.41E-2</v>
      </c>
      <c r="K14" s="13"/>
      <c r="M14" s="3">
        <f>(J14-F14)/F14</f>
        <v>3.7647058823529346E-2</v>
      </c>
    </row>
    <row r="15" spans="2:13" x14ac:dyDescent="0.25">
      <c r="B15" s="15"/>
      <c r="C15" s="6"/>
      <c r="D15" s="11"/>
      <c r="E15" s="120"/>
      <c r="F15" s="173"/>
      <c r="G15" s="166"/>
      <c r="H15" s="167"/>
      <c r="I15" s="171"/>
      <c r="J15" s="174"/>
      <c r="K15" s="13"/>
      <c r="M15" s="17"/>
    </row>
    <row r="16" spans="2:13" x14ac:dyDescent="0.25">
      <c r="B16" s="10" t="s">
        <v>13</v>
      </c>
      <c r="C16" s="6"/>
      <c r="D16" s="11"/>
      <c r="E16" s="120"/>
      <c r="F16" s="174"/>
      <c r="G16" s="166"/>
      <c r="H16" s="167"/>
      <c r="I16" s="171"/>
      <c r="J16" s="174"/>
      <c r="K16" s="13"/>
      <c r="M16" s="17"/>
    </row>
    <row r="17" spans="2:13" x14ac:dyDescent="0.25">
      <c r="B17" s="15" t="s">
        <v>8</v>
      </c>
      <c r="C17" s="6" t="s">
        <v>9</v>
      </c>
      <c r="D17" s="2"/>
      <c r="E17" s="123"/>
      <c r="F17" s="175">
        <v>777.31</v>
      </c>
      <c r="G17" s="166"/>
      <c r="H17" s="167"/>
      <c r="I17" s="171"/>
      <c r="J17" s="165">
        <f>'RRRP Rate Design'!I15</f>
        <v>806.69</v>
      </c>
      <c r="K17" s="13"/>
      <c r="M17" s="3">
        <f t="shared" ref="M17:M18" si="0">(J17-F17)/F17</f>
        <v>3.7797017920778213E-2</v>
      </c>
    </row>
    <row r="18" spans="2:13" x14ac:dyDescent="0.25">
      <c r="B18" s="15" t="s">
        <v>10</v>
      </c>
      <c r="C18" s="6" t="s">
        <v>14</v>
      </c>
      <c r="D18" s="4"/>
      <c r="E18" s="123"/>
      <c r="F18" s="170">
        <v>4.0275999999999996</v>
      </c>
      <c r="G18" s="166"/>
      <c r="H18" s="167"/>
      <c r="I18" s="171"/>
      <c r="J18" s="170">
        <f>'RRRP Rate Design'!J15</f>
        <v>4.1798000000000002</v>
      </c>
      <c r="K18" s="13"/>
      <c r="M18" s="3">
        <f t="shared" si="0"/>
        <v>3.7789254146390054E-2</v>
      </c>
    </row>
    <row r="19" spans="2:13" x14ac:dyDescent="0.25">
      <c r="B19" s="15"/>
      <c r="C19" s="6"/>
      <c r="D19" s="11"/>
      <c r="E19" s="120"/>
      <c r="F19" s="173"/>
      <c r="G19" s="166"/>
      <c r="H19" s="167"/>
      <c r="I19" s="171"/>
      <c r="J19" s="174"/>
      <c r="K19" s="13"/>
      <c r="M19" s="17"/>
    </row>
    <row r="20" spans="2:13" x14ac:dyDescent="0.25">
      <c r="B20" s="10" t="s">
        <v>15</v>
      </c>
      <c r="C20" s="6"/>
      <c r="D20" s="11"/>
      <c r="E20" s="120"/>
      <c r="F20" s="173"/>
      <c r="G20" s="166"/>
      <c r="H20" s="167"/>
      <c r="I20" s="171"/>
      <c r="J20" s="174"/>
      <c r="K20" s="13"/>
      <c r="M20" s="17"/>
    </row>
    <row r="21" spans="2:13" x14ac:dyDescent="0.25">
      <c r="B21" s="15" t="s">
        <v>8</v>
      </c>
      <c r="C21" s="6" t="s">
        <v>9</v>
      </c>
      <c r="D21" s="2"/>
      <c r="E21" s="123"/>
      <c r="F21" s="175">
        <v>99.05</v>
      </c>
      <c r="G21" s="166"/>
      <c r="H21" s="167"/>
      <c r="I21" s="171"/>
      <c r="J21" s="175">
        <f>'Seasonal Decoupling'!F29</f>
        <v>105.13</v>
      </c>
      <c r="K21" s="13"/>
      <c r="M21" s="3">
        <f t="shared" ref="M21:M22" si="1">(J21-F21)/F21</f>
        <v>6.1383139828369494E-2</v>
      </c>
    </row>
    <row r="22" spans="2:13" x14ac:dyDescent="0.25">
      <c r="B22" s="15" t="s">
        <v>10</v>
      </c>
      <c r="C22" s="6" t="s">
        <v>11</v>
      </c>
      <c r="D22" s="4"/>
      <c r="E22" s="123"/>
      <c r="F22" s="170">
        <v>4.5900000000000003E-2</v>
      </c>
      <c r="G22" s="166"/>
      <c r="H22" s="167"/>
      <c r="I22" s="171"/>
      <c r="J22" s="170">
        <f>'Seasonal Decoupling'!G29</f>
        <v>2.5000000000000001E-2</v>
      </c>
      <c r="K22" s="13"/>
      <c r="M22" s="3">
        <f t="shared" si="1"/>
        <v>-0.45533769063180829</v>
      </c>
    </row>
    <row r="23" spans="2:13" x14ac:dyDescent="0.25">
      <c r="B23" s="15"/>
      <c r="C23" s="6"/>
      <c r="D23" s="11"/>
      <c r="E23" s="120"/>
      <c r="F23" s="173"/>
      <c r="G23" s="166"/>
      <c r="H23" s="167"/>
      <c r="I23" s="171"/>
      <c r="J23" s="174"/>
      <c r="K23" s="13"/>
      <c r="M23" s="17"/>
    </row>
    <row r="24" spans="2:13" x14ac:dyDescent="0.25">
      <c r="B24" s="10" t="s">
        <v>16</v>
      </c>
      <c r="C24" s="6"/>
      <c r="D24" s="11"/>
      <c r="E24" s="120"/>
      <c r="F24" s="173"/>
      <c r="G24" s="166"/>
      <c r="H24" s="167"/>
      <c r="I24" s="171"/>
      <c r="J24" s="174"/>
      <c r="K24" s="13"/>
      <c r="M24" s="17"/>
    </row>
    <row r="25" spans="2:13" x14ac:dyDescent="0.25">
      <c r="B25" s="15" t="s">
        <v>8</v>
      </c>
      <c r="C25" s="6" t="s">
        <v>9</v>
      </c>
      <c r="D25" s="2"/>
      <c r="E25" s="123"/>
      <c r="F25" s="175">
        <v>2.2400000000000002</v>
      </c>
      <c r="G25" s="166"/>
      <c r="H25" s="167"/>
      <c r="I25" s="171"/>
      <c r="J25" s="175">
        <f>'Non-RRRP Rate Design'!H8</f>
        <v>2.29</v>
      </c>
      <c r="K25" s="13"/>
      <c r="M25" s="3">
        <f t="shared" ref="M25:M26" si="2">(J25-F25)/F25</f>
        <v>2.2321428571428489E-2</v>
      </c>
    </row>
    <row r="26" spans="2:13" x14ac:dyDescent="0.25">
      <c r="B26" s="15" t="s">
        <v>10</v>
      </c>
      <c r="C26" s="6" t="s">
        <v>11</v>
      </c>
      <c r="D26" s="4"/>
      <c r="E26" s="123"/>
      <c r="F26" s="170">
        <v>0.36180000000000001</v>
      </c>
      <c r="G26" s="166"/>
      <c r="H26" s="167"/>
      <c r="I26" s="171"/>
      <c r="J26" s="170">
        <f>'Non-RRRP Rate Design'!I8</f>
        <v>0.3695</v>
      </c>
      <c r="K26" s="13"/>
      <c r="M26" s="3">
        <f t="shared" si="2"/>
        <v>2.1282476506357062E-2</v>
      </c>
    </row>
    <row r="27" spans="2:13" x14ac:dyDescent="0.25">
      <c r="B27" s="15"/>
      <c r="C27" s="6"/>
      <c r="D27" s="11"/>
      <c r="E27" s="120"/>
      <c r="F27" s="173"/>
      <c r="G27" s="166"/>
      <c r="H27" s="167"/>
      <c r="I27" s="171"/>
      <c r="J27" s="174"/>
      <c r="K27" s="13"/>
      <c r="M27" s="17"/>
    </row>
    <row r="28" spans="2:13" ht="15.75" thickBot="1" x14ac:dyDescent="0.3">
      <c r="B28" s="18" t="s">
        <v>214</v>
      </c>
      <c r="C28" s="19" t="s">
        <v>9</v>
      </c>
      <c r="D28" s="20"/>
      <c r="E28" s="124"/>
      <c r="F28" s="176">
        <v>19708777</v>
      </c>
      <c r="G28" s="177"/>
      <c r="H28" s="178"/>
      <c r="I28" s="179"/>
      <c r="J28" s="176">
        <f>'RRRP Rate Design'!M18</f>
        <v>20410529.097025514</v>
      </c>
      <c r="K28" s="21"/>
      <c r="M28" s="3">
        <f>(J28-F28)/F28</f>
        <v>3.5606070180078331E-2</v>
      </c>
    </row>
    <row r="29" spans="2:13" ht="27" thickBot="1" x14ac:dyDescent="0.3">
      <c r="B29" s="326" t="s">
        <v>215</v>
      </c>
      <c r="C29" s="19" t="s">
        <v>9</v>
      </c>
      <c r="D29" s="20"/>
      <c r="E29" s="124"/>
      <c r="F29" s="176">
        <v>18545649</v>
      </c>
      <c r="G29" s="177" t="s">
        <v>82</v>
      </c>
      <c r="H29" s="178"/>
      <c r="I29" s="179"/>
      <c r="J29" s="176">
        <f>'RRRP Rate Design'!M20</f>
        <v>20112182.067820694</v>
      </c>
      <c r="K29" s="21" t="s">
        <v>213</v>
      </c>
    </row>
    <row r="31" spans="2:13" x14ac:dyDescent="0.25">
      <c r="B31" t="s">
        <v>216</v>
      </c>
    </row>
    <row r="32" spans="2:13" x14ac:dyDescent="0.25">
      <c r="B32" t="s">
        <v>217</v>
      </c>
    </row>
  </sheetData>
  <mergeCells count="13">
    <mergeCell ref="B6:D6"/>
    <mergeCell ref="E6:G6"/>
    <mergeCell ref="I6:K6"/>
    <mergeCell ref="E7:G7"/>
    <mergeCell ref="I7:K7"/>
    <mergeCell ref="B2:K2"/>
    <mergeCell ref="B4:D4"/>
    <mergeCell ref="E4:G4"/>
    <mergeCell ref="I4:K4"/>
    <mergeCell ref="M4:M5"/>
    <mergeCell ref="B5:D5"/>
    <mergeCell ref="E5:G5"/>
    <mergeCell ref="I5:K5"/>
  </mergeCells>
  <pageMargins left="0.7" right="0.7" top="0.75" bottom="0.75" header="0.3" footer="0.3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C221-04AB-4B5A-AE8F-2B9ED76A680F}">
  <dimension ref="B2:R67"/>
  <sheetViews>
    <sheetView topLeftCell="A33" zoomScaleNormal="100" workbookViewId="0">
      <selection activeCell="R62" sqref="R62"/>
    </sheetView>
  </sheetViews>
  <sheetFormatPr defaultRowHeight="15" x14ac:dyDescent="0.25"/>
  <cols>
    <col min="2" max="3" width="20.42578125" customWidth="1"/>
    <col min="4" max="4" width="15.42578125" customWidth="1"/>
    <col min="5" max="5" width="9.28515625" customWidth="1"/>
    <col min="6" max="6" width="15.42578125" customWidth="1"/>
    <col min="7" max="7" width="2.7109375" customWidth="1"/>
    <col min="8" max="8" width="15.42578125" customWidth="1"/>
    <col min="9" max="9" width="18.7109375" bestFit="1" customWidth="1"/>
    <col min="10" max="10" width="15.42578125" customWidth="1"/>
    <col min="11" max="11" width="5.85546875" customWidth="1"/>
    <col min="12" max="12" width="17.28515625" customWidth="1"/>
    <col min="13" max="13" width="2.7109375" customWidth="1"/>
    <col min="14" max="14" width="13.85546875" bestFit="1" customWidth="1"/>
  </cols>
  <sheetData>
    <row r="2" spans="2:18" x14ac:dyDescent="0.25">
      <c r="C2" s="1" t="s">
        <v>156</v>
      </c>
      <c r="D2" s="1"/>
      <c r="E2" s="1"/>
      <c r="F2" s="1"/>
      <c r="G2" s="1"/>
      <c r="H2" s="1"/>
      <c r="I2" s="268">
        <f>F63</f>
        <v>33687290.300445765</v>
      </c>
    </row>
    <row r="3" spans="2:18" x14ac:dyDescent="0.25">
      <c r="C3" s="266" t="s">
        <v>157</v>
      </c>
      <c r="D3" s="266"/>
      <c r="E3" s="266"/>
      <c r="F3" s="266"/>
      <c r="G3" s="266"/>
      <c r="H3" s="266"/>
      <c r="I3" s="269">
        <f>L63</f>
        <v>33362058.792856008</v>
      </c>
    </row>
    <row r="4" spans="2:18" x14ac:dyDescent="0.25">
      <c r="C4" s="1" t="s">
        <v>158</v>
      </c>
      <c r="D4" s="1"/>
      <c r="E4" s="1"/>
      <c r="F4" s="1"/>
      <c r="G4" s="1"/>
      <c r="H4" s="1"/>
      <c r="I4" s="268">
        <f>I3-I2</f>
        <v>-325231.50758975744</v>
      </c>
    </row>
    <row r="5" spans="2:18" x14ac:dyDescent="0.25">
      <c r="C5" s="1" t="s">
        <v>159</v>
      </c>
      <c r="D5" s="1"/>
      <c r="E5" s="1"/>
      <c r="F5" s="1"/>
      <c r="G5" s="1"/>
      <c r="H5" s="1"/>
      <c r="I5" s="267">
        <f>I4/I2</f>
        <v>-9.6544276695788092E-3</v>
      </c>
    </row>
    <row r="7" spans="2:18" x14ac:dyDescent="0.25">
      <c r="B7" s="369" t="s">
        <v>123</v>
      </c>
      <c r="C7" s="369"/>
      <c r="D7" s="369"/>
      <c r="E7" s="369"/>
      <c r="F7" s="370"/>
      <c r="G7" s="263"/>
      <c r="H7" s="369" t="s">
        <v>125</v>
      </c>
      <c r="I7" s="369"/>
      <c r="J7" s="369"/>
      <c r="K7" s="369"/>
      <c r="L7" s="370"/>
      <c r="M7" s="263"/>
      <c r="N7" s="218"/>
      <c r="O7" s="262"/>
      <c r="P7" s="262"/>
      <c r="Q7" s="262"/>
      <c r="R7" s="262"/>
    </row>
    <row r="8" spans="2:18" x14ac:dyDescent="0.25">
      <c r="B8" s="368"/>
      <c r="C8" s="368"/>
      <c r="D8" s="368"/>
      <c r="E8" s="368"/>
      <c r="F8" s="368"/>
      <c r="G8" s="263"/>
      <c r="H8" s="368"/>
      <c r="I8" s="368"/>
      <c r="J8" s="368"/>
      <c r="K8" s="368"/>
      <c r="L8" s="368"/>
      <c r="M8" s="263"/>
    </row>
    <row r="9" spans="2:18" ht="45" x14ac:dyDescent="0.25">
      <c r="B9" s="207"/>
      <c r="C9" s="208" t="s">
        <v>113</v>
      </c>
      <c r="D9" s="208" t="s">
        <v>114</v>
      </c>
      <c r="E9" s="208" t="s">
        <v>113</v>
      </c>
      <c r="F9" s="208" t="s">
        <v>114</v>
      </c>
      <c r="G9" s="263"/>
      <c r="H9" s="207"/>
      <c r="I9" s="208" t="s">
        <v>113</v>
      </c>
      <c r="J9" s="208" t="s">
        <v>114</v>
      </c>
      <c r="K9" s="208" t="s">
        <v>113</v>
      </c>
      <c r="L9" s="242" t="s">
        <v>114</v>
      </c>
      <c r="M9" s="263"/>
      <c r="N9" s="206" t="s">
        <v>124</v>
      </c>
    </row>
    <row r="10" spans="2:18" x14ac:dyDescent="0.25">
      <c r="B10" s="209" t="s">
        <v>115</v>
      </c>
      <c r="C10" s="207"/>
      <c r="D10" s="207"/>
      <c r="E10" s="207"/>
      <c r="F10" s="207"/>
      <c r="G10" s="263"/>
      <c r="H10" s="209" t="s">
        <v>115</v>
      </c>
      <c r="I10" s="207"/>
      <c r="J10" s="207"/>
      <c r="K10" s="207"/>
      <c r="L10" s="243"/>
      <c r="M10" s="263"/>
      <c r="N10" s="187"/>
    </row>
    <row r="11" spans="2:18" x14ac:dyDescent="0.25">
      <c r="B11" s="210" t="s">
        <v>116</v>
      </c>
      <c r="C11" s="211">
        <v>0.56000000000000005</v>
      </c>
      <c r="D11" s="212">
        <v>100482869.58906531</v>
      </c>
      <c r="E11" s="211">
        <v>5.1191064485981312E-2</v>
      </c>
      <c r="F11" s="213">
        <f>D11*E11</f>
        <v>5143825.0568702929</v>
      </c>
      <c r="G11" s="263"/>
      <c r="H11" s="210" t="s">
        <v>116</v>
      </c>
      <c r="I11" s="211">
        <v>0.56000000000000005</v>
      </c>
      <c r="J11" s="212">
        <v>100482869.58906531</v>
      </c>
      <c r="K11" s="211">
        <v>5.1191064485981312E-2</v>
      </c>
      <c r="L11" s="244">
        <f>J11*K11</f>
        <v>5143825.0568702929</v>
      </c>
      <c r="M11" s="263"/>
      <c r="N11" s="261">
        <f>L11-F11</f>
        <v>0</v>
      </c>
    </row>
    <row r="12" spans="2:18" x14ac:dyDescent="0.25">
      <c r="B12" s="210" t="s">
        <v>117</v>
      </c>
      <c r="C12" s="211">
        <v>0.04</v>
      </c>
      <c r="D12" s="212">
        <v>7177347.8277903786</v>
      </c>
      <c r="E12" s="211">
        <v>5.04E-2</v>
      </c>
      <c r="F12" s="213">
        <f>D12*E12</f>
        <v>361738.33052063506</v>
      </c>
      <c r="G12" s="263"/>
      <c r="H12" s="210" t="s">
        <v>117</v>
      </c>
      <c r="I12" s="211">
        <v>0.04</v>
      </c>
      <c r="J12" s="212">
        <v>7177347.8277903786</v>
      </c>
      <c r="K12" s="219">
        <v>3.9100000000000003E-2</v>
      </c>
      <c r="L12" s="244">
        <f>J12*K12</f>
        <v>280634.30006660381</v>
      </c>
      <c r="M12" s="263"/>
      <c r="N12" s="261">
        <f t="shared" ref="N12:N20" si="0">L12-F12</f>
        <v>-81104.03045403125</v>
      </c>
    </row>
    <row r="13" spans="2:18" x14ac:dyDescent="0.25">
      <c r="B13" s="209" t="s">
        <v>118</v>
      </c>
      <c r="C13" s="214">
        <v>0.60000000000000009</v>
      </c>
      <c r="D13" s="212">
        <v>107660217.41685569</v>
      </c>
      <c r="E13" s="211">
        <f>F13/D13</f>
        <v>5.1138326853582564E-2</v>
      </c>
      <c r="F13" s="213">
        <f>SUM(F11:F12)</f>
        <v>5505563.3873909283</v>
      </c>
      <c r="G13" s="263"/>
      <c r="H13" s="209" t="s">
        <v>118</v>
      </c>
      <c r="I13" s="214">
        <v>0.60000000000000009</v>
      </c>
      <c r="J13" s="212">
        <v>107660217.41685569</v>
      </c>
      <c r="K13" s="211">
        <f>L13/J13</f>
        <v>5.0384993520249222E-2</v>
      </c>
      <c r="L13" s="244">
        <f>SUM(L11:L12)</f>
        <v>5424459.3569368962</v>
      </c>
      <c r="M13" s="263"/>
      <c r="N13" s="261">
        <f t="shared" si="0"/>
        <v>-81104.030454032123</v>
      </c>
    </row>
    <row r="14" spans="2:18" x14ac:dyDescent="0.25">
      <c r="B14" s="207"/>
      <c r="C14" s="215"/>
      <c r="D14" s="216"/>
      <c r="E14" s="211"/>
      <c r="F14" s="216"/>
      <c r="G14" s="263"/>
      <c r="H14" s="207"/>
      <c r="I14" s="215"/>
      <c r="J14" s="216"/>
      <c r="K14" s="211"/>
      <c r="L14" s="245"/>
      <c r="M14" s="263"/>
      <c r="N14" s="261">
        <f t="shared" si="0"/>
        <v>0</v>
      </c>
    </row>
    <row r="15" spans="2:18" x14ac:dyDescent="0.25">
      <c r="B15" s="209" t="s">
        <v>119</v>
      </c>
      <c r="C15" s="215"/>
      <c r="D15" s="216"/>
      <c r="E15" s="211"/>
      <c r="F15" s="216"/>
      <c r="G15" s="263"/>
      <c r="H15" s="209" t="s">
        <v>119</v>
      </c>
      <c r="I15" s="215"/>
      <c r="J15" s="216"/>
      <c r="K15" s="211"/>
      <c r="L15" s="245"/>
      <c r="M15" s="263"/>
      <c r="N15" s="261">
        <f t="shared" si="0"/>
        <v>0</v>
      </c>
    </row>
    <row r="16" spans="2:18" x14ac:dyDescent="0.25">
      <c r="B16" s="210" t="s">
        <v>120</v>
      </c>
      <c r="C16" s="214">
        <v>0.4</v>
      </c>
      <c r="D16" s="212">
        <v>71773478.27790378</v>
      </c>
      <c r="E16" s="211">
        <v>9.2499999999999999E-2</v>
      </c>
      <c r="F16" s="213">
        <f>D16*E16</f>
        <v>6639046.7407060992</v>
      </c>
      <c r="G16" s="263"/>
      <c r="H16" s="210" t="s">
        <v>120</v>
      </c>
      <c r="I16" s="214">
        <v>0.4</v>
      </c>
      <c r="J16" s="212">
        <v>71773478.27790378</v>
      </c>
      <c r="K16" s="219">
        <v>0.09</v>
      </c>
      <c r="L16" s="244">
        <f>J16*K16</f>
        <v>6459613.0450113397</v>
      </c>
      <c r="M16" s="263"/>
      <c r="N16" s="261">
        <f t="shared" si="0"/>
        <v>-179433.69569475949</v>
      </c>
    </row>
    <row r="17" spans="2:14" x14ac:dyDescent="0.25">
      <c r="B17" s="210" t="s">
        <v>121</v>
      </c>
      <c r="C17" s="211">
        <v>0</v>
      </c>
      <c r="D17" s="212">
        <v>0</v>
      </c>
      <c r="E17" s="211">
        <v>0</v>
      </c>
      <c r="F17" s="213">
        <f>D17*E17</f>
        <v>0</v>
      </c>
      <c r="G17" s="263"/>
      <c r="H17" s="210" t="s">
        <v>121</v>
      </c>
      <c r="I17" s="211">
        <v>0</v>
      </c>
      <c r="J17" s="212">
        <v>0</v>
      </c>
      <c r="K17" s="211">
        <v>0</v>
      </c>
      <c r="L17" s="244">
        <f>J17*K17</f>
        <v>0</v>
      </c>
      <c r="M17" s="263"/>
      <c r="N17" s="261">
        <f t="shared" si="0"/>
        <v>0</v>
      </c>
    </row>
    <row r="18" spans="2:14" x14ac:dyDescent="0.25">
      <c r="B18" s="209" t="s">
        <v>122</v>
      </c>
      <c r="C18" s="214">
        <v>0.4</v>
      </c>
      <c r="D18" s="212">
        <v>71773478.27790378</v>
      </c>
      <c r="E18" s="211">
        <f>F18/D18</f>
        <v>9.2499999999999999E-2</v>
      </c>
      <c r="F18" s="213">
        <f>SUM(F16:F17)</f>
        <v>6639046.7407060992</v>
      </c>
      <c r="G18" s="263"/>
      <c r="H18" s="209" t="s">
        <v>122</v>
      </c>
      <c r="I18" s="214">
        <v>0.4</v>
      </c>
      <c r="J18" s="212">
        <v>71773478.27790378</v>
      </c>
      <c r="K18" s="211">
        <f>L18/J18</f>
        <v>0.09</v>
      </c>
      <c r="L18" s="244">
        <f>SUM(L16:L17)</f>
        <v>6459613.0450113397</v>
      </c>
      <c r="M18" s="263"/>
      <c r="N18" s="261">
        <f t="shared" si="0"/>
        <v>-179433.69569475949</v>
      </c>
    </row>
    <row r="19" spans="2:14" x14ac:dyDescent="0.25">
      <c r="B19" s="207"/>
      <c r="C19" s="207"/>
      <c r="D19" s="216"/>
      <c r="E19" s="211"/>
      <c r="F19" s="216"/>
      <c r="G19" s="263"/>
      <c r="H19" s="207"/>
      <c r="I19" s="207"/>
      <c r="J19" s="216"/>
      <c r="K19" s="211"/>
      <c r="L19" s="245"/>
      <c r="M19" s="263"/>
      <c r="N19" s="261">
        <f t="shared" si="0"/>
        <v>0</v>
      </c>
    </row>
    <row r="20" spans="2:14" x14ac:dyDescent="0.25">
      <c r="B20" s="209" t="s">
        <v>39</v>
      </c>
      <c r="C20" s="217">
        <v>1</v>
      </c>
      <c r="D20" s="212">
        <v>179433695.69475946</v>
      </c>
      <c r="E20" s="211">
        <f>(C13*E13)+(C18*E18)</f>
        <v>6.7682996112149535E-2</v>
      </c>
      <c r="F20" s="213">
        <f>F13+F18</f>
        <v>12144610.128097028</v>
      </c>
      <c r="G20" s="264"/>
      <c r="H20" s="209" t="s">
        <v>39</v>
      </c>
      <c r="I20" s="217">
        <v>1</v>
      </c>
      <c r="J20" s="212">
        <v>179433695.69475946</v>
      </c>
      <c r="K20" s="211">
        <f>(I13*K13)+(I18*K18)</f>
        <v>6.6230996112149526E-2</v>
      </c>
      <c r="L20" s="244">
        <f>L13+L18</f>
        <v>11884072.401948236</v>
      </c>
      <c r="M20" s="264"/>
      <c r="N20" s="261">
        <f t="shared" si="0"/>
        <v>-260537.72614879161</v>
      </c>
    </row>
    <row r="21" spans="2:14" x14ac:dyDescent="0.25">
      <c r="G21" s="263"/>
      <c r="M21" s="263"/>
      <c r="N21" s="187"/>
    </row>
    <row r="22" spans="2:14" x14ac:dyDescent="0.25">
      <c r="G22" s="263"/>
      <c r="M22" s="263"/>
      <c r="N22" s="187"/>
    </row>
    <row r="23" spans="2:14" x14ac:dyDescent="0.25">
      <c r="B23" s="369" t="s">
        <v>151</v>
      </c>
      <c r="C23" s="369"/>
      <c r="D23" s="369"/>
      <c r="E23" s="369"/>
      <c r="F23" s="370"/>
      <c r="G23" s="263"/>
      <c r="H23" s="369" t="s">
        <v>152</v>
      </c>
      <c r="I23" s="369"/>
      <c r="J23" s="369"/>
      <c r="K23" s="369"/>
      <c r="L23" s="369"/>
      <c r="M23" s="263"/>
      <c r="N23" s="218"/>
    </row>
    <row r="24" spans="2:14" ht="25.5" x14ac:dyDescent="0.25">
      <c r="B24" s="221" t="s">
        <v>126</v>
      </c>
      <c r="C24" s="221"/>
      <c r="D24" s="207"/>
      <c r="E24" s="207"/>
      <c r="F24" s="222" t="s">
        <v>112</v>
      </c>
      <c r="G24" s="263"/>
      <c r="H24" s="221" t="s">
        <v>126</v>
      </c>
      <c r="I24" s="221"/>
      <c r="J24" s="207"/>
      <c r="K24" s="207"/>
      <c r="L24" s="246" t="s">
        <v>112</v>
      </c>
      <c r="M24" s="263"/>
      <c r="N24" s="187"/>
    </row>
    <row r="25" spans="2:14" x14ac:dyDescent="0.25">
      <c r="B25" s="207"/>
      <c r="C25" s="207"/>
      <c r="D25" s="207"/>
      <c r="E25" s="207"/>
      <c r="F25" s="207"/>
      <c r="G25" s="263"/>
      <c r="H25" s="207"/>
      <c r="I25" s="207"/>
      <c r="J25" s="207"/>
      <c r="K25" s="207"/>
      <c r="L25" s="243"/>
      <c r="M25" s="263"/>
      <c r="N25" s="187"/>
    </row>
    <row r="26" spans="2:14" x14ac:dyDescent="0.25">
      <c r="B26" s="223" t="s">
        <v>127</v>
      </c>
      <c r="C26" s="224"/>
      <c r="D26" s="207"/>
      <c r="E26" s="207"/>
      <c r="F26" s="224"/>
      <c r="G26" s="263"/>
      <c r="H26" s="223" t="s">
        <v>127</v>
      </c>
      <c r="I26" s="224"/>
      <c r="J26" s="207"/>
      <c r="K26" s="207"/>
      <c r="L26" s="247"/>
      <c r="M26" s="263"/>
      <c r="N26" s="187"/>
    </row>
    <row r="27" spans="2:14" x14ac:dyDescent="0.25">
      <c r="B27" s="207"/>
      <c r="C27" s="207"/>
      <c r="D27" s="207"/>
      <c r="E27" s="207"/>
      <c r="F27" s="207"/>
      <c r="G27" s="263"/>
      <c r="H27" s="207"/>
      <c r="I27" s="207"/>
      <c r="J27" s="207"/>
      <c r="K27" s="207"/>
      <c r="L27" s="243"/>
      <c r="M27" s="263"/>
      <c r="N27" s="187"/>
    </row>
    <row r="28" spans="2:14" x14ac:dyDescent="0.25">
      <c r="B28" s="364" t="s">
        <v>128</v>
      </c>
      <c r="C28" s="364"/>
      <c r="D28" s="207"/>
      <c r="E28" s="207"/>
      <c r="F28" s="225">
        <f>F16</f>
        <v>6639046.7407060992</v>
      </c>
      <c r="G28" s="263"/>
      <c r="H28" s="364" t="s">
        <v>128</v>
      </c>
      <c r="I28" s="364"/>
      <c r="J28" s="207"/>
      <c r="K28" s="207"/>
      <c r="L28" s="248">
        <f>L16</f>
        <v>6459613.0450113397</v>
      </c>
      <c r="M28" s="263"/>
      <c r="N28" s="187" t="s">
        <v>155</v>
      </c>
    </row>
    <row r="29" spans="2:14" x14ac:dyDescent="0.25">
      <c r="B29" s="207"/>
      <c r="C29" s="207"/>
      <c r="D29" s="207"/>
      <c r="E29" s="207"/>
      <c r="F29" s="226"/>
      <c r="G29" s="263"/>
      <c r="H29" s="207"/>
      <c r="I29" s="207"/>
      <c r="J29" s="207"/>
      <c r="K29" s="207"/>
      <c r="L29" s="249"/>
      <c r="M29" s="263"/>
      <c r="N29" s="187"/>
    </row>
    <row r="30" spans="2:14" x14ac:dyDescent="0.25">
      <c r="B30" s="365" t="s">
        <v>129</v>
      </c>
      <c r="C30" s="365"/>
      <c r="D30" s="207"/>
      <c r="E30" s="207"/>
      <c r="F30" s="225">
        <v>-3940913</v>
      </c>
      <c r="G30" s="263"/>
      <c r="H30" s="365" t="s">
        <v>129</v>
      </c>
      <c r="I30" s="365"/>
      <c r="J30" s="207"/>
      <c r="K30" s="207"/>
      <c r="L30" s="250">
        <v>-3940913</v>
      </c>
      <c r="M30" s="263"/>
      <c r="N30" s="187" t="s">
        <v>155</v>
      </c>
    </row>
    <row r="31" spans="2:14" x14ac:dyDescent="0.25">
      <c r="B31" s="207"/>
      <c r="C31" s="207"/>
      <c r="D31" s="207"/>
      <c r="E31" s="207"/>
      <c r="F31" s="226"/>
      <c r="G31" s="263"/>
      <c r="H31" s="207"/>
      <c r="I31" s="207"/>
      <c r="J31" s="207"/>
      <c r="K31" s="207"/>
      <c r="L31" s="249"/>
      <c r="M31" s="263"/>
      <c r="N31" s="187"/>
    </row>
    <row r="32" spans="2:14" x14ac:dyDescent="0.25">
      <c r="B32" s="364" t="s">
        <v>130</v>
      </c>
      <c r="C32" s="364"/>
      <c r="D32" s="207"/>
      <c r="E32" s="207"/>
      <c r="F32" s="226">
        <f>F28+F30</f>
        <v>2698133.7407060992</v>
      </c>
      <c r="G32" s="263"/>
      <c r="H32" s="364" t="s">
        <v>130</v>
      </c>
      <c r="I32" s="364"/>
      <c r="J32" s="207"/>
      <c r="K32" s="207"/>
      <c r="L32" s="249">
        <f>L28+L30</f>
        <v>2518700.0450113397</v>
      </c>
      <c r="M32" s="263"/>
      <c r="N32" s="187" t="s">
        <v>155</v>
      </c>
    </row>
    <row r="33" spans="2:14" x14ac:dyDescent="0.25">
      <c r="B33" s="207"/>
      <c r="C33" s="207"/>
      <c r="D33" s="207"/>
      <c r="E33" s="207"/>
      <c r="F33" s="226"/>
      <c r="G33" s="263"/>
      <c r="H33" s="207"/>
      <c r="I33" s="207"/>
      <c r="J33" s="207"/>
      <c r="K33" s="207"/>
      <c r="L33" s="249"/>
      <c r="M33" s="263"/>
      <c r="N33" s="187"/>
    </row>
    <row r="34" spans="2:14" x14ac:dyDescent="0.25">
      <c r="B34" s="223" t="s">
        <v>131</v>
      </c>
      <c r="C34" s="224"/>
      <c r="D34" s="207"/>
      <c r="E34" s="207"/>
      <c r="F34" s="227"/>
      <c r="G34" s="263"/>
      <c r="H34" s="223" t="s">
        <v>131</v>
      </c>
      <c r="I34" s="224"/>
      <c r="J34" s="207"/>
      <c r="K34" s="207"/>
      <c r="L34" s="251"/>
      <c r="M34" s="263"/>
      <c r="N34" s="187"/>
    </row>
    <row r="35" spans="2:14" x14ac:dyDescent="0.25">
      <c r="B35" s="207"/>
      <c r="C35" s="207"/>
      <c r="D35" s="207"/>
      <c r="E35" s="207"/>
      <c r="F35" s="228"/>
      <c r="G35" s="263"/>
      <c r="H35" s="207"/>
      <c r="I35" s="207"/>
      <c r="J35" s="207"/>
      <c r="K35" s="207"/>
      <c r="L35" s="252"/>
      <c r="M35" s="263"/>
      <c r="N35" s="187"/>
    </row>
    <row r="36" spans="2:14" x14ac:dyDescent="0.25">
      <c r="B36" s="207" t="s">
        <v>132</v>
      </c>
      <c r="C36" s="207"/>
      <c r="D36" s="207"/>
      <c r="E36" s="207"/>
      <c r="F36" s="225">
        <f>F32*F47</f>
        <v>715005.44128711638</v>
      </c>
      <c r="G36" s="263"/>
      <c r="H36" s="207" t="s">
        <v>132</v>
      </c>
      <c r="I36" s="207"/>
      <c r="J36" s="207"/>
      <c r="K36" s="207"/>
      <c r="L36" s="250">
        <f>L32*L47</f>
        <v>667455.51192800503</v>
      </c>
      <c r="M36" s="263"/>
      <c r="N36" s="187" t="s">
        <v>155</v>
      </c>
    </row>
    <row r="37" spans="2:14" x14ac:dyDescent="0.25">
      <c r="B37" s="207"/>
      <c r="C37" s="207"/>
      <c r="D37" s="207"/>
      <c r="E37" s="207"/>
      <c r="F37" s="230"/>
      <c r="G37" s="263"/>
      <c r="H37" s="207"/>
      <c r="I37" s="207"/>
      <c r="J37" s="207"/>
      <c r="K37" s="207"/>
      <c r="L37" s="253"/>
      <c r="M37" s="263"/>
      <c r="N37" s="187"/>
    </row>
    <row r="38" spans="2:14" x14ac:dyDescent="0.25">
      <c r="B38" s="207" t="s">
        <v>133</v>
      </c>
      <c r="C38" s="207"/>
      <c r="D38" s="207"/>
      <c r="E38" s="207"/>
      <c r="F38" s="231">
        <f>(F36/(1-F47))-F36</f>
        <v>257791.0774708651</v>
      </c>
      <c r="G38" s="263"/>
      <c r="H38" s="207" t="s">
        <v>133</v>
      </c>
      <c r="I38" s="207"/>
      <c r="J38" s="207"/>
      <c r="K38" s="207"/>
      <c r="L38" s="254">
        <f>(L36/(1-L47))-L36</f>
        <v>240647.22538900864</v>
      </c>
      <c r="M38" s="263"/>
      <c r="N38" s="187" t="s">
        <v>155</v>
      </c>
    </row>
    <row r="39" spans="2:14" x14ac:dyDescent="0.25">
      <c r="B39" s="207"/>
      <c r="C39" s="207"/>
      <c r="D39" s="207"/>
      <c r="E39" s="207"/>
      <c r="F39" s="231"/>
      <c r="G39" s="263"/>
      <c r="H39" s="207"/>
      <c r="I39" s="207"/>
      <c r="J39" s="207"/>
      <c r="K39" s="207"/>
      <c r="L39" s="254"/>
      <c r="M39" s="263"/>
      <c r="N39" s="187"/>
    </row>
    <row r="40" spans="2:14" x14ac:dyDescent="0.25">
      <c r="B40" s="207" t="s">
        <v>134</v>
      </c>
      <c r="C40" s="207"/>
      <c r="D40" s="207"/>
      <c r="E40" s="207"/>
      <c r="F40" s="231">
        <f>F36+F38</f>
        <v>972796.51875798148</v>
      </c>
      <c r="G40" s="263"/>
      <c r="H40" s="207" t="s">
        <v>134</v>
      </c>
      <c r="I40" s="207"/>
      <c r="J40" s="207"/>
      <c r="K40" s="207"/>
      <c r="L40" s="254">
        <f>L36+L38</f>
        <v>908102.73731701367</v>
      </c>
      <c r="M40" s="263"/>
      <c r="N40" s="261">
        <f>L40-F40</f>
        <v>-64693.78144096781</v>
      </c>
    </row>
    <row r="41" spans="2:14" x14ac:dyDescent="0.25">
      <c r="B41" s="207"/>
      <c r="C41" s="207"/>
      <c r="D41" s="207"/>
      <c r="E41" s="207"/>
      <c r="F41" s="231"/>
      <c r="G41" s="263"/>
      <c r="H41" s="207"/>
      <c r="I41" s="207"/>
      <c r="J41" s="207"/>
      <c r="K41" s="207"/>
      <c r="L41" s="254"/>
      <c r="M41" s="263"/>
      <c r="N41" s="187"/>
    </row>
    <row r="42" spans="2:14" x14ac:dyDescent="0.25">
      <c r="B42" s="207"/>
      <c r="C42" s="207"/>
      <c r="D42" s="207"/>
      <c r="E42" s="207"/>
      <c r="F42" s="207"/>
      <c r="G42" s="263"/>
      <c r="H42" s="207"/>
      <c r="I42" s="207"/>
      <c r="J42" s="207"/>
      <c r="K42" s="207"/>
      <c r="L42" s="243"/>
      <c r="M42" s="263"/>
      <c r="N42" s="187"/>
    </row>
    <row r="43" spans="2:14" x14ac:dyDescent="0.25">
      <c r="B43" s="223" t="s">
        <v>135</v>
      </c>
      <c r="C43" s="224"/>
      <c r="D43" s="207"/>
      <c r="E43" s="207"/>
      <c r="F43" s="207"/>
      <c r="G43" s="263"/>
      <c r="H43" s="223" t="s">
        <v>135</v>
      </c>
      <c r="I43" s="224"/>
      <c r="J43" s="207"/>
      <c r="K43" s="207"/>
      <c r="L43" s="243"/>
      <c r="M43" s="263"/>
      <c r="N43" s="187"/>
    </row>
    <row r="44" spans="2:14" x14ac:dyDescent="0.25">
      <c r="B44" s="207"/>
      <c r="C44" s="207"/>
      <c r="D44" s="207"/>
      <c r="E44" s="207"/>
      <c r="F44" s="233"/>
      <c r="G44" s="263"/>
      <c r="H44" s="207"/>
      <c r="I44" s="207"/>
      <c r="J44" s="207"/>
      <c r="K44" s="207"/>
      <c r="L44" s="255"/>
      <c r="M44" s="263"/>
      <c r="N44" s="187"/>
    </row>
    <row r="45" spans="2:14" x14ac:dyDescent="0.25">
      <c r="B45" s="207" t="s">
        <v>136</v>
      </c>
      <c r="C45" s="207"/>
      <c r="D45" s="207"/>
      <c r="E45" s="207"/>
      <c r="F45" s="234">
        <v>0.15</v>
      </c>
      <c r="G45" s="263"/>
      <c r="H45" s="207" t="s">
        <v>136</v>
      </c>
      <c r="I45" s="207"/>
      <c r="J45" s="207"/>
      <c r="K45" s="207"/>
      <c r="L45" s="256">
        <v>0.15</v>
      </c>
      <c r="M45" s="263"/>
      <c r="N45" s="187" t="s">
        <v>155</v>
      </c>
    </row>
    <row r="46" spans="2:14" x14ac:dyDescent="0.25">
      <c r="B46" s="207" t="s">
        <v>137</v>
      </c>
      <c r="C46" s="207"/>
      <c r="D46" s="207"/>
      <c r="E46" s="207"/>
      <c r="F46" s="235">
        <v>0.115</v>
      </c>
      <c r="G46" s="263"/>
      <c r="H46" s="207" t="s">
        <v>137</v>
      </c>
      <c r="I46" s="207"/>
      <c r="J46" s="207"/>
      <c r="K46" s="207"/>
      <c r="L46" s="257">
        <v>0.115</v>
      </c>
      <c r="M46" s="263"/>
      <c r="N46" s="187" t="s">
        <v>155</v>
      </c>
    </row>
    <row r="47" spans="2:14" x14ac:dyDescent="0.25">
      <c r="B47" s="207" t="s">
        <v>138</v>
      </c>
      <c r="C47" s="207"/>
      <c r="D47" s="207"/>
      <c r="E47" s="207"/>
      <c r="F47" s="236">
        <v>0.26500000000000001</v>
      </c>
      <c r="G47" s="263"/>
      <c r="H47" s="207" t="s">
        <v>138</v>
      </c>
      <c r="I47" s="207"/>
      <c r="J47" s="207"/>
      <c r="K47" s="207"/>
      <c r="L47" s="258">
        <v>0.26500000000000001</v>
      </c>
      <c r="M47" s="263"/>
      <c r="N47" s="187" t="s">
        <v>155</v>
      </c>
    </row>
    <row r="48" spans="2:14" x14ac:dyDescent="0.25">
      <c r="G48" s="263"/>
      <c r="M48" s="263"/>
      <c r="N48" s="187"/>
    </row>
    <row r="49" spans="2:14" x14ac:dyDescent="0.25">
      <c r="B49" s="366" t="s">
        <v>153</v>
      </c>
      <c r="C49" s="366"/>
      <c r="D49" s="366"/>
      <c r="E49" s="366"/>
      <c r="F49" s="366"/>
      <c r="G49" s="263"/>
      <c r="H49" s="366" t="s">
        <v>154</v>
      </c>
      <c r="I49" s="366"/>
      <c r="J49" s="366"/>
      <c r="K49" s="366"/>
      <c r="L49" s="367"/>
      <c r="M49" s="263"/>
      <c r="N49" s="218"/>
    </row>
    <row r="50" spans="2:14" x14ac:dyDescent="0.25">
      <c r="B50" s="207" t="s">
        <v>140</v>
      </c>
      <c r="C50" s="207"/>
      <c r="D50" s="207"/>
      <c r="E50" s="207"/>
      <c r="F50" s="238">
        <v>15348227.007118259</v>
      </c>
      <c r="G50" s="263"/>
      <c r="H50" s="207" t="s">
        <v>140</v>
      </c>
      <c r="I50" s="207"/>
      <c r="J50" s="207"/>
      <c r="K50" s="207"/>
      <c r="L50" s="259">
        <v>15348227.007118259</v>
      </c>
      <c r="M50" s="263"/>
      <c r="N50" s="261">
        <f>L50-F50</f>
        <v>0</v>
      </c>
    </row>
    <row r="51" spans="2:14" x14ac:dyDescent="0.25">
      <c r="B51" s="207" t="s">
        <v>141</v>
      </c>
      <c r="C51" s="207"/>
      <c r="D51" s="207"/>
      <c r="E51" s="207"/>
      <c r="F51" s="238">
        <v>5748110.6064724997</v>
      </c>
      <c r="G51" s="263"/>
      <c r="H51" s="207" t="s">
        <v>141</v>
      </c>
      <c r="I51" s="207"/>
      <c r="J51" s="207"/>
      <c r="K51" s="207"/>
      <c r="L51" s="259">
        <v>5748110.6064724997</v>
      </c>
      <c r="M51" s="263"/>
      <c r="N51" s="261">
        <f>L51-F51</f>
        <v>0</v>
      </c>
    </row>
    <row r="52" spans="2:14" x14ac:dyDescent="0.25">
      <c r="B52" s="207" t="s">
        <v>142</v>
      </c>
      <c r="C52" s="207"/>
      <c r="D52" s="207"/>
      <c r="E52" s="207"/>
      <c r="F52" s="238">
        <v>260000</v>
      </c>
      <c r="G52" s="263"/>
      <c r="H52" s="207" t="s">
        <v>142</v>
      </c>
      <c r="I52" s="207"/>
      <c r="J52" s="207"/>
      <c r="K52" s="207"/>
      <c r="L52" s="259">
        <v>260000</v>
      </c>
      <c r="M52" s="263"/>
      <c r="N52" s="261">
        <f>L52-F52</f>
        <v>0</v>
      </c>
    </row>
    <row r="53" spans="2:14" x14ac:dyDescent="0.25">
      <c r="B53" s="229"/>
      <c r="C53" s="207"/>
      <c r="D53" s="207"/>
      <c r="E53" s="207"/>
      <c r="F53" s="238">
        <v>0</v>
      </c>
      <c r="G53" s="263"/>
      <c r="H53" s="229"/>
      <c r="I53" s="207"/>
      <c r="J53" s="207"/>
      <c r="K53" s="207"/>
      <c r="L53" s="259">
        <v>0</v>
      </c>
      <c r="M53" s="263"/>
      <c r="N53" s="261">
        <f>L53-F53</f>
        <v>0</v>
      </c>
    </row>
    <row r="54" spans="2:14" x14ac:dyDescent="0.25">
      <c r="B54" s="207" t="s">
        <v>143</v>
      </c>
      <c r="C54" s="207"/>
      <c r="D54" s="207"/>
      <c r="E54" s="207"/>
      <c r="F54" s="239">
        <f>F40</f>
        <v>972796.51875798148</v>
      </c>
      <c r="G54" s="263"/>
      <c r="H54" s="207" t="s">
        <v>143</v>
      </c>
      <c r="I54" s="207"/>
      <c r="J54" s="207"/>
      <c r="K54" s="207"/>
      <c r="L54" s="260">
        <f>L40</f>
        <v>908102.73731701367</v>
      </c>
      <c r="M54" s="263"/>
      <c r="N54" s="261">
        <f>L54-F54</f>
        <v>-64693.78144096781</v>
      </c>
    </row>
    <row r="55" spans="2:14" x14ac:dyDescent="0.25">
      <c r="B55" s="207" t="s">
        <v>144</v>
      </c>
      <c r="C55" s="207"/>
      <c r="D55" s="207"/>
      <c r="E55" s="207"/>
      <c r="F55" s="238" t="s">
        <v>139</v>
      </c>
      <c r="G55" s="263"/>
      <c r="H55" s="207" t="s">
        <v>144</v>
      </c>
      <c r="I55" s="207"/>
      <c r="J55" s="207"/>
      <c r="K55" s="207"/>
      <c r="L55" s="259" t="s">
        <v>139</v>
      </c>
      <c r="M55" s="263"/>
      <c r="N55" s="261"/>
    </row>
    <row r="56" spans="2:14" x14ac:dyDescent="0.25">
      <c r="B56" s="207" t="s">
        <v>145</v>
      </c>
      <c r="C56" s="207"/>
      <c r="D56" s="207"/>
      <c r="E56" s="207"/>
      <c r="F56" s="238"/>
      <c r="G56" s="263"/>
      <c r="H56" s="207" t="s">
        <v>145</v>
      </c>
      <c r="I56" s="207"/>
      <c r="J56" s="207"/>
      <c r="K56" s="207"/>
      <c r="L56" s="259"/>
      <c r="M56" s="263"/>
      <c r="N56" s="261">
        <f t="shared" ref="N56:N63" si="1">L56-F56</f>
        <v>0</v>
      </c>
    </row>
    <row r="57" spans="2:14" x14ac:dyDescent="0.25">
      <c r="B57" s="240" t="s">
        <v>146</v>
      </c>
      <c r="C57" s="207"/>
      <c r="D57" s="207"/>
      <c r="E57" s="207"/>
      <c r="F57" s="239">
        <f>F13</f>
        <v>5505563.3873909283</v>
      </c>
      <c r="G57" s="263"/>
      <c r="H57" s="240" t="s">
        <v>146</v>
      </c>
      <c r="I57" s="207"/>
      <c r="J57" s="207"/>
      <c r="K57" s="207"/>
      <c r="L57" s="260">
        <f>L13</f>
        <v>5424459.3569368962</v>
      </c>
      <c r="M57" s="263"/>
      <c r="N57" s="261">
        <f t="shared" si="1"/>
        <v>-81104.030454032123</v>
      </c>
    </row>
    <row r="58" spans="2:14" x14ac:dyDescent="0.25">
      <c r="B58" s="240" t="s">
        <v>147</v>
      </c>
      <c r="C58" s="207"/>
      <c r="D58" s="207"/>
      <c r="E58" s="207"/>
      <c r="F58" s="239">
        <f>F18</f>
        <v>6639046.7407060992</v>
      </c>
      <c r="G58" s="263"/>
      <c r="H58" s="240" t="s">
        <v>147</v>
      </c>
      <c r="I58" s="207"/>
      <c r="J58" s="207"/>
      <c r="K58" s="207"/>
      <c r="L58" s="260">
        <f>L18</f>
        <v>6459613.0450113397</v>
      </c>
      <c r="M58" s="263"/>
      <c r="N58" s="261">
        <f t="shared" si="1"/>
        <v>-179433.69569475949</v>
      </c>
    </row>
    <row r="59" spans="2:14" x14ac:dyDescent="0.25">
      <c r="B59" s="207"/>
      <c r="C59" s="207"/>
      <c r="D59" s="207"/>
      <c r="E59" s="207"/>
      <c r="F59" s="238"/>
      <c r="G59" s="263"/>
      <c r="H59" s="207"/>
      <c r="I59" s="207"/>
      <c r="J59" s="207"/>
      <c r="K59" s="207"/>
      <c r="L59" s="259"/>
      <c r="M59" s="263"/>
      <c r="N59" s="261">
        <f t="shared" si="1"/>
        <v>0</v>
      </c>
    </row>
    <row r="60" spans="2:14" ht="64.5" x14ac:dyDescent="0.25">
      <c r="B60" s="241" t="s">
        <v>148</v>
      </c>
      <c r="C60" s="207"/>
      <c r="D60" s="207"/>
      <c r="E60" s="207"/>
      <c r="F60" s="238">
        <f>SUM(F50:F58)</f>
        <v>34473744.260445766</v>
      </c>
      <c r="G60" s="263"/>
      <c r="H60" s="241" t="s">
        <v>148</v>
      </c>
      <c r="I60" s="207"/>
      <c r="J60" s="207"/>
      <c r="K60" s="207"/>
      <c r="L60" s="259">
        <f>SUM(L50:L58)</f>
        <v>34148512.752856009</v>
      </c>
      <c r="M60" s="263"/>
      <c r="N60" s="261">
        <f t="shared" si="1"/>
        <v>-325231.50758975744</v>
      </c>
    </row>
    <row r="61" spans="2:14" x14ac:dyDescent="0.25">
      <c r="B61" s="232"/>
      <c r="C61" s="207"/>
      <c r="D61" s="207"/>
      <c r="E61" s="207"/>
      <c r="F61" s="238"/>
      <c r="G61" s="263"/>
      <c r="H61" s="232"/>
      <c r="I61" s="207"/>
      <c r="J61" s="207"/>
      <c r="K61" s="207"/>
      <c r="L61" s="259"/>
      <c r="M61" s="263"/>
      <c r="N61" s="261">
        <f t="shared" si="1"/>
        <v>0</v>
      </c>
    </row>
    <row r="62" spans="2:14" ht="30" x14ac:dyDescent="0.25">
      <c r="B62" s="232" t="s">
        <v>149</v>
      </c>
      <c r="C62" s="207"/>
      <c r="D62" s="207"/>
      <c r="E62" s="207"/>
      <c r="F62" s="238">
        <v>786453.96000000008</v>
      </c>
      <c r="G62" s="263"/>
      <c r="H62" s="232" t="s">
        <v>149</v>
      </c>
      <c r="I62" s="207"/>
      <c r="J62" s="207"/>
      <c r="K62" s="207"/>
      <c r="L62" s="259">
        <v>786453.96000000008</v>
      </c>
      <c r="M62" s="263"/>
      <c r="N62" s="261">
        <f t="shared" si="1"/>
        <v>0</v>
      </c>
    </row>
    <row r="63" spans="2:14" ht="26.25" x14ac:dyDescent="0.25">
      <c r="B63" s="241" t="s">
        <v>150</v>
      </c>
      <c r="C63" s="207"/>
      <c r="D63" s="207"/>
      <c r="E63" s="207"/>
      <c r="F63" s="238">
        <f>F60-F62</f>
        <v>33687290.300445765</v>
      </c>
      <c r="G63" s="263"/>
      <c r="H63" s="241" t="s">
        <v>150</v>
      </c>
      <c r="I63" s="207"/>
      <c r="J63" s="207"/>
      <c r="K63" s="207"/>
      <c r="L63" s="259">
        <f>L60-L62</f>
        <v>33362058.792856008</v>
      </c>
      <c r="M63" s="263"/>
      <c r="N63" s="261">
        <f t="shared" si="1"/>
        <v>-325231.50758975744</v>
      </c>
    </row>
    <row r="65" spans="2:14" x14ac:dyDescent="0.25">
      <c r="B65" s="237"/>
      <c r="L65" t="s">
        <v>222</v>
      </c>
      <c r="N65" s="327">
        <f>N40+N18</f>
        <v>-244127.4771357273</v>
      </c>
    </row>
    <row r="66" spans="2:14" x14ac:dyDescent="0.25">
      <c r="L66" t="s">
        <v>223</v>
      </c>
      <c r="N66" s="327">
        <f>+N12</f>
        <v>-81104.03045403125</v>
      </c>
    </row>
    <row r="67" spans="2:14" x14ac:dyDescent="0.25">
      <c r="N67" s="327">
        <f>SUM(N65:N66)</f>
        <v>-325231.50758975855</v>
      </c>
    </row>
  </sheetData>
  <mergeCells count="14">
    <mergeCell ref="B8:F8"/>
    <mergeCell ref="B7:F7"/>
    <mergeCell ref="H7:L7"/>
    <mergeCell ref="H8:L8"/>
    <mergeCell ref="B23:F23"/>
    <mergeCell ref="H23:L23"/>
    <mergeCell ref="B28:C28"/>
    <mergeCell ref="B30:C30"/>
    <mergeCell ref="B32:C32"/>
    <mergeCell ref="B49:F49"/>
    <mergeCell ref="H49:L49"/>
    <mergeCell ref="H28:I28"/>
    <mergeCell ref="H30:I30"/>
    <mergeCell ref="H32:I32"/>
  </mergeCells>
  <pageMargins left="0.7" right="0.7" top="0.75" bottom="0.75" header="0.3" footer="0.3"/>
  <pageSetup scale="65" orientation="landscape" horizontalDpi="1200" verticalDpi="1200" r:id="rId1"/>
  <rowBreaks count="2" manualBreakCount="2">
    <brk id="21" max="16383" man="1"/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4982-61F9-4BF2-A139-8D79528AD383}">
  <sheetPr>
    <tabColor theme="8" tint="0.79998168889431442"/>
    <pageSetUpPr fitToPage="1"/>
  </sheetPr>
  <dimension ref="B2:O32"/>
  <sheetViews>
    <sheetView view="pageBreakPreview" zoomScale="90" zoomScaleNormal="100" zoomScaleSheetLayoutView="90" workbookViewId="0">
      <selection activeCell="L7" sqref="L7"/>
    </sheetView>
  </sheetViews>
  <sheetFormatPr defaultRowHeight="15" x14ac:dyDescent="0.25"/>
  <cols>
    <col min="1" max="1" width="2.85546875" customWidth="1"/>
    <col min="2" max="2" width="15" customWidth="1"/>
    <col min="3" max="3" width="16.7109375" customWidth="1"/>
    <col min="4" max="4" width="16.28515625" customWidth="1"/>
    <col min="5" max="5" width="13.28515625" bestFit="1" customWidth="1"/>
    <col min="6" max="6" width="25.140625" bestFit="1" customWidth="1"/>
    <col min="7" max="7" width="15.28515625" customWidth="1"/>
    <col min="8" max="8" width="20.28515625" customWidth="1"/>
    <col min="9" max="9" width="23.5703125" customWidth="1"/>
    <col min="10" max="10" width="19.28515625" customWidth="1"/>
    <col min="11" max="11" width="13.28515625" customWidth="1"/>
    <col min="12" max="13" width="19" customWidth="1"/>
    <col min="14" max="14" width="23.7109375" bestFit="1" customWidth="1"/>
  </cols>
  <sheetData>
    <row r="2" spans="2:15" ht="15.75" thickBot="1" x14ac:dyDescent="0.3"/>
    <row r="3" spans="2:15" x14ac:dyDescent="0.25">
      <c r="B3" s="371" t="s">
        <v>91</v>
      </c>
      <c r="C3" s="372"/>
      <c r="D3" s="372"/>
      <c r="E3" s="372"/>
      <c r="F3" s="373"/>
    </row>
    <row r="4" spans="2:15" ht="15.75" thickBot="1" x14ac:dyDescent="0.3">
      <c r="B4" s="374"/>
      <c r="C4" s="375"/>
      <c r="D4" s="375"/>
      <c r="E4" s="375"/>
      <c r="F4" s="376"/>
      <c r="N4" s="377"/>
      <c r="O4" s="377"/>
    </row>
    <row r="5" spans="2:15" ht="63.75" x14ac:dyDescent="0.25">
      <c r="B5" s="98"/>
      <c r="C5" s="99" t="s">
        <v>225</v>
      </c>
      <c r="D5" s="99" t="s">
        <v>73</v>
      </c>
      <c r="E5" s="99" t="s">
        <v>75</v>
      </c>
      <c r="F5" s="100" t="s">
        <v>74</v>
      </c>
      <c r="H5" s="99" t="s">
        <v>164</v>
      </c>
      <c r="I5" s="99" t="s">
        <v>163</v>
      </c>
      <c r="J5" s="99" t="s">
        <v>162</v>
      </c>
      <c r="K5" s="99" t="s">
        <v>166</v>
      </c>
    </row>
    <row r="6" spans="2:15" x14ac:dyDescent="0.25">
      <c r="B6" s="15" t="s">
        <v>38</v>
      </c>
      <c r="C6" s="273">
        <v>21640232</v>
      </c>
      <c r="D6" s="273">
        <v>519971</v>
      </c>
      <c r="E6" s="273">
        <v>22482502</v>
      </c>
      <c r="F6" s="102">
        <f>(D6+E6)/C6</f>
        <v>1.0629494637580594</v>
      </c>
      <c r="H6" s="273">
        <f>E6</f>
        <v>22482502</v>
      </c>
      <c r="I6" s="271">
        <f>'2025 Revenue Reqt Update -CoC'!$I$5</f>
        <v>-9.6544276695788092E-3</v>
      </c>
      <c r="J6" s="273">
        <f>H6*(1+I6)</f>
        <v>22265446.31060984</v>
      </c>
      <c r="K6" s="273">
        <f>J6-H6</f>
        <v>-217055.68939016014</v>
      </c>
      <c r="M6" s="325"/>
    </row>
    <row r="7" spans="2:15" x14ac:dyDescent="0.25">
      <c r="B7" s="15" t="s">
        <v>13</v>
      </c>
      <c r="C7" s="273">
        <v>8341611</v>
      </c>
      <c r="D7" s="273">
        <v>149230</v>
      </c>
      <c r="E7" s="273">
        <v>7474952</v>
      </c>
      <c r="F7" s="102">
        <f t="shared" ref="F7:F9" si="0">(D7+E7)/C7</f>
        <v>0.91399395152806817</v>
      </c>
      <c r="H7" s="273">
        <f>E7</f>
        <v>7474952</v>
      </c>
      <c r="I7" s="271">
        <f>'2025 Revenue Reqt Update -CoC'!$I$5</f>
        <v>-9.6544276695788092E-3</v>
      </c>
      <c r="J7" s="273">
        <f t="shared" ref="J7:J9" si="1">H7*(1+I7)</f>
        <v>7402785.6165824262</v>
      </c>
      <c r="K7" s="273">
        <f t="shared" ref="K7:K10" si="2">J7-H7</f>
        <v>-72166.383417573757</v>
      </c>
      <c r="M7" s="325"/>
    </row>
    <row r="8" spans="2:15" x14ac:dyDescent="0.25">
      <c r="B8" s="15" t="s">
        <v>15</v>
      </c>
      <c r="C8" s="273">
        <v>4254201</v>
      </c>
      <c r="D8" s="273">
        <v>110593</v>
      </c>
      <c r="E8" s="273">
        <v>3505478</v>
      </c>
      <c r="F8" s="102">
        <f t="shared" si="0"/>
        <v>0.85000003525926493</v>
      </c>
      <c r="H8" s="273">
        <f>E8</f>
        <v>3505478</v>
      </c>
      <c r="I8" s="271">
        <f>'2025 Revenue Reqt Update -CoC'!$I$5</f>
        <v>-9.6544276695788092E-3</v>
      </c>
      <c r="J8" s="273">
        <f t="shared" si="1"/>
        <v>3471634.6162017002</v>
      </c>
      <c r="K8" s="273">
        <f t="shared" si="2"/>
        <v>-33843.383798299823</v>
      </c>
      <c r="M8" s="325"/>
    </row>
    <row r="9" spans="2:15" x14ac:dyDescent="0.25">
      <c r="B9" s="15" t="s">
        <v>16</v>
      </c>
      <c r="C9" s="273">
        <v>237701</v>
      </c>
      <c r="D9" s="273">
        <v>6660</v>
      </c>
      <c r="E9" s="273">
        <v>224359</v>
      </c>
      <c r="F9" s="102">
        <f t="shared" si="0"/>
        <v>0.97188905389544011</v>
      </c>
      <c r="H9" s="273">
        <f>E9</f>
        <v>224359</v>
      </c>
      <c r="I9" s="271">
        <f>'2025 Revenue Reqt Update -CoC'!$I$5</f>
        <v>-9.6544276695788092E-3</v>
      </c>
      <c r="J9" s="273">
        <f t="shared" si="1"/>
        <v>222192.94226248097</v>
      </c>
      <c r="K9" s="273">
        <f t="shared" si="2"/>
        <v>-2166.0577375190333</v>
      </c>
    </row>
    <row r="10" spans="2:15" ht="15.75" thickBot="1" x14ac:dyDescent="0.3">
      <c r="B10" s="30" t="s">
        <v>39</v>
      </c>
      <c r="C10" s="274">
        <f>SUM(C6:C9)</f>
        <v>34473745</v>
      </c>
      <c r="D10" s="274">
        <f>SUM(D6:D9)</f>
        <v>786454</v>
      </c>
      <c r="E10" s="274">
        <f>SUM(E6:E9)</f>
        <v>33687291</v>
      </c>
      <c r="F10" s="103"/>
      <c r="H10" s="274">
        <f>SUM(H6:H9)</f>
        <v>33687291</v>
      </c>
      <c r="I10" s="272"/>
      <c r="J10" s="274">
        <f>SUM(J6:J9)</f>
        <v>33362059.485656448</v>
      </c>
      <c r="K10" s="274">
        <f t="shared" si="2"/>
        <v>-325231.51434355229</v>
      </c>
    </row>
    <row r="11" spans="2:15" x14ac:dyDescent="0.25">
      <c r="G11" t="s">
        <v>165</v>
      </c>
      <c r="H11" s="275">
        <f>H10-'2025 Revenue Reqt Update -CoC'!F63</f>
        <v>0.69955423474311829</v>
      </c>
      <c r="I11" s="275"/>
      <c r="J11" s="275">
        <f>J10-'2025 Revenue Reqt Update -CoC'!L63</f>
        <v>0.69280043989419937</v>
      </c>
      <c r="K11" s="275">
        <f>K10-'2025 Revenue Reqt Update -CoC'!N63</f>
        <v>-6.7537948489189148E-3</v>
      </c>
    </row>
    <row r="12" spans="2:15" x14ac:dyDescent="0.25">
      <c r="F12" s="101"/>
    </row>
    <row r="13" spans="2:15" ht="15.75" thickBot="1" x14ac:dyDescent="0.3"/>
    <row r="14" spans="2:15" ht="51" x14ac:dyDescent="0.25">
      <c r="D14" s="98"/>
      <c r="E14" s="99" t="s">
        <v>166</v>
      </c>
      <c r="F14" s="99" t="s">
        <v>188</v>
      </c>
      <c r="G14" s="100" t="s">
        <v>199</v>
      </c>
      <c r="H14" s="318" t="s">
        <v>195</v>
      </c>
      <c r="I14" s="99" t="s">
        <v>200</v>
      </c>
      <c r="J14" s="99" t="s">
        <v>203</v>
      </c>
      <c r="K14" s="100" t="s">
        <v>187</v>
      </c>
      <c r="L14" s="314" t="s">
        <v>218</v>
      </c>
      <c r="M14" s="306" t="s">
        <v>220</v>
      </c>
      <c r="N14" s="307" t="s">
        <v>219</v>
      </c>
    </row>
    <row r="15" spans="2:15" x14ac:dyDescent="0.25">
      <c r="D15" s="15" t="s">
        <v>38</v>
      </c>
      <c r="E15" s="273">
        <f>K6</f>
        <v>-217055.68939016014</v>
      </c>
      <c r="F15" s="273">
        <f>E15*$C$31</f>
        <v>-6848.1070002595525</v>
      </c>
      <c r="G15" s="312">
        <f>K6+F15</f>
        <v>-223903.79639041971</v>
      </c>
      <c r="H15" s="319" t="s">
        <v>196</v>
      </c>
      <c r="I15" s="207" t="s">
        <v>155</v>
      </c>
      <c r="J15" s="207" t="s">
        <v>204</v>
      </c>
      <c r="K15" s="320">
        <f>G15</f>
        <v>-223903.79639041971</v>
      </c>
      <c r="L15" s="315">
        <f>K15</f>
        <v>-223903.79639041971</v>
      </c>
      <c r="M15" s="301">
        <f>L15-G15</f>
        <v>0</v>
      </c>
      <c r="N15" s="308">
        <f>M15/G15</f>
        <v>0</v>
      </c>
    </row>
    <row r="16" spans="2:15" x14ac:dyDescent="0.25">
      <c r="D16" s="15" t="s">
        <v>13</v>
      </c>
      <c r="E16" s="273">
        <f>K7</f>
        <v>-72166.383417573757</v>
      </c>
      <c r="F16" s="273">
        <f t="shared" ref="F16:F19" si="3">E16*$C$31</f>
        <v>-2276.849396824452</v>
      </c>
      <c r="G16" s="312">
        <f>K7+F16</f>
        <v>-74443.232814398216</v>
      </c>
      <c r="H16" s="319" t="s">
        <v>196</v>
      </c>
      <c r="I16" s="207" t="s">
        <v>155</v>
      </c>
      <c r="J16" s="207" t="s">
        <v>204</v>
      </c>
      <c r="K16" s="320">
        <f>G16</f>
        <v>-74443.232814398216</v>
      </c>
      <c r="L16" s="315">
        <f>K16</f>
        <v>-74443.232814398216</v>
      </c>
      <c r="M16" s="301">
        <f>L16-G16</f>
        <v>0</v>
      </c>
      <c r="N16" s="308">
        <f>M16/G16</f>
        <v>0</v>
      </c>
    </row>
    <row r="17" spans="2:14" x14ac:dyDescent="0.25">
      <c r="D17" s="15" t="s">
        <v>15</v>
      </c>
      <c r="E17" s="273">
        <f>K8</f>
        <v>-33843.383798299823</v>
      </c>
      <c r="F17" s="273">
        <f t="shared" si="3"/>
        <v>-1067.7587588363594</v>
      </c>
      <c r="G17" s="312">
        <f>K8+F17</f>
        <v>-34911.142557136183</v>
      </c>
      <c r="H17" s="319" t="s">
        <v>197</v>
      </c>
      <c r="I17" s="207" t="s">
        <v>201</v>
      </c>
      <c r="J17" s="299">
        <f>2762*12</f>
        <v>33144</v>
      </c>
      <c r="K17" s="321">
        <f>ROUND(G17/J17,2)</f>
        <v>-1.05</v>
      </c>
      <c r="L17" s="316">
        <f>K17*J17</f>
        <v>-34801.200000000004</v>
      </c>
      <c r="M17" s="301">
        <f>L17-G17</f>
        <v>109.94255713617895</v>
      </c>
      <c r="N17" s="308">
        <f>M17/G17</f>
        <v>-3.1492110851498215E-3</v>
      </c>
    </row>
    <row r="18" spans="2:14" x14ac:dyDescent="0.25">
      <c r="D18" s="15" t="s">
        <v>16</v>
      </c>
      <c r="E18" s="273">
        <f>K9</f>
        <v>-2166.0577375190333</v>
      </c>
      <c r="F18" s="273">
        <f t="shared" si="3"/>
        <v>-68.3391216187255</v>
      </c>
      <c r="G18" s="312">
        <f>K9+F18</f>
        <v>-2234.3968591377588</v>
      </c>
      <c r="H18" s="319" t="s">
        <v>198</v>
      </c>
      <c r="I18" s="207" t="s">
        <v>202</v>
      </c>
      <c r="J18" s="300">
        <v>499033.1</v>
      </c>
      <c r="K18" s="322">
        <f>ROUND(G18/J18,4)</f>
        <v>-4.4999999999999997E-3</v>
      </c>
      <c r="L18" s="316">
        <f>K18*J18</f>
        <v>-2245.6489499999998</v>
      </c>
      <c r="M18" s="301">
        <f>L18-G18</f>
        <v>-11.252090862240948</v>
      </c>
      <c r="N18" s="308">
        <f>M18/G18</f>
        <v>5.0358515391858661E-3</v>
      </c>
    </row>
    <row r="19" spans="2:14" ht="15.75" thickBot="1" x14ac:dyDescent="0.3">
      <c r="D19" s="30" t="s">
        <v>39</v>
      </c>
      <c r="E19" s="274">
        <f>SUM(E15:E18)</f>
        <v>-325231.51434355276</v>
      </c>
      <c r="F19" s="274">
        <f t="shared" si="3"/>
        <v>-10261.05427753909</v>
      </c>
      <c r="G19" s="313">
        <f>SUM(G15:G18)</f>
        <v>-335492.56862109189</v>
      </c>
      <c r="H19" s="323"/>
      <c r="I19" s="309"/>
      <c r="J19" s="309"/>
      <c r="K19" s="324"/>
      <c r="L19" s="317">
        <f>SUM(L15:L18)</f>
        <v>-335393.87815481797</v>
      </c>
      <c r="M19" s="310">
        <f>L19-G19</f>
        <v>98.690466273925267</v>
      </c>
      <c r="N19" s="311">
        <f>M19/G19</f>
        <v>-2.9416587878400101E-4</v>
      </c>
    </row>
    <row r="20" spans="2:14" x14ac:dyDescent="0.25">
      <c r="D20" s="72">
        <f>K10*C31-F19</f>
        <v>1.4551915228366852E-11</v>
      </c>
      <c r="E20" s="72"/>
      <c r="J20" s="276"/>
    </row>
    <row r="25" spans="2:14" ht="25.5" customHeight="1" x14ac:dyDescent="0.25">
      <c r="B25" s="378" t="s">
        <v>205</v>
      </c>
      <c r="C25" s="379"/>
      <c r="D25" s="380"/>
    </row>
    <row r="26" spans="2:14" x14ac:dyDescent="0.25">
      <c r="B26" s="187" t="s">
        <v>209</v>
      </c>
      <c r="C26" s="187" t="s">
        <v>208</v>
      </c>
      <c r="D26" s="187" t="s">
        <v>18</v>
      </c>
    </row>
    <row r="27" spans="2:14" x14ac:dyDescent="0.25">
      <c r="B27" s="207" t="s">
        <v>189</v>
      </c>
      <c r="C27" s="217">
        <v>3.6400000000000002E-2</v>
      </c>
      <c r="D27" s="207" t="s">
        <v>206</v>
      </c>
    </row>
    <row r="28" spans="2:14" x14ac:dyDescent="0.25">
      <c r="B28" s="207" t="s">
        <v>190</v>
      </c>
      <c r="C28" s="217">
        <v>3.1600000000000003E-2</v>
      </c>
      <c r="D28" s="207" t="s">
        <v>206</v>
      </c>
    </row>
    <row r="29" spans="2:14" x14ac:dyDescent="0.25">
      <c r="B29" s="207" t="s">
        <v>191</v>
      </c>
      <c r="C29" s="217">
        <v>2.9100000000000001E-2</v>
      </c>
      <c r="D29" s="207" t="s">
        <v>206</v>
      </c>
    </row>
    <row r="30" spans="2:14" x14ac:dyDescent="0.25">
      <c r="B30" s="207" t="s">
        <v>192</v>
      </c>
      <c r="C30" s="217">
        <f>C29</f>
        <v>2.9100000000000001E-2</v>
      </c>
      <c r="D30" s="207" t="s">
        <v>193</v>
      </c>
    </row>
    <row r="31" spans="2:14" x14ac:dyDescent="0.25">
      <c r="B31" s="187" t="s">
        <v>194</v>
      </c>
      <c r="C31" s="298">
        <f>AVERAGE(C27:C30)</f>
        <v>3.1550000000000002E-2</v>
      </c>
      <c r="D31" s="187" t="s">
        <v>207</v>
      </c>
    </row>
    <row r="32" spans="2:14" x14ac:dyDescent="0.25">
      <c r="C32" s="72"/>
    </row>
  </sheetData>
  <mergeCells count="3">
    <mergeCell ref="B3:F4"/>
    <mergeCell ref="N4:O4"/>
    <mergeCell ref="B25:D25"/>
  </mergeCells>
  <pageMargins left="0.7" right="0.7" top="0.75" bottom="0.75" header="0.3" footer="0.3"/>
  <pageSetup scale="3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051E-3CEA-4204-B586-D4F1E2FC840E}">
  <sheetPr>
    <tabColor theme="8" tint="0.79998168889431442"/>
    <pageSetUpPr fitToPage="1"/>
  </sheetPr>
  <dimension ref="B1:R34"/>
  <sheetViews>
    <sheetView view="pageBreakPreview" zoomScale="60" zoomScaleNormal="100" workbookViewId="0">
      <selection activeCell="P15" sqref="P15"/>
    </sheetView>
  </sheetViews>
  <sheetFormatPr defaultColWidth="9.140625" defaultRowHeight="15" x14ac:dyDescent="0.25"/>
  <cols>
    <col min="1" max="1" width="2.85546875" customWidth="1"/>
    <col min="2" max="2" width="16.28515625" customWidth="1"/>
    <col min="3" max="3" width="6.28515625" customWidth="1"/>
    <col min="4" max="4" width="10.140625" customWidth="1"/>
    <col min="5" max="5" width="12.85546875" bestFit="1" customWidth="1"/>
    <col min="6" max="6" width="9.140625" bestFit="1" customWidth="1"/>
    <col min="7" max="7" width="16.7109375" customWidth="1"/>
    <col min="8" max="8" width="10.140625" bestFit="1" customWidth="1"/>
    <col min="9" max="9" width="31.42578125" customWidth="1"/>
    <col min="10" max="10" width="12.5703125" customWidth="1"/>
    <col min="11" max="12" width="15.28515625" bestFit="1" customWidth="1"/>
    <col min="13" max="13" width="11.7109375" customWidth="1"/>
    <col min="14" max="14" width="15.28515625" bestFit="1" customWidth="1"/>
    <col min="15" max="15" width="15.42578125" customWidth="1"/>
    <col min="16" max="16" width="60.85546875" customWidth="1"/>
    <col min="17" max="18" width="13.28515625" bestFit="1" customWidth="1"/>
  </cols>
  <sheetData>
    <row r="1" spans="2:16" ht="15.75" thickBot="1" x14ac:dyDescent="0.3"/>
    <row r="2" spans="2:16" ht="15.75" x14ac:dyDescent="0.25">
      <c r="B2" s="389" t="s">
        <v>167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1"/>
    </row>
    <row r="3" spans="2:16" x14ac:dyDescent="0.25">
      <c r="B3" s="385" t="s">
        <v>170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7"/>
    </row>
    <row r="4" spans="2:16" ht="45" x14ac:dyDescent="0.25">
      <c r="B4" s="182"/>
      <c r="C4" s="183"/>
      <c r="D4" s="184"/>
      <c r="E4" s="40" t="s">
        <v>30</v>
      </c>
      <c r="F4" s="40" t="s">
        <v>31</v>
      </c>
      <c r="G4" s="41" t="s">
        <v>168</v>
      </c>
      <c r="H4" s="41" t="s">
        <v>32</v>
      </c>
      <c r="I4" s="41" t="s">
        <v>33</v>
      </c>
      <c r="J4" s="41" t="s">
        <v>40</v>
      </c>
      <c r="K4" s="41" t="s">
        <v>35</v>
      </c>
      <c r="L4" s="41" t="s">
        <v>36</v>
      </c>
      <c r="M4" s="41" t="s">
        <v>8</v>
      </c>
      <c r="N4" s="41" t="s">
        <v>34</v>
      </c>
    </row>
    <row r="5" spans="2:16" x14ac:dyDescent="0.25">
      <c r="B5" s="43" t="s">
        <v>38</v>
      </c>
      <c r="C5" s="6" t="s">
        <v>30</v>
      </c>
      <c r="D5" s="37">
        <v>9705</v>
      </c>
      <c r="E5" s="34">
        <v>128336485</v>
      </c>
      <c r="F5" s="34"/>
      <c r="G5" s="277">
        <f>'2025 Cost All''n &amp; DVA Disp'!J6</f>
        <v>22265446.31060984</v>
      </c>
      <c r="H5" s="189">
        <v>0.64118373052413569</v>
      </c>
      <c r="I5" s="189">
        <f>1-H5</f>
        <v>0.35881626947586431</v>
      </c>
      <c r="J5" s="34"/>
      <c r="K5" s="284">
        <f>G5*H5</f>
        <v>14276241.927221671</v>
      </c>
      <c r="L5" s="284">
        <f>G5*I5</f>
        <v>7989204.3833881691</v>
      </c>
      <c r="M5" s="196">
        <f>K5/(D5*12)</f>
        <v>122.58493840994051</v>
      </c>
      <c r="N5" s="197">
        <f>L5/E5</f>
        <v>6.2252011837383339E-2</v>
      </c>
    </row>
    <row r="6" spans="2:16" x14ac:dyDescent="0.25">
      <c r="B6" s="43" t="s">
        <v>13</v>
      </c>
      <c r="C6" s="6" t="s">
        <v>31</v>
      </c>
      <c r="D6" s="37">
        <v>46</v>
      </c>
      <c r="E6" s="34"/>
      <c r="F6" s="192">
        <v>345622.504099724</v>
      </c>
      <c r="G6" s="277">
        <f>'2025 Cost All''n &amp; DVA Disp'!J7</f>
        <v>7402785.6165824262</v>
      </c>
      <c r="H6" s="44">
        <v>0.26266944591513558</v>
      </c>
      <c r="I6" s="44">
        <f t="shared" ref="I6" si="0">1-H6</f>
        <v>0.73733055408486448</v>
      </c>
      <c r="J6" s="34">
        <v>-184470</v>
      </c>
      <c r="K6" s="284">
        <f>G6*H6</f>
        <v>1944485.5961362412</v>
      </c>
      <c r="L6" s="284">
        <f>G6*I6</f>
        <v>5458300.020446185</v>
      </c>
      <c r="M6" s="196">
        <f>K6/(D6*12)</f>
        <v>3522.6188335801471</v>
      </c>
      <c r="N6" s="197">
        <f>(L6-J6)/F6</f>
        <v>16.326396439793317</v>
      </c>
    </row>
    <row r="7" spans="2:16" x14ac:dyDescent="0.25">
      <c r="B7" s="43" t="s">
        <v>15</v>
      </c>
      <c r="C7" s="6" t="s">
        <v>30</v>
      </c>
      <c r="D7" s="37">
        <v>2719</v>
      </c>
      <c r="E7" s="192">
        <v>5961327.3980811778</v>
      </c>
      <c r="F7" s="193"/>
      <c r="G7" s="277">
        <f>'2025 Cost All''n &amp; DVA Disp'!J8</f>
        <v>3471634.6162017002</v>
      </c>
      <c r="H7" s="281">
        <v>0.92186668103597347</v>
      </c>
      <c r="I7" s="44">
        <f t="shared" ref="I7:I8" si="1">1-H7</f>
        <v>7.8133318964026532E-2</v>
      </c>
      <c r="J7" s="34"/>
      <c r="K7" s="285">
        <f>G7*H7</f>
        <v>3200384.2814074568</v>
      </c>
      <c r="L7" s="285">
        <f>G7*I7</f>
        <v>271250.33479424327</v>
      </c>
      <c r="M7" s="35">
        <f>K7/(D7*12)</f>
        <v>98.087050429307865</v>
      </c>
      <c r="N7" s="36">
        <f t="shared" ref="N7:N8" si="2">L7/E7</f>
        <v>4.5501667108830975E-2</v>
      </c>
    </row>
    <row r="8" spans="2:16" x14ac:dyDescent="0.25">
      <c r="B8" s="43" t="s">
        <v>16</v>
      </c>
      <c r="C8" s="6" t="s">
        <v>30</v>
      </c>
      <c r="D8" s="37">
        <v>1129</v>
      </c>
      <c r="E8" s="192">
        <v>536180.1972169095</v>
      </c>
      <c r="F8" s="193"/>
      <c r="G8" s="277">
        <f>'2025 Cost All''n &amp; DVA Disp'!J9</f>
        <v>222192.94226248097</v>
      </c>
      <c r="H8" s="281">
        <v>0.13526334361889455</v>
      </c>
      <c r="I8" s="44">
        <f t="shared" si="1"/>
        <v>0.86473665638110542</v>
      </c>
      <c r="J8" s="34"/>
      <c r="K8" s="285">
        <f>G8*H8</f>
        <v>30054.560298943161</v>
      </c>
      <c r="L8" s="285">
        <f>G8*I8</f>
        <v>192138.3819635378</v>
      </c>
      <c r="M8" s="35">
        <f t="shared" ref="M8" si="3">K8/(D8*12)</f>
        <v>2.2183761661457897</v>
      </c>
      <c r="N8" s="36">
        <f t="shared" si="2"/>
        <v>0.35834665838247848</v>
      </c>
    </row>
    <row r="9" spans="2:16" ht="15.75" thickBot="1" x14ac:dyDescent="0.3">
      <c r="B9" s="30" t="s">
        <v>39</v>
      </c>
      <c r="C9" s="31"/>
      <c r="D9" s="32">
        <f>SUM(D5:D8)</f>
        <v>13599</v>
      </c>
      <c r="E9" s="159"/>
      <c r="F9" s="186"/>
      <c r="G9" s="270">
        <f>SUM(G5:G8)</f>
        <v>33362059.485656448</v>
      </c>
      <c r="H9" s="187"/>
      <c r="I9" s="187"/>
      <c r="J9" s="46"/>
      <c r="K9" s="274">
        <f>SUM(K5:K8)</f>
        <v>19451166.365064312</v>
      </c>
      <c r="L9" s="274">
        <f>SUM(L5:L8)</f>
        <v>13910893.120592136</v>
      </c>
      <c r="M9" s="270"/>
      <c r="N9" s="270"/>
    </row>
    <row r="10" spans="2:16" x14ac:dyDescent="0.25">
      <c r="L10" s="276">
        <f>SUM(K9:L9)</f>
        <v>33362059.485656448</v>
      </c>
    </row>
    <row r="11" spans="2:16" ht="15.75" thickBot="1" x14ac:dyDescent="0.3">
      <c r="P11" s="190" t="s">
        <v>161</v>
      </c>
    </row>
    <row r="12" spans="2:16" ht="31.5" customHeight="1" x14ac:dyDescent="0.25">
      <c r="B12" s="389" t="s">
        <v>167</v>
      </c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1"/>
      <c r="P12" s="191" t="s">
        <v>171</v>
      </c>
    </row>
    <row r="13" spans="2:16" x14ac:dyDescent="0.25">
      <c r="B13" s="388" t="s">
        <v>92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4"/>
      <c r="P13" s="194" t="s">
        <v>93</v>
      </c>
    </row>
    <row r="14" spans="2:16" ht="15" customHeight="1" x14ac:dyDescent="0.25">
      <c r="B14" s="392" t="s">
        <v>24</v>
      </c>
      <c r="C14" s="394" t="s">
        <v>6</v>
      </c>
      <c r="D14" s="396" t="s">
        <v>25</v>
      </c>
      <c r="E14" s="381" t="s">
        <v>26</v>
      </c>
      <c r="F14" s="382"/>
      <c r="G14" s="381" t="s">
        <v>27</v>
      </c>
      <c r="H14" s="382"/>
      <c r="I14" s="381" t="s">
        <v>28</v>
      </c>
      <c r="J14" s="382"/>
      <c r="K14" s="381" t="s">
        <v>29</v>
      </c>
      <c r="L14" s="383"/>
      <c r="M14" s="383"/>
      <c r="N14" s="384"/>
      <c r="P14" s="194" t="s">
        <v>160</v>
      </c>
    </row>
    <row r="15" spans="2:16" ht="60" x14ac:dyDescent="0.25">
      <c r="B15" s="393"/>
      <c r="C15" s="395"/>
      <c r="D15" s="397"/>
      <c r="E15" s="40" t="s">
        <v>30</v>
      </c>
      <c r="F15" s="40" t="s">
        <v>31</v>
      </c>
      <c r="G15" s="41" t="s">
        <v>32</v>
      </c>
      <c r="H15" s="41" t="s">
        <v>33</v>
      </c>
      <c r="I15" s="41" t="s">
        <v>8</v>
      </c>
      <c r="J15" s="41" t="s">
        <v>34</v>
      </c>
      <c r="K15" s="41" t="s">
        <v>35</v>
      </c>
      <c r="L15" s="41" t="s">
        <v>36</v>
      </c>
      <c r="M15" s="41" t="s">
        <v>40</v>
      </c>
      <c r="N15" s="42" t="s">
        <v>41</v>
      </c>
    </row>
    <row r="16" spans="2:16" x14ac:dyDescent="0.25">
      <c r="B16" s="43" t="s">
        <v>38</v>
      </c>
      <c r="C16" s="6" t="s">
        <v>30</v>
      </c>
      <c r="D16" s="37">
        <v>9705</v>
      </c>
      <c r="E16" s="34">
        <v>128336485</v>
      </c>
      <c r="F16" s="34"/>
      <c r="G16" s="278">
        <v>0.64118373052413569</v>
      </c>
      <c r="H16" s="278">
        <f>1-G16</f>
        <v>0.35881626947586431</v>
      </c>
      <c r="I16" s="196">
        <f t="shared" ref="I16:J19" si="4">M5</f>
        <v>122.58493840994051</v>
      </c>
      <c r="J16" s="197">
        <f t="shared" si="4"/>
        <v>6.2252011837383339E-2</v>
      </c>
      <c r="K16" s="198">
        <f>D16*I16*12</f>
        <v>14276241.927221671</v>
      </c>
      <c r="L16" s="198">
        <f t="shared" ref="L16" si="5">E16*J16</f>
        <v>7989204.3833881691</v>
      </c>
      <c r="M16" s="34"/>
      <c r="N16" s="199">
        <f>SUM(K16:M16)</f>
        <v>22265446.31060984</v>
      </c>
    </row>
    <row r="17" spans="2:18" x14ac:dyDescent="0.25">
      <c r="B17" s="43" t="s">
        <v>13</v>
      </c>
      <c r="C17" s="6" t="s">
        <v>31</v>
      </c>
      <c r="D17" s="37">
        <v>46</v>
      </c>
      <c r="E17" s="34"/>
      <c r="F17" s="192">
        <v>345622.504099724</v>
      </c>
      <c r="G17" s="279">
        <v>0.26266944591513558</v>
      </c>
      <c r="H17" s="279">
        <f t="shared" ref="H17:H19" si="6">1-G17</f>
        <v>0.73733055408486448</v>
      </c>
      <c r="I17" s="196">
        <f t="shared" si="4"/>
        <v>3522.6188335801471</v>
      </c>
      <c r="J17" s="197">
        <f t="shared" si="4"/>
        <v>16.326396439793317</v>
      </c>
      <c r="K17" s="198">
        <f>D17*I17*12</f>
        <v>1944485.5961362412</v>
      </c>
      <c r="L17" s="198">
        <f>F17*J17</f>
        <v>5642770.020446185</v>
      </c>
      <c r="M17" s="34">
        <v>-184470</v>
      </c>
      <c r="N17" s="199">
        <f>SUM(K17:M17)</f>
        <v>7402785.6165824262</v>
      </c>
      <c r="Q17" s="181"/>
      <c r="R17" s="181"/>
    </row>
    <row r="18" spans="2:18" x14ac:dyDescent="0.25">
      <c r="B18" s="43" t="s">
        <v>15</v>
      </c>
      <c r="C18" s="6" t="s">
        <v>30</v>
      </c>
      <c r="D18" s="37">
        <v>2719</v>
      </c>
      <c r="E18" s="192">
        <v>5961327.3980811778</v>
      </c>
      <c r="F18" s="193"/>
      <c r="G18" s="280">
        <v>0.92186668103597347</v>
      </c>
      <c r="H18" s="279">
        <f t="shared" si="6"/>
        <v>7.8133318964026532E-2</v>
      </c>
      <c r="I18" s="35">
        <f t="shared" si="4"/>
        <v>98.087050429307865</v>
      </c>
      <c r="J18" s="36">
        <f t="shared" si="4"/>
        <v>4.5501667108830975E-2</v>
      </c>
      <c r="K18" s="34">
        <f>D18*I18*12</f>
        <v>3200384.2814074568</v>
      </c>
      <c r="L18" s="34">
        <f t="shared" ref="L18:L19" si="7">E18*J18</f>
        <v>271250.33479424327</v>
      </c>
      <c r="M18" s="34"/>
      <c r="N18" s="195">
        <f>SUM(K18:M18)</f>
        <v>3471634.6162017002</v>
      </c>
    </row>
    <row r="19" spans="2:18" x14ac:dyDescent="0.25">
      <c r="B19" s="43" t="s">
        <v>16</v>
      </c>
      <c r="C19" s="6" t="s">
        <v>30</v>
      </c>
      <c r="D19" s="37">
        <v>1129</v>
      </c>
      <c r="E19" s="192">
        <v>536180.1972169095</v>
      </c>
      <c r="F19" s="193"/>
      <c r="G19" s="280">
        <v>0.13526334361889455</v>
      </c>
      <c r="H19" s="279">
        <f t="shared" si="6"/>
        <v>0.86473665638110542</v>
      </c>
      <c r="I19" s="35">
        <f t="shared" si="4"/>
        <v>2.2183761661457897</v>
      </c>
      <c r="J19" s="36">
        <f t="shared" si="4"/>
        <v>0.35834665838247848</v>
      </c>
      <c r="K19" s="34">
        <f t="shared" ref="K19" si="8">D19*I19*12</f>
        <v>30054.560298943157</v>
      </c>
      <c r="L19" s="34">
        <f t="shared" si="7"/>
        <v>192138.3819635378</v>
      </c>
      <c r="M19" s="34"/>
      <c r="N19" s="195">
        <f>SUM(K19:M19)</f>
        <v>222192.94226248097</v>
      </c>
    </row>
    <row r="20" spans="2:18" s="1" customFormat="1" ht="15.75" thickBot="1" x14ac:dyDescent="0.3">
      <c r="B20" s="30" t="s">
        <v>39</v>
      </c>
      <c r="C20" s="31"/>
      <c r="D20" s="32">
        <f>SUM(D16:D19)</f>
        <v>13599</v>
      </c>
      <c r="E20" s="159"/>
      <c r="F20" s="186"/>
      <c r="G20" s="187"/>
      <c r="H20" s="187"/>
      <c r="I20" s="159"/>
      <c r="J20" s="159"/>
      <c r="K20" s="46">
        <f>SUM(K16:K19)</f>
        <v>19451166.365064312</v>
      </c>
      <c r="L20" s="46">
        <f>SUM(L16:L19)</f>
        <v>14095363.120592136</v>
      </c>
      <c r="M20" s="46">
        <f>SUM(M16:M19)</f>
        <v>-184470</v>
      </c>
      <c r="N20" s="47">
        <f>SUM(N16:N19)</f>
        <v>33362059.485656448</v>
      </c>
    </row>
    <row r="21" spans="2:18" ht="15.75" x14ac:dyDescent="0.25">
      <c r="B21" s="389" t="s">
        <v>167</v>
      </c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1"/>
    </row>
    <row r="22" spans="2:18" ht="15.75" customHeight="1" x14ac:dyDescent="0.25">
      <c r="B22" s="388" t="s">
        <v>180</v>
      </c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4"/>
    </row>
    <row r="23" spans="2:18" x14ac:dyDescent="0.25">
      <c r="B23" s="392" t="s">
        <v>24</v>
      </c>
      <c r="C23" s="394" t="s">
        <v>6</v>
      </c>
      <c r="D23" s="396" t="s">
        <v>25</v>
      </c>
      <c r="E23" s="381" t="s">
        <v>26</v>
      </c>
      <c r="F23" s="382"/>
      <c r="G23" s="381"/>
      <c r="H23" s="382"/>
      <c r="I23" s="381" t="s">
        <v>181</v>
      </c>
      <c r="J23" s="382"/>
      <c r="K23" s="381" t="s">
        <v>29</v>
      </c>
      <c r="L23" s="383"/>
      <c r="M23" s="383"/>
      <c r="N23" s="384"/>
    </row>
    <row r="24" spans="2:18" ht="15" customHeight="1" x14ac:dyDescent="0.25">
      <c r="B24" s="393"/>
      <c r="C24" s="395"/>
      <c r="D24" s="397"/>
      <c r="E24" s="40" t="s">
        <v>30</v>
      </c>
      <c r="F24" s="40" t="s">
        <v>31</v>
      </c>
      <c r="G24" s="41"/>
      <c r="H24" s="41"/>
      <c r="I24" s="41" t="s">
        <v>8</v>
      </c>
      <c r="J24" s="41" t="s">
        <v>34</v>
      </c>
      <c r="K24" s="41" t="s">
        <v>35</v>
      </c>
      <c r="L24" s="41" t="s">
        <v>36</v>
      </c>
      <c r="M24" s="41" t="s">
        <v>40</v>
      </c>
      <c r="N24" s="42" t="s">
        <v>41</v>
      </c>
      <c r="O24" s="201" t="s">
        <v>96</v>
      </c>
      <c r="P24" s="202"/>
    </row>
    <row r="25" spans="2:18" x14ac:dyDescent="0.25">
      <c r="B25" s="43" t="s">
        <v>38</v>
      </c>
      <c r="C25" s="6" t="s">
        <v>30</v>
      </c>
      <c r="D25" s="291">
        <v>9705</v>
      </c>
      <c r="E25" s="292">
        <v>128336485</v>
      </c>
      <c r="F25" s="292"/>
      <c r="G25" s="293"/>
      <c r="H25" s="293"/>
      <c r="I25" s="282">
        <f>ROUND(I16,2)</f>
        <v>122.58</v>
      </c>
      <c r="J25" s="283">
        <f>ROUND(J16,4)</f>
        <v>6.2300000000000001E-2</v>
      </c>
      <c r="K25" s="292">
        <f>D25*I25*12</f>
        <v>14275666.799999999</v>
      </c>
      <c r="L25" s="292">
        <f>J25*E25</f>
        <v>7995363.0154999997</v>
      </c>
      <c r="M25" s="292"/>
      <c r="N25" s="27">
        <f>+K25+L25+M25</f>
        <v>22271029.815499999</v>
      </c>
      <c r="O25" s="200">
        <f>N25-'2025 Cost All''n &amp; DVA Disp'!J6</f>
        <v>5583.5048901587725</v>
      </c>
      <c r="P25" s="265">
        <f>O25/G5</f>
        <v>2.5076995144256972E-4</v>
      </c>
    </row>
    <row r="26" spans="2:18" x14ac:dyDescent="0.25">
      <c r="B26" s="43" t="s">
        <v>13</v>
      </c>
      <c r="C26" s="6" t="s">
        <v>31</v>
      </c>
      <c r="D26" s="291">
        <v>46</v>
      </c>
      <c r="E26" s="292"/>
      <c r="F26" s="294">
        <v>345622.504099724</v>
      </c>
      <c r="G26" s="293"/>
      <c r="H26" s="293"/>
      <c r="I26" s="282">
        <f t="shared" ref="I26:I28" si="9">ROUND(I17,2)</f>
        <v>3522.62</v>
      </c>
      <c r="J26" s="283">
        <f t="shared" ref="J26:J28" si="10">ROUND(J17,4)</f>
        <v>16.3264</v>
      </c>
      <c r="K26" s="292">
        <f t="shared" ref="K26:K28" si="11">D26*I26*12</f>
        <v>1944486.2399999998</v>
      </c>
      <c r="L26" s="292">
        <f>J26*F26</f>
        <v>5642771.2509337338</v>
      </c>
      <c r="M26" s="292">
        <f>M17</f>
        <v>-184470</v>
      </c>
      <c r="N26" s="27">
        <f t="shared" ref="N26:N28" si="12">+K26+L26+M26</f>
        <v>7402787.4909337331</v>
      </c>
      <c r="O26" s="200">
        <f>N26-'2025 Cost All''n &amp; DVA Disp'!J7</f>
        <v>1.8743513068184257</v>
      </c>
      <c r="P26" s="265">
        <f>O26/G6</f>
        <v>2.5319540560783383E-7</v>
      </c>
    </row>
    <row r="27" spans="2:18" x14ac:dyDescent="0.25">
      <c r="B27" s="43" t="s">
        <v>15</v>
      </c>
      <c r="C27" s="6" t="s">
        <v>30</v>
      </c>
      <c r="D27" s="291">
        <v>2719</v>
      </c>
      <c r="E27" s="294">
        <v>5961327.3980811778</v>
      </c>
      <c r="F27" s="295"/>
      <c r="G27" s="296"/>
      <c r="H27" s="293"/>
      <c r="I27" s="282">
        <f t="shared" si="9"/>
        <v>98.09</v>
      </c>
      <c r="J27" s="283">
        <f t="shared" si="10"/>
        <v>4.5499999999999999E-2</v>
      </c>
      <c r="K27" s="292">
        <f t="shared" si="11"/>
        <v>3200480.5200000005</v>
      </c>
      <c r="L27" s="292">
        <f t="shared" ref="L27:L28" si="13">J27*E27</f>
        <v>271240.39661269356</v>
      </c>
      <c r="M27" s="292"/>
      <c r="N27" s="27">
        <f t="shared" si="12"/>
        <v>3471720.916612694</v>
      </c>
      <c r="O27" s="200">
        <f>N27-'2025 Cost All''n &amp; DVA Disp'!J8</f>
        <v>86.300410993862897</v>
      </c>
      <c r="P27" s="265">
        <f>O27/G7</f>
        <v>2.4858725221574093E-5</v>
      </c>
    </row>
    <row r="28" spans="2:18" x14ac:dyDescent="0.25">
      <c r="B28" s="43" t="s">
        <v>16</v>
      </c>
      <c r="C28" s="6" t="s">
        <v>30</v>
      </c>
      <c r="D28" s="291">
        <v>1129</v>
      </c>
      <c r="E28" s="294">
        <v>536180.1972169095</v>
      </c>
      <c r="F28" s="295"/>
      <c r="G28" s="296"/>
      <c r="H28" s="293"/>
      <c r="I28" s="282">
        <f t="shared" si="9"/>
        <v>2.2200000000000002</v>
      </c>
      <c r="J28" s="283">
        <f t="shared" si="10"/>
        <v>0.35830000000000001</v>
      </c>
      <c r="K28" s="292">
        <f t="shared" si="11"/>
        <v>30076.560000000001</v>
      </c>
      <c r="L28" s="292">
        <f t="shared" si="13"/>
        <v>192113.36466281867</v>
      </c>
      <c r="M28" s="292"/>
      <c r="N28" s="27">
        <f t="shared" si="12"/>
        <v>222189.92466281867</v>
      </c>
      <c r="O28" s="200">
        <f>N28-'2025 Cost All''n &amp; DVA Disp'!J9</f>
        <v>-3.0175996623001993</v>
      </c>
      <c r="P28" s="265">
        <f>O28/G8</f>
        <v>-1.3580987908857378E-5</v>
      </c>
    </row>
    <row r="29" spans="2:18" ht="15.75" thickBot="1" x14ac:dyDescent="0.3">
      <c r="B29" s="30" t="s">
        <v>39</v>
      </c>
      <c r="C29" s="31"/>
      <c r="D29" s="32">
        <f>SUM(D25:D28)</f>
        <v>13599</v>
      </c>
      <c r="E29" s="159"/>
      <c r="F29" s="186"/>
      <c r="G29" s="187"/>
      <c r="H29" s="187"/>
      <c r="I29" s="159"/>
      <c r="J29" s="159"/>
      <c r="K29" s="46">
        <f>SUM(K25:K28)</f>
        <v>19450710.119999997</v>
      </c>
      <c r="L29" s="46">
        <f>SUM(L25:L28)</f>
        <v>14101488.027709246</v>
      </c>
      <c r="M29" s="46">
        <f>SUM(M25:M28)</f>
        <v>-184470</v>
      </c>
      <c r="N29" s="47">
        <f>SUM(N25:N28)</f>
        <v>33367728.147709239</v>
      </c>
      <c r="O29" s="200">
        <f>SUM(O25:O28)</f>
        <v>5668.6620527971536</v>
      </c>
    </row>
    <row r="31" spans="2:18" x14ac:dyDescent="0.25">
      <c r="J31" t="s">
        <v>169</v>
      </c>
      <c r="L31" s="29"/>
      <c r="M31" s="29"/>
      <c r="N31" s="188">
        <f>'2025 Revenue Reqt Update -CoC'!I3</f>
        <v>33362058.792856008</v>
      </c>
    </row>
    <row r="33" spans="10:14" x14ac:dyDescent="0.25">
      <c r="J33" t="s">
        <v>42</v>
      </c>
      <c r="N33" s="185">
        <f>N29-N31</f>
        <v>5669.3548532314599</v>
      </c>
    </row>
    <row r="34" spans="10:14" x14ac:dyDescent="0.25">
      <c r="J34" t="s">
        <v>43</v>
      </c>
      <c r="N34" s="39">
        <f>N33/N31</f>
        <v>1.6993420245531936E-4</v>
      </c>
    </row>
  </sheetData>
  <mergeCells count="20">
    <mergeCell ref="B2:N2"/>
    <mergeCell ref="B12:N12"/>
    <mergeCell ref="B13:N13"/>
    <mergeCell ref="B14:B15"/>
    <mergeCell ref="C14:C15"/>
    <mergeCell ref="D14:D15"/>
    <mergeCell ref="E14:F14"/>
    <mergeCell ref="G14:H14"/>
    <mergeCell ref="I14:J14"/>
    <mergeCell ref="K14:N14"/>
    <mergeCell ref="I23:J23"/>
    <mergeCell ref="K23:N23"/>
    <mergeCell ref="B3:N3"/>
    <mergeCell ref="B22:N22"/>
    <mergeCell ref="B21:N21"/>
    <mergeCell ref="B23:B24"/>
    <mergeCell ref="C23:C24"/>
    <mergeCell ref="D23:D24"/>
    <mergeCell ref="E23:F23"/>
    <mergeCell ref="G23:H23"/>
  </mergeCells>
  <conditionalFormatting sqref="G18:G19">
    <cfRule type="expression" dxfId="5" priority="5">
      <formula>"&gt; 1"</formula>
    </cfRule>
    <cfRule type="expression" dxfId="4" priority="6">
      <formula>"&lt; 0"</formula>
    </cfRule>
  </conditionalFormatting>
  <conditionalFormatting sqref="G27:G28">
    <cfRule type="expression" dxfId="3" priority="1">
      <formula>"&gt; 1"</formula>
    </cfRule>
    <cfRule type="expression" dxfId="2" priority="2">
      <formula>"&lt; 0"</formula>
    </cfRule>
  </conditionalFormatting>
  <conditionalFormatting sqref="H7:H8">
    <cfRule type="expression" dxfId="1" priority="3">
      <formula>"&gt; 1"</formula>
    </cfRule>
    <cfRule type="expression" dxfId="0" priority="4">
      <formula>"&lt; 0"</formula>
    </cfRule>
  </conditionalFormatting>
  <dataValidations count="1">
    <dataValidation type="decimal" allowBlank="1" showInputMessage="1" showErrorMessage="1" prompt="Number must be a fraction between 0 and 1." sqref="G18:G19 H7:H8 G27:G28" xr:uid="{DBEFFF8C-BA97-4A06-9DD8-CB5F232A6982}">
      <formula1>0</formula1>
      <formula2>1</formula2>
    </dataValidation>
  </dataValidations>
  <pageMargins left="0.7" right="0.7" top="0.75" bottom="0.75" header="0.3" footer="0.3"/>
  <pageSetup scale="2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42D4-51B4-48E3-8F1C-FF7356E430DE}">
  <sheetPr>
    <tabColor theme="9" tint="0.79998168889431442"/>
    <pageSetUpPr fitToPage="1"/>
  </sheetPr>
  <dimension ref="A2:P25"/>
  <sheetViews>
    <sheetView tabSelected="1" topLeftCell="A3" zoomScaleNormal="100" workbookViewId="0">
      <selection activeCell="N27" sqref="N27"/>
    </sheetView>
  </sheetViews>
  <sheetFormatPr defaultColWidth="9.140625" defaultRowHeight="15" x14ac:dyDescent="0.25"/>
  <cols>
    <col min="1" max="1" width="2.85546875" customWidth="1"/>
    <col min="2" max="2" width="19.85546875" customWidth="1"/>
    <col min="3" max="3" width="6.28515625" customWidth="1"/>
    <col min="4" max="4" width="10.140625" customWidth="1"/>
    <col min="5" max="5" width="14.28515625" bestFit="1" customWidth="1"/>
    <col min="6" max="6" width="9" bestFit="1" customWidth="1"/>
    <col min="7" max="8" width="8.85546875" bestFit="1" customWidth="1"/>
    <col min="9" max="9" width="9.140625" bestFit="1" customWidth="1"/>
    <col min="10" max="10" width="11.140625" bestFit="1" customWidth="1"/>
    <col min="11" max="11" width="11.7109375" bestFit="1" customWidth="1"/>
    <col min="12" max="12" width="12.140625" bestFit="1" customWidth="1"/>
    <col min="13" max="13" width="15.28515625" bestFit="1" customWidth="1"/>
    <col min="14" max="14" width="5.85546875" bestFit="1" customWidth="1"/>
    <col min="15" max="15" width="8.7109375" style="95" customWidth="1"/>
    <col min="16" max="16" width="19" style="95" bestFit="1" customWidth="1"/>
  </cols>
  <sheetData>
    <row r="2" spans="2:16" ht="15.75" x14ac:dyDescent="0.25">
      <c r="B2" s="337" t="s">
        <v>105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</row>
    <row r="3" spans="2:16" ht="16.5" thickBot="1" x14ac:dyDescent="0.3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2:16" x14ac:dyDescent="0.25">
      <c r="B4" s="403" t="s">
        <v>54</v>
      </c>
      <c r="C4" s="404"/>
      <c r="D4" s="404"/>
      <c r="E4" s="404"/>
      <c r="F4" s="404"/>
      <c r="G4" s="404"/>
      <c r="H4" s="404"/>
      <c r="I4" s="404"/>
      <c r="J4" s="404"/>
      <c r="K4" s="57" t="s">
        <v>51</v>
      </c>
      <c r="L4" s="57" t="s">
        <v>52</v>
      </c>
      <c r="M4" s="58" t="s">
        <v>53</v>
      </c>
      <c r="O4" s="96" t="s">
        <v>72</v>
      </c>
      <c r="P4" s="96"/>
    </row>
    <row r="5" spans="2:16" x14ac:dyDescent="0.25">
      <c r="B5" s="405" t="s">
        <v>104</v>
      </c>
      <c r="C5" s="406"/>
      <c r="D5" s="406"/>
      <c r="E5" s="406"/>
      <c r="F5" s="406"/>
      <c r="G5" s="406"/>
      <c r="H5" s="406"/>
      <c r="I5" s="406"/>
      <c r="J5" s="406"/>
      <c r="K5" s="112">
        <f>'Indexed Revenue'!J5</f>
        <v>22955675.146238744</v>
      </c>
      <c r="L5" s="112">
        <f>'Indexed Revenue'!J6</f>
        <v>7632271.9706964809</v>
      </c>
      <c r="M5" s="110">
        <f>SUM(K5:L5)</f>
        <v>30587947.116935223</v>
      </c>
      <c r="N5" s="204">
        <f>M5-('Indexed Revenue'!J5+'Indexed Revenue'!J6)</f>
        <v>0</v>
      </c>
    </row>
    <row r="6" spans="2:16" ht="15.75" thickBot="1" x14ac:dyDescent="0.3">
      <c r="B6" s="407" t="s">
        <v>39</v>
      </c>
      <c r="C6" s="408"/>
      <c r="D6" s="408"/>
      <c r="E6" s="408"/>
      <c r="F6" s="408"/>
      <c r="G6" s="408"/>
      <c r="H6" s="408"/>
      <c r="I6" s="408"/>
      <c r="J6" s="409"/>
      <c r="K6" s="111">
        <f>SUM(K5:K5)</f>
        <v>22955675.146238744</v>
      </c>
      <c r="L6" s="111">
        <f>SUM(L5:L5)</f>
        <v>7632271.9706964809</v>
      </c>
      <c r="M6" s="111">
        <f>SUM(M5:M5)</f>
        <v>30587947.116935223</v>
      </c>
      <c r="P6"/>
    </row>
    <row r="7" spans="2:16" ht="15.75" thickBot="1" x14ac:dyDescent="0.3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O7" s="96" t="s">
        <v>39</v>
      </c>
      <c r="P7" s="96"/>
    </row>
    <row r="8" spans="2:16" x14ac:dyDescent="0.25">
      <c r="B8" s="410" t="s">
        <v>100</v>
      </c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2"/>
    </row>
    <row r="9" spans="2:16" x14ac:dyDescent="0.25">
      <c r="B9" s="413" t="s">
        <v>45</v>
      </c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5"/>
    </row>
    <row r="10" spans="2:16" x14ac:dyDescent="0.25">
      <c r="B10" s="416" t="s">
        <v>99</v>
      </c>
      <c r="C10" s="417"/>
      <c r="D10" s="417"/>
      <c r="E10" s="417"/>
      <c r="F10" s="417"/>
      <c r="G10" s="417"/>
      <c r="H10" s="417"/>
      <c r="I10" s="417"/>
      <c r="J10" s="417"/>
      <c r="K10" s="417"/>
      <c r="L10" s="418"/>
      <c r="M10" s="160">
        <v>3.78E-2</v>
      </c>
      <c r="O10" s="95">
        <v>1</v>
      </c>
    </row>
    <row r="11" spans="2:16" x14ac:dyDescent="0.25">
      <c r="B11" s="419" t="s">
        <v>24</v>
      </c>
      <c r="C11" s="420" t="s">
        <v>6</v>
      </c>
      <c r="D11" s="421" t="s">
        <v>79</v>
      </c>
      <c r="E11" s="414" t="s">
        <v>26</v>
      </c>
      <c r="F11" s="414"/>
      <c r="G11" s="414" t="s">
        <v>27</v>
      </c>
      <c r="H11" s="414"/>
      <c r="I11" s="414" t="s">
        <v>28</v>
      </c>
      <c r="J11" s="414"/>
      <c r="K11" s="414" t="s">
        <v>49</v>
      </c>
      <c r="L11" s="414"/>
      <c r="M11" s="415"/>
    </row>
    <row r="12" spans="2:16" ht="38.25" x14ac:dyDescent="0.25">
      <c r="B12" s="419"/>
      <c r="C12" s="420"/>
      <c r="D12" s="422"/>
      <c r="E12" s="8" t="s">
        <v>80</v>
      </c>
      <c r="F12" s="8" t="s">
        <v>81</v>
      </c>
      <c r="G12" s="25" t="s">
        <v>32</v>
      </c>
      <c r="H12" s="25" t="s">
        <v>33</v>
      </c>
      <c r="I12" s="25" t="s">
        <v>8</v>
      </c>
      <c r="J12" s="25" t="s">
        <v>34</v>
      </c>
      <c r="K12" s="25" t="s">
        <v>35</v>
      </c>
      <c r="L12" s="25" t="s">
        <v>36</v>
      </c>
      <c r="M12" s="38" t="s">
        <v>37</v>
      </c>
    </row>
    <row r="13" spans="2:16" x14ac:dyDescent="0.25">
      <c r="B13" s="10" t="s">
        <v>46</v>
      </c>
      <c r="C13" s="115" t="s">
        <v>30</v>
      </c>
      <c r="D13" s="125">
        <v>8115.5292008802571</v>
      </c>
      <c r="E13" s="203">
        <v>99118974.551530093</v>
      </c>
      <c r="F13" s="126"/>
      <c r="G13" s="116">
        <f>K13/M13</f>
        <v>1</v>
      </c>
      <c r="H13" s="116">
        <f>L13/M13</f>
        <v>0</v>
      </c>
      <c r="I13" s="128">
        <f>ROUND('Rate Summary'!F9*(1+M10),2)</f>
        <v>69.91</v>
      </c>
      <c r="J13" s="129">
        <f>ROUND('Rate Summary'!F10*(1+M10),4)</f>
        <v>0</v>
      </c>
      <c r="K13" s="112">
        <f>D13*I13*12</f>
        <v>6808279.7572024651</v>
      </c>
      <c r="L13" s="112">
        <f>E13*J13</f>
        <v>0</v>
      </c>
      <c r="M13" s="118">
        <f>SUM(K13:L13)</f>
        <v>6808279.7572024651</v>
      </c>
      <c r="O13" s="95">
        <v>2</v>
      </c>
    </row>
    <row r="14" spans="2:16" x14ac:dyDescent="0.25">
      <c r="B14" s="10" t="s">
        <v>47</v>
      </c>
      <c r="C14" s="115" t="s">
        <v>30</v>
      </c>
      <c r="D14" s="125">
        <v>997.31590555008074</v>
      </c>
      <c r="E14" s="203">
        <v>29217510.122523241</v>
      </c>
      <c r="F14" s="126"/>
      <c r="G14" s="116">
        <f>K14/M14</f>
        <v>0.22551794418884413</v>
      </c>
      <c r="H14" s="116">
        <f t="shared" ref="H14:H15" si="0">L14/M14</f>
        <v>0.77448205581115581</v>
      </c>
      <c r="I14" s="128">
        <f>ROUND('Rate Summary'!F13*(1+M10),2)</f>
        <v>31.35</v>
      </c>
      <c r="J14" s="129">
        <f>ROUND('Rate Summary'!F14*(1+M10),4)</f>
        <v>4.41E-2</v>
      </c>
      <c r="K14" s="112">
        <f>D14*I14*12</f>
        <v>375190.24366794038</v>
      </c>
      <c r="L14" s="112">
        <f>E14*J14</f>
        <v>1288492.196403275</v>
      </c>
      <c r="M14" s="118">
        <f t="shared" ref="M14:M15" si="1">SUM(K14:L14)</f>
        <v>1663682.4400712154</v>
      </c>
    </row>
    <row r="15" spans="2:16" x14ac:dyDescent="0.25">
      <c r="B15" s="10" t="s">
        <v>13</v>
      </c>
      <c r="C15" s="115" t="s">
        <v>31</v>
      </c>
      <c r="D15" s="127">
        <f>'2025 COS Eq Rates and Revenue'!D17</f>
        <v>46</v>
      </c>
      <c r="E15" s="126"/>
      <c r="F15" s="117">
        <f>'2025 COS Eq Rates and Revenue'!F17</f>
        <v>345622.504099724</v>
      </c>
      <c r="G15" s="116">
        <f t="shared" ref="G15" si="2">K15/M15</f>
        <v>0.23561394561978916</v>
      </c>
      <c r="H15" s="116">
        <f t="shared" si="0"/>
        <v>0.76438605438021079</v>
      </c>
      <c r="I15" s="130">
        <f>ROUND('Rate Summary'!F17*(1+M10),2)</f>
        <v>806.69</v>
      </c>
      <c r="J15" s="131">
        <f>ROUND('Rate Summary'!F18*(1+M10),4)</f>
        <v>4.1798000000000002</v>
      </c>
      <c r="K15" s="112">
        <f>D15*I15*12</f>
        <v>445292.88000000006</v>
      </c>
      <c r="L15" s="117">
        <f>F15*J15</f>
        <v>1444632.9426360265</v>
      </c>
      <c r="M15" s="118">
        <f t="shared" si="1"/>
        <v>1889925.8226360267</v>
      </c>
    </row>
    <row r="16" spans="2:16" x14ac:dyDescent="0.25">
      <c r="B16" s="400" t="s">
        <v>50</v>
      </c>
      <c r="C16" s="401"/>
      <c r="D16" s="401"/>
      <c r="E16" s="401"/>
      <c r="F16" s="401"/>
      <c r="G16" s="401"/>
      <c r="H16" s="401"/>
      <c r="I16" s="401"/>
      <c r="J16" s="401"/>
      <c r="K16" s="401"/>
      <c r="L16" s="402"/>
      <c r="M16" s="118">
        <f>'2025 COS Eq Rates and Revenue'!M17</f>
        <v>-184470</v>
      </c>
    </row>
    <row r="17" spans="1:16" x14ac:dyDescent="0.25"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6"/>
    </row>
    <row r="18" spans="1:16" ht="15.75" thickBot="1" x14ac:dyDescent="0.3">
      <c r="B18" s="398" t="s">
        <v>210</v>
      </c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55">
        <f>M6-SUM(M13:M16)</f>
        <v>20410529.097025514</v>
      </c>
      <c r="O18" s="97"/>
      <c r="P18" s="97"/>
    </row>
    <row r="19" spans="1:16" x14ac:dyDescent="0.25">
      <c r="B19" s="114" t="s">
        <v>212</v>
      </c>
      <c r="C19" s="114"/>
      <c r="D19" s="114"/>
      <c r="E19" s="114"/>
      <c r="F19" s="114"/>
      <c r="G19" s="114"/>
      <c r="H19" s="114"/>
      <c r="I19" s="114"/>
      <c r="J19" s="114"/>
      <c r="K19" s="114"/>
      <c r="L19" s="29"/>
      <c r="M19" s="302">
        <f>SUM('2025 Cost All''n &amp; DVA Disp'!L15:L16)</f>
        <v>-298347.02920481795</v>
      </c>
    </row>
    <row r="20" spans="1:16" x14ac:dyDescent="0.25">
      <c r="B20" s="303" t="s">
        <v>211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4"/>
      <c r="M20" s="305">
        <f>M18+M19</f>
        <v>20112182.067820694</v>
      </c>
    </row>
    <row r="21" spans="1:16" x14ac:dyDescent="0.25">
      <c r="B21" s="113" t="s">
        <v>48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139"/>
    </row>
    <row r="22" spans="1:16" x14ac:dyDescent="0.25">
      <c r="A22" s="5"/>
      <c r="B22" s="11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139"/>
    </row>
    <row r="23" spans="1:16" x14ac:dyDescent="0.25">
      <c r="A23" s="5">
        <v>1</v>
      </c>
      <c r="B23" s="114" t="s">
        <v>101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107"/>
    </row>
    <row r="24" spans="1:16" x14ac:dyDescent="0.25">
      <c r="A24" s="5">
        <v>2</v>
      </c>
      <c r="B24" s="114" t="s">
        <v>102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6" x14ac:dyDescent="0.25">
      <c r="A25" s="180" t="s">
        <v>82</v>
      </c>
      <c r="B25" s="114" t="s">
        <v>103</v>
      </c>
      <c r="M25" s="56"/>
    </row>
  </sheetData>
  <mergeCells count="16">
    <mergeCell ref="B2:M2"/>
    <mergeCell ref="B8:M8"/>
    <mergeCell ref="B9:M9"/>
    <mergeCell ref="B10:L10"/>
    <mergeCell ref="B11:B12"/>
    <mergeCell ref="C11:C12"/>
    <mergeCell ref="D11:D12"/>
    <mergeCell ref="E11:F11"/>
    <mergeCell ref="G11:H11"/>
    <mergeCell ref="I11:J11"/>
    <mergeCell ref="K11:M11"/>
    <mergeCell ref="B18:L18"/>
    <mergeCell ref="B16:L16"/>
    <mergeCell ref="B4:J4"/>
    <mergeCell ref="B5:J5"/>
    <mergeCell ref="B6:J6"/>
  </mergeCells>
  <pageMargins left="0.7" right="0.7" top="0.75" bottom="0.75" header="0.3" footer="0.3"/>
  <pageSetup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EFDCB-1D57-4877-A04B-86BB3C798B19}">
  <sheetPr>
    <tabColor theme="9" tint="0.79998168889431442"/>
    <pageSetUpPr fitToPage="1"/>
  </sheetPr>
  <dimension ref="B3:P20"/>
  <sheetViews>
    <sheetView view="pageBreakPreview" zoomScale="60" zoomScaleNormal="100" workbookViewId="0">
      <selection activeCell="M28" sqref="M28"/>
    </sheetView>
  </sheetViews>
  <sheetFormatPr defaultColWidth="9.140625" defaultRowHeight="15" x14ac:dyDescent="0.25"/>
  <cols>
    <col min="1" max="1" width="2.85546875" customWidth="1"/>
    <col min="2" max="2" width="16.28515625" customWidth="1"/>
    <col min="3" max="3" width="6.28515625" customWidth="1"/>
    <col min="4" max="4" width="10.140625" customWidth="1"/>
    <col min="5" max="5" width="12.85546875" bestFit="1" customWidth="1"/>
    <col min="6" max="6" width="9.140625" bestFit="1" customWidth="1"/>
    <col min="7" max="8" width="10.140625" bestFit="1" customWidth="1"/>
    <col min="9" max="9" width="9.7109375" bestFit="1" customWidth="1"/>
    <col min="10" max="10" width="9.140625" bestFit="1" customWidth="1"/>
    <col min="11" max="12" width="11.85546875" bestFit="1" customWidth="1"/>
    <col min="13" max="13" width="11.7109375" customWidth="1"/>
    <col min="14" max="14" width="17" customWidth="1"/>
    <col min="15" max="15" width="23.28515625" bestFit="1" customWidth="1"/>
    <col min="16" max="16" width="12.85546875" customWidth="1"/>
  </cols>
  <sheetData>
    <row r="3" spans="2:14" x14ac:dyDescent="0.25">
      <c r="B3" s="388" t="s">
        <v>92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4"/>
    </row>
    <row r="4" spans="2:14" ht="15" customHeight="1" x14ac:dyDescent="0.25">
      <c r="B4" s="392" t="s">
        <v>24</v>
      </c>
      <c r="C4" s="394" t="s">
        <v>6</v>
      </c>
      <c r="D4" s="396" t="s">
        <v>25</v>
      </c>
      <c r="E4" s="381" t="s">
        <v>26</v>
      </c>
      <c r="F4" s="382"/>
      <c r="G4" s="381" t="s">
        <v>27</v>
      </c>
      <c r="H4" s="382"/>
      <c r="I4" s="381" t="s">
        <v>28</v>
      </c>
      <c r="J4" s="382"/>
      <c r="K4" s="381" t="s">
        <v>29</v>
      </c>
      <c r="L4" s="383"/>
      <c r="M4" s="383"/>
      <c r="N4" s="384"/>
    </row>
    <row r="5" spans="2:14" ht="60" x14ac:dyDescent="0.25">
      <c r="B5" s="393"/>
      <c r="C5" s="395"/>
      <c r="D5" s="397"/>
      <c r="E5" s="40" t="s">
        <v>30</v>
      </c>
      <c r="F5" s="40" t="s">
        <v>31</v>
      </c>
      <c r="G5" s="41" t="s">
        <v>32</v>
      </c>
      <c r="H5" s="41" t="s">
        <v>33</v>
      </c>
      <c r="I5" s="41" t="s">
        <v>8</v>
      </c>
      <c r="J5" s="41" t="s">
        <v>34</v>
      </c>
      <c r="K5" s="41" t="s">
        <v>35</v>
      </c>
      <c r="L5" s="41" t="s">
        <v>36</v>
      </c>
      <c r="M5" s="41" t="s">
        <v>40</v>
      </c>
      <c r="N5" s="42" t="s">
        <v>41</v>
      </c>
    </row>
    <row r="6" spans="2:14" x14ac:dyDescent="0.25">
      <c r="B6" s="43" t="s">
        <v>38</v>
      </c>
      <c r="C6" s="6" t="s">
        <v>30</v>
      </c>
      <c r="D6" s="37">
        <f>'2025 COS Eq Rates and Revenue'!D5</f>
        <v>9705</v>
      </c>
      <c r="E6" s="34">
        <f>'2025 COS Eq Rates and Revenue'!E5</f>
        <v>128336485</v>
      </c>
      <c r="F6" s="33">
        <f>'2025 COS Eq Rates and Revenue'!F5</f>
        <v>0</v>
      </c>
      <c r="G6" s="44">
        <f>'2025 COS Eq Rates and Revenue'!H5</f>
        <v>0.64118373052413569</v>
      </c>
      <c r="H6" s="45">
        <f>'2025 COS Eq Rates and Revenue'!I5</f>
        <v>0.35881626947586431</v>
      </c>
      <c r="I6" s="35">
        <f>'2025 COS Eq Rates and Revenue'!M5</f>
        <v>122.58493840994051</v>
      </c>
      <c r="J6" s="138">
        <f>'2025 COS Eq Rates and Revenue'!N5</f>
        <v>6.2252011837383339E-2</v>
      </c>
      <c r="K6" s="26">
        <f>D6*I6*12</f>
        <v>14276241.927221671</v>
      </c>
      <c r="L6" s="26">
        <f>E6*J6</f>
        <v>7989204.3833881691</v>
      </c>
      <c r="M6" s="33"/>
      <c r="N6" s="27">
        <f>SUM(K6:M6)</f>
        <v>22265446.31060984</v>
      </c>
    </row>
    <row r="7" spans="2:14" x14ac:dyDescent="0.25">
      <c r="B7" s="43" t="s">
        <v>13</v>
      </c>
      <c r="C7" s="6" t="s">
        <v>31</v>
      </c>
      <c r="D7" s="37">
        <f>'2025 COS Eq Rates and Revenue'!D6</f>
        <v>46</v>
      </c>
      <c r="E7" s="33">
        <f>'2025 COS Eq Rates and Revenue'!E6</f>
        <v>0</v>
      </c>
      <c r="F7" s="34">
        <f>'2025 COS Eq Rates and Revenue'!F6</f>
        <v>345622.504099724</v>
      </c>
      <c r="G7" s="44">
        <f>'2025 COS Eq Rates and Revenue'!H6</f>
        <v>0.26266944591513558</v>
      </c>
      <c r="H7" s="45">
        <f>'2025 COS Eq Rates and Revenue'!I6</f>
        <v>0.73733055408486448</v>
      </c>
      <c r="I7" s="35">
        <f>'2025 COS Eq Rates and Revenue'!M6</f>
        <v>3522.6188335801471</v>
      </c>
      <c r="J7" s="138">
        <f>'2025 COS Eq Rates and Revenue'!N6</f>
        <v>16.326396439793317</v>
      </c>
      <c r="K7" s="26">
        <f t="shared" ref="K7:K9" si="0">D7*I7*12</f>
        <v>1944485.5961362412</v>
      </c>
      <c r="L7" s="26">
        <f>F7*J7</f>
        <v>5642770.020446185</v>
      </c>
      <c r="M7" s="34">
        <f>'2025 COS Eq Rates and Revenue'!J6</f>
        <v>-184470</v>
      </c>
      <c r="N7" s="27">
        <f t="shared" ref="N7:N9" si="1">SUM(K7:M7)</f>
        <v>7402785.6165824262</v>
      </c>
    </row>
    <row r="8" spans="2:14" x14ac:dyDescent="0.25">
      <c r="B8" s="43" t="s">
        <v>15</v>
      </c>
      <c r="C8" s="6" t="s">
        <v>30</v>
      </c>
      <c r="D8" s="37">
        <f>'2025 COS Eq Rates and Revenue'!D7</f>
        <v>2719</v>
      </c>
      <c r="E8" s="34">
        <f>'2025 COS Eq Rates and Revenue'!E7</f>
        <v>5961327.3980811778</v>
      </c>
      <c r="F8" s="33">
        <f>'2025 COS Eq Rates and Revenue'!F7</f>
        <v>0</v>
      </c>
      <c r="G8" s="44">
        <f>'2025 COS Eq Rates and Revenue'!H7</f>
        <v>0.92186668103597347</v>
      </c>
      <c r="H8" s="45">
        <f>'2025 COS Eq Rates and Revenue'!I7</f>
        <v>7.8133318964026532E-2</v>
      </c>
      <c r="I8" s="35">
        <f>'2025 COS Eq Rates and Revenue'!M7</f>
        <v>98.087050429307865</v>
      </c>
      <c r="J8" s="138">
        <f>'2025 COS Eq Rates and Revenue'!N7</f>
        <v>4.5501667108830975E-2</v>
      </c>
      <c r="K8" s="26">
        <f t="shared" si="0"/>
        <v>3200384.2814074568</v>
      </c>
      <c r="L8" s="26">
        <f t="shared" ref="L8:L9" si="2">E8*J8</f>
        <v>271250.33479424327</v>
      </c>
      <c r="M8" s="33"/>
      <c r="N8" s="27">
        <f t="shared" si="1"/>
        <v>3471634.6162017002</v>
      </c>
    </row>
    <row r="9" spans="2:14" x14ac:dyDescent="0.25">
      <c r="B9" s="43" t="s">
        <v>16</v>
      </c>
      <c r="C9" s="6" t="s">
        <v>30</v>
      </c>
      <c r="D9" s="37">
        <f>'2025 COS Eq Rates and Revenue'!D8</f>
        <v>1129</v>
      </c>
      <c r="E9" s="34">
        <f>'2025 COS Eq Rates and Revenue'!E8</f>
        <v>536180.1972169095</v>
      </c>
      <c r="F9" s="33">
        <f>'2025 COS Eq Rates and Revenue'!F8</f>
        <v>0</v>
      </c>
      <c r="G9" s="44">
        <f>'2025 COS Eq Rates and Revenue'!H8</f>
        <v>0.13526334361889455</v>
      </c>
      <c r="H9" s="45">
        <f>'2025 COS Eq Rates and Revenue'!I8</f>
        <v>0.86473665638110542</v>
      </c>
      <c r="I9" s="35">
        <f>'2025 COS Eq Rates and Revenue'!M8</f>
        <v>2.2183761661457897</v>
      </c>
      <c r="J9" s="138">
        <f>'2025 COS Eq Rates and Revenue'!N8</f>
        <v>0.35834665838247848</v>
      </c>
      <c r="K9" s="26">
        <f t="shared" si="0"/>
        <v>30054.560298943157</v>
      </c>
      <c r="L9" s="26">
        <f t="shared" si="2"/>
        <v>192138.3819635378</v>
      </c>
      <c r="M9" s="33"/>
      <c r="N9" s="27">
        <f t="shared" si="1"/>
        <v>222192.94226248097</v>
      </c>
    </row>
    <row r="10" spans="2:14" s="1" customFormat="1" ht="15.75" thickBot="1" x14ac:dyDescent="0.3">
      <c r="B10" s="30" t="s">
        <v>39</v>
      </c>
      <c r="C10" s="31"/>
      <c r="D10" s="32">
        <f>SUM(D6:D9)</f>
        <v>13599</v>
      </c>
      <c r="E10" s="31"/>
      <c r="F10" s="31"/>
      <c r="G10" s="31"/>
      <c r="H10" s="31"/>
      <c r="I10" s="31"/>
      <c r="J10" s="31"/>
      <c r="K10" s="46">
        <f>SUM(K6:K9)</f>
        <v>19451166.365064312</v>
      </c>
      <c r="L10" s="46">
        <f>SUM(L6:L9)</f>
        <v>14095363.120592136</v>
      </c>
      <c r="M10" s="46">
        <f>SUM(M6:M9)</f>
        <v>-184470</v>
      </c>
      <c r="N10" s="47">
        <f>SUM(N6:N9)</f>
        <v>33362059.485656448</v>
      </c>
    </row>
    <row r="12" spans="2:14" x14ac:dyDescent="0.25">
      <c r="B12" s="388" t="s">
        <v>98</v>
      </c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4"/>
    </row>
    <row r="13" spans="2:14" x14ac:dyDescent="0.25">
      <c r="B13" s="392" t="s">
        <v>24</v>
      </c>
      <c r="C13" s="394" t="s">
        <v>6</v>
      </c>
      <c r="D13" s="396" t="s">
        <v>25</v>
      </c>
      <c r="E13" s="381" t="s">
        <v>26</v>
      </c>
      <c r="F13" s="382"/>
      <c r="G13" s="381" t="s">
        <v>27</v>
      </c>
      <c r="H13" s="382"/>
      <c r="I13" s="381" t="s">
        <v>28</v>
      </c>
      <c r="J13" s="382"/>
      <c r="K13" s="381" t="s">
        <v>29</v>
      </c>
      <c r="L13" s="383"/>
      <c r="M13" s="383"/>
      <c r="N13" s="384"/>
    </row>
    <row r="14" spans="2:14" ht="60" x14ac:dyDescent="0.25">
      <c r="B14" s="393"/>
      <c r="C14" s="395"/>
      <c r="D14" s="397"/>
      <c r="E14" s="40" t="s">
        <v>30</v>
      </c>
      <c r="F14" s="40" t="s">
        <v>31</v>
      </c>
      <c r="G14" s="41" t="s">
        <v>32</v>
      </c>
      <c r="H14" s="41" t="s">
        <v>33</v>
      </c>
      <c r="I14" s="41" t="s">
        <v>8</v>
      </c>
      <c r="J14" s="41" t="s">
        <v>34</v>
      </c>
      <c r="K14" s="41" t="s">
        <v>35</v>
      </c>
      <c r="L14" s="41" t="s">
        <v>36</v>
      </c>
      <c r="M14" s="41" t="s">
        <v>40</v>
      </c>
      <c r="N14" s="42" t="s">
        <v>41</v>
      </c>
    </row>
    <row r="15" spans="2:14" x14ac:dyDescent="0.25">
      <c r="B15" s="43" t="s">
        <v>38</v>
      </c>
      <c r="C15" s="6" t="s">
        <v>30</v>
      </c>
      <c r="D15" s="37">
        <f>D6</f>
        <v>9705</v>
      </c>
      <c r="E15" s="37">
        <f t="shared" ref="E15:F15" si="3">E6</f>
        <v>128336485</v>
      </c>
      <c r="F15" s="37">
        <f t="shared" si="3"/>
        <v>0</v>
      </c>
      <c r="G15" s="44">
        <f>K15/$N15</f>
        <v>0.64118373052413569</v>
      </c>
      <c r="H15" s="45">
        <f>1-G15</f>
        <v>0.35881626947586431</v>
      </c>
      <c r="I15" s="35">
        <f>(K15/12)/D15</f>
        <v>126.38507150064865</v>
      </c>
      <c r="J15" s="138">
        <f>(L15)/E15</f>
        <v>6.4181824204342222E-2</v>
      </c>
      <c r="K15" s="26">
        <f>'Indexed Revenue'!H5</f>
        <v>14718805.426965542</v>
      </c>
      <c r="L15" s="26">
        <f>'Indexed Revenue'!I5</f>
        <v>8236869.7192732021</v>
      </c>
      <c r="M15" s="33"/>
      <c r="N15" s="27">
        <f>SUM(K15:M15)</f>
        <v>22955675.146238744</v>
      </c>
    </row>
    <row r="16" spans="2:14" x14ac:dyDescent="0.25">
      <c r="B16" s="43" t="s">
        <v>13</v>
      </c>
      <c r="C16" s="6" t="s">
        <v>31</v>
      </c>
      <c r="D16" s="37">
        <f t="shared" ref="D16:F16" si="4">D7</f>
        <v>46</v>
      </c>
      <c r="E16" s="37">
        <f t="shared" si="4"/>
        <v>0</v>
      </c>
      <c r="F16" s="37">
        <f t="shared" si="4"/>
        <v>345622.504099724</v>
      </c>
      <c r="G16" s="44">
        <f t="shared" ref="G16:G17" si="5">K16/$N16</f>
        <v>0.26917534294067558</v>
      </c>
      <c r="H16" s="45">
        <f t="shared" ref="H16:H18" si="6">1-G16</f>
        <v>0.73082465705932442</v>
      </c>
      <c r="I16" s="35">
        <f>(K16/12)/D16</f>
        <v>3631.8200174211315</v>
      </c>
      <c r="J16" s="138">
        <f>(L16)/F16</f>
        <v>16.282236412060385</v>
      </c>
      <c r="K16" s="26">
        <f>'Indexed Revenue'!H6</f>
        <v>2004764.6496164645</v>
      </c>
      <c r="L16" s="26">
        <f>'Indexed Revenue'!I6</f>
        <v>5627507.321080016</v>
      </c>
      <c r="M16" s="34">
        <f>M7</f>
        <v>-184470</v>
      </c>
      <c r="N16" s="27">
        <f t="shared" ref="N16:N18" si="7">SUM(K16:M16)</f>
        <v>7447801.9706964809</v>
      </c>
    </row>
    <row r="17" spans="2:16" x14ac:dyDescent="0.25">
      <c r="B17" s="43" t="s">
        <v>15</v>
      </c>
      <c r="C17" s="6" t="s">
        <v>30</v>
      </c>
      <c r="D17" s="37">
        <f t="shared" ref="D17:F17" si="8">D8</f>
        <v>2719</v>
      </c>
      <c r="E17" s="37">
        <f t="shared" si="8"/>
        <v>5961327.3980811778</v>
      </c>
      <c r="F17" s="37">
        <f t="shared" si="8"/>
        <v>0</v>
      </c>
      <c r="G17" s="44">
        <f t="shared" si="5"/>
        <v>0.92186668103597347</v>
      </c>
      <c r="H17" s="45">
        <f t="shared" si="6"/>
        <v>7.8133318964026532E-2</v>
      </c>
      <c r="I17" s="35">
        <f>(K17/12)/D17</f>
        <v>101.12774899261639</v>
      </c>
      <c r="J17" s="138">
        <f t="shared" ref="J17:J18" si="9">(L17)/E17</f>
        <v>4.6912218789204735E-2</v>
      </c>
      <c r="K17" s="26">
        <f>'Indexed Revenue'!H7</f>
        <v>3299596.1941310875</v>
      </c>
      <c r="L17" s="26">
        <f>'Indexed Revenue'!I7</f>
        <v>279659.09517286479</v>
      </c>
      <c r="M17" s="33"/>
      <c r="N17" s="27">
        <f t="shared" si="7"/>
        <v>3579255.2893039524</v>
      </c>
    </row>
    <row r="18" spans="2:16" x14ac:dyDescent="0.25">
      <c r="B18" s="43" t="s">
        <v>16</v>
      </c>
      <c r="C18" s="6" t="s">
        <v>30</v>
      </c>
      <c r="D18" s="37">
        <f t="shared" ref="D18:F18" si="10">D9</f>
        <v>1129</v>
      </c>
      <c r="E18" s="37">
        <f t="shared" si="10"/>
        <v>536180.1972169095</v>
      </c>
      <c r="F18" s="37">
        <f t="shared" si="10"/>
        <v>0</v>
      </c>
      <c r="G18" s="44">
        <f>K18/$N18</f>
        <v>0.13526334361889453</v>
      </c>
      <c r="H18" s="45">
        <f t="shared" si="6"/>
        <v>0.86473665638110542</v>
      </c>
      <c r="I18" s="35">
        <f>(K18/12)/D18</f>
        <v>2.2871458272963086</v>
      </c>
      <c r="J18" s="138">
        <f t="shared" si="9"/>
        <v>0.3694554047923353</v>
      </c>
      <c r="K18" s="26">
        <f>'Indexed Revenue'!H8</f>
        <v>30986.251668210392</v>
      </c>
      <c r="L18" s="26">
        <f>'Indexed Revenue'!I8</f>
        <v>198094.67180440747</v>
      </c>
      <c r="M18" s="33"/>
      <c r="N18" s="27">
        <f t="shared" si="7"/>
        <v>229080.92347261787</v>
      </c>
      <c r="O18" s="140" t="s">
        <v>172</v>
      </c>
      <c r="P18" s="140"/>
    </row>
    <row r="19" spans="2:16" ht="15.75" thickBot="1" x14ac:dyDescent="0.3">
      <c r="B19" s="30" t="s">
        <v>39</v>
      </c>
      <c r="C19" s="31"/>
      <c r="D19" s="32">
        <f>SUM(D15:D18)</f>
        <v>13599</v>
      </c>
      <c r="E19" s="31"/>
      <c r="F19" s="31"/>
      <c r="G19" s="31"/>
      <c r="H19" s="31"/>
      <c r="I19" s="31"/>
      <c r="J19" s="31"/>
      <c r="K19" s="46">
        <f>SUM(K15:K18)</f>
        <v>20054152.522381306</v>
      </c>
      <c r="L19" s="46">
        <f>SUM(L15:L18)</f>
        <v>14342130.807330491</v>
      </c>
      <c r="M19" s="46">
        <f>SUM(M15:M18)</f>
        <v>-184470</v>
      </c>
      <c r="N19" s="47">
        <f>SUM(N15:N18)</f>
        <v>34211813.329711795</v>
      </c>
      <c r="O19" s="286">
        <f>N19-'Indexed Revenue'!J9</f>
        <v>-184470</v>
      </c>
      <c r="P19" s="141"/>
    </row>
    <row r="20" spans="2:16" x14ac:dyDescent="0.25">
      <c r="O20" s="140"/>
      <c r="P20" s="142"/>
    </row>
  </sheetData>
  <mergeCells count="16">
    <mergeCell ref="B12:N12"/>
    <mergeCell ref="K4:N4"/>
    <mergeCell ref="B3:N3"/>
    <mergeCell ref="B4:B5"/>
    <mergeCell ref="C4:C5"/>
    <mergeCell ref="D4:D5"/>
    <mergeCell ref="E4:F4"/>
    <mergeCell ref="G4:H4"/>
    <mergeCell ref="I4:J4"/>
    <mergeCell ref="K13:N13"/>
    <mergeCell ref="B13:B14"/>
    <mergeCell ref="C13:C14"/>
    <mergeCell ref="D13:D14"/>
    <mergeCell ref="E13:F13"/>
    <mergeCell ref="G13:H13"/>
    <mergeCell ref="I13:J13"/>
  </mergeCells>
  <pageMargins left="0.25" right="0.25" top="0.75" bottom="0.75" header="0.3" footer="0.3"/>
  <pageSetup scale="5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E060-AD1F-4276-964B-024741D9AAFA}">
  <sheetPr>
    <tabColor theme="9" tint="0.79998168889431442"/>
  </sheetPr>
  <dimension ref="B1:D7"/>
  <sheetViews>
    <sheetView view="pageBreakPreview" zoomScale="60" zoomScaleNormal="100" workbookViewId="0">
      <selection activeCell="N36" sqref="N36"/>
    </sheetView>
  </sheetViews>
  <sheetFormatPr defaultColWidth="9.140625" defaultRowHeight="15" x14ac:dyDescent="0.25"/>
  <cols>
    <col min="1" max="1" width="2.85546875" customWidth="1"/>
    <col min="2" max="2" width="18.7109375" customWidth="1"/>
    <col min="3" max="3" width="11.7109375" bestFit="1" customWidth="1"/>
    <col min="4" max="4" width="8.7109375" customWidth="1"/>
    <col min="6" max="6" width="10.7109375" bestFit="1" customWidth="1"/>
    <col min="9" max="9" width="17.85546875" bestFit="1" customWidth="1"/>
    <col min="10" max="10" width="10.28515625" bestFit="1" customWidth="1"/>
    <col min="11" max="11" width="13.140625" customWidth="1"/>
  </cols>
  <sheetData>
    <row r="1" spans="2:4" ht="15.75" thickBot="1" x14ac:dyDescent="0.3"/>
    <row r="2" spans="2:4" ht="30.75" customHeight="1" thickBot="1" x14ac:dyDescent="0.3">
      <c r="B2" s="423" t="s">
        <v>94</v>
      </c>
      <c r="C2" s="424"/>
      <c r="D2" s="425"/>
    </row>
    <row r="3" spans="2:4" x14ac:dyDescent="0.25">
      <c r="B3" s="22" t="s">
        <v>17</v>
      </c>
      <c r="C3" s="23" t="s">
        <v>18</v>
      </c>
      <c r="D3" s="24" t="s">
        <v>19</v>
      </c>
    </row>
    <row r="4" spans="2:4" x14ac:dyDescent="0.25">
      <c r="B4" s="15" t="s">
        <v>20</v>
      </c>
      <c r="C4" s="115" t="s">
        <v>77</v>
      </c>
      <c r="D4" s="136">
        <v>3.6999999999999998E-2</v>
      </c>
    </row>
    <row r="5" spans="2:4" x14ac:dyDescent="0.25">
      <c r="B5" s="15" t="s">
        <v>21</v>
      </c>
      <c r="C5" s="115" t="s">
        <v>77</v>
      </c>
      <c r="D5" s="136">
        <v>0</v>
      </c>
    </row>
    <row r="6" spans="2:4" x14ac:dyDescent="0.25">
      <c r="B6" s="15" t="s">
        <v>22</v>
      </c>
      <c r="C6" s="115" t="s">
        <v>95</v>
      </c>
      <c r="D6" s="137">
        <v>6.0000000000000001E-3</v>
      </c>
    </row>
    <row r="7" spans="2:4" ht="15.75" thickBot="1" x14ac:dyDescent="0.3">
      <c r="B7" s="28" t="s">
        <v>76</v>
      </c>
      <c r="C7" s="108" t="s">
        <v>23</v>
      </c>
      <c r="D7" s="109">
        <f>D4-D5-D6</f>
        <v>3.1E-2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11CC-CA96-4E43-81B5-813207B4E22B}">
  <sheetPr>
    <tabColor theme="9" tint="0.79998168889431442"/>
    <pageSetUpPr fitToPage="1"/>
  </sheetPr>
  <dimension ref="B2:J21"/>
  <sheetViews>
    <sheetView view="pageBreakPreview" zoomScale="60" zoomScaleNormal="100" workbookViewId="0">
      <selection sqref="A1:XFD1048576"/>
    </sheetView>
  </sheetViews>
  <sheetFormatPr defaultColWidth="9.140625" defaultRowHeight="15" x14ac:dyDescent="0.25"/>
  <cols>
    <col min="1" max="1" width="2.85546875" customWidth="1"/>
    <col min="2" max="2" width="40.5703125" bestFit="1" customWidth="1"/>
    <col min="3" max="3" width="19.85546875" bestFit="1" customWidth="1"/>
    <col min="4" max="4" width="22.42578125" bestFit="1" customWidth="1"/>
    <col min="5" max="5" width="29.42578125" bestFit="1" customWidth="1"/>
    <col min="6" max="6" width="42.85546875" bestFit="1" customWidth="1"/>
    <col min="7" max="7" width="22.140625" bestFit="1" customWidth="1"/>
    <col min="8" max="8" width="15.85546875" bestFit="1" customWidth="1"/>
    <col min="9" max="9" width="14.7109375" bestFit="1" customWidth="1"/>
    <col min="10" max="10" width="18.85546875" bestFit="1" customWidth="1"/>
  </cols>
  <sheetData>
    <row r="2" spans="2:10" ht="33.75" customHeight="1" x14ac:dyDescent="0.25">
      <c r="B2" s="187"/>
      <c r="C2" s="427" t="s">
        <v>224</v>
      </c>
      <c r="D2" s="427"/>
      <c r="E2" s="427"/>
      <c r="F2" s="427"/>
      <c r="G2" s="427" t="s">
        <v>97</v>
      </c>
      <c r="H2" s="427"/>
      <c r="I2" s="427"/>
      <c r="J2" s="427"/>
    </row>
    <row r="3" spans="2:10" ht="15" customHeight="1" x14ac:dyDescent="0.25">
      <c r="B3" s="428" t="s">
        <v>24</v>
      </c>
      <c r="C3" s="430" t="s">
        <v>178</v>
      </c>
      <c r="D3" s="430" t="s">
        <v>182</v>
      </c>
      <c r="E3" s="430" t="s">
        <v>179</v>
      </c>
      <c r="F3" s="430" t="s">
        <v>183</v>
      </c>
      <c r="G3" s="346" t="s">
        <v>177</v>
      </c>
      <c r="H3" s="429" t="s">
        <v>29</v>
      </c>
      <c r="I3" s="429"/>
      <c r="J3" s="429"/>
    </row>
    <row r="4" spans="2:10" ht="14.85" customHeight="1" x14ac:dyDescent="0.25">
      <c r="B4" s="428"/>
      <c r="C4" s="431"/>
      <c r="D4" s="431"/>
      <c r="E4" s="431"/>
      <c r="F4" s="431"/>
      <c r="G4" s="346"/>
      <c r="H4" s="41" t="s">
        <v>35</v>
      </c>
      <c r="I4" s="41" t="s">
        <v>36</v>
      </c>
      <c r="J4" s="41" t="s">
        <v>37</v>
      </c>
    </row>
    <row r="5" spans="2:10" x14ac:dyDescent="0.25">
      <c r="B5" s="287" t="s">
        <v>38</v>
      </c>
      <c r="C5" s="288">
        <f>'2025 COS Eq Rates and Revenue'!K16</f>
        <v>14276241.927221671</v>
      </c>
      <c r="D5" s="288">
        <f>'2025 COS Eq Rates and Revenue'!L16</f>
        <v>7989204.3833881691</v>
      </c>
      <c r="E5" s="238">
        <f>'2025 COS Eq Rates and Revenue'!J5</f>
        <v>0</v>
      </c>
      <c r="F5" s="238">
        <f>+D5+E5</f>
        <v>7989204.3833881691</v>
      </c>
      <c r="G5" s="207">
        <v>1.0309999999999999</v>
      </c>
      <c r="H5" s="112">
        <f>C5*G5</f>
        <v>14718805.426965542</v>
      </c>
      <c r="I5" s="112">
        <f>G5*F5</f>
        <v>8236869.7192732021</v>
      </c>
      <c r="J5" s="289">
        <f>H5+I5</f>
        <v>22955675.146238744</v>
      </c>
    </row>
    <row r="6" spans="2:10" x14ac:dyDescent="0.25">
      <c r="B6" s="287" t="s">
        <v>13</v>
      </c>
      <c r="C6" s="288">
        <f>'2025 COS Eq Rates and Revenue'!K17</f>
        <v>1944485.5961362412</v>
      </c>
      <c r="D6" s="288">
        <f>'2025 COS Eq Rates and Revenue'!L17</f>
        <v>5642770.020446185</v>
      </c>
      <c r="E6" s="238">
        <f>'2025 COS Eq Rates and Revenue'!J6</f>
        <v>-184470</v>
      </c>
      <c r="F6" s="238">
        <f t="shared" ref="F6:F8" si="0">+D6+E6</f>
        <v>5458300.020446185</v>
      </c>
      <c r="G6" s="207">
        <v>1.0309999999999999</v>
      </c>
      <c r="H6" s="112">
        <f t="shared" ref="H6:H8" si="1">C6*G6</f>
        <v>2004764.6496164645</v>
      </c>
      <c r="I6" s="112">
        <f>G6*F6</f>
        <v>5627507.321080016</v>
      </c>
      <c r="J6" s="289">
        <f>H6+I6</f>
        <v>7632271.9706964809</v>
      </c>
    </row>
    <row r="7" spans="2:10" x14ac:dyDescent="0.25">
      <c r="B7" s="287" t="s">
        <v>15</v>
      </c>
      <c r="C7" s="288">
        <f>'2025 COS Eq Rates and Revenue'!K18</f>
        <v>3200384.2814074568</v>
      </c>
      <c r="D7" s="288">
        <f>'2025 COS Eq Rates and Revenue'!L18</f>
        <v>271250.33479424327</v>
      </c>
      <c r="E7" s="238">
        <f>'2025 COS Eq Rates and Revenue'!J7</f>
        <v>0</v>
      </c>
      <c r="F7" s="238">
        <f t="shared" si="0"/>
        <v>271250.33479424327</v>
      </c>
      <c r="G7" s="207">
        <v>1.0309999999999999</v>
      </c>
      <c r="H7" s="112">
        <f t="shared" si="1"/>
        <v>3299596.1941310875</v>
      </c>
      <c r="I7" s="112">
        <f>G7*F7</f>
        <v>279659.09517286479</v>
      </c>
      <c r="J7" s="289">
        <f t="shared" ref="J7:J8" si="2">H7+I7</f>
        <v>3579255.2893039524</v>
      </c>
    </row>
    <row r="8" spans="2:10" x14ac:dyDescent="0.25">
      <c r="B8" s="287" t="s">
        <v>16</v>
      </c>
      <c r="C8" s="288">
        <f>'2025 COS Eq Rates and Revenue'!K19</f>
        <v>30054.560298943157</v>
      </c>
      <c r="D8" s="288">
        <f>'2025 COS Eq Rates and Revenue'!L19</f>
        <v>192138.3819635378</v>
      </c>
      <c r="E8" s="238">
        <f>'2025 COS Eq Rates and Revenue'!J8</f>
        <v>0</v>
      </c>
      <c r="F8" s="238">
        <f t="shared" si="0"/>
        <v>192138.3819635378</v>
      </c>
      <c r="G8" s="207">
        <v>1.0309999999999999</v>
      </c>
      <c r="H8" s="112">
        <f t="shared" si="1"/>
        <v>30986.251668210392</v>
      </c>
      <c r="I8" s="112">
        <f>G8*F8</f>
        <v>198094.67180440747</v>
      </c>
      <c r="J8" s="289">
        <f t="shared" si="2"/>
        <v>229080.92347261787</v>
      </c>
    </row>
    <row r="9" spans="2:10" x14ac:dyDescent="0.25">
      <c r="B9" s="187" t="s">
        <v>39</v>
      </c>
      <c r="C9" s="328">
        <f>SUM(C5:C8)</f>
        <v>19451166.365064312</v>
      </c>
      <c r="D9" s="328">
        <f>SUM(D5:D8)</f>
        <v>14095363.120592136</v>
      </c>
      <c r="E9" s="329">
        <f>SUM(E5:E8)</f>
        <v>-184470</v>
      </c>
      <c r="F9" s="329">
        <f>SUM(F5:F8)</f>
        <v>13910893.120592136</v>
      </c>
      <c r="G9" s="187"/>
      <c r="H9" s="290">
        <f>SUM(H5:H8)</f>
        <v>20054152.522381306</v>
      </c>
      <c r="I9" s="290">
        <f>SUM(I5:I8)</f>
        <v>14342130.807330491</v>
      </c>
      <c r="J9" s="290">
        <f>SUM(J5:J8)</f>
        <v>34396283.329711795</v>
      </c>
    </row>
    <row r="10" spans="2:10" x14ac:dyDescent="0.25">
      <c r="C10" s="48"/>
      <c r="D10" s="48"/>
      <c r="E10" s="48"/>
      <c r="F10" s="48"/>
      <c r="G10" s="48"/>
      <c r="H10">
        <f>H9/C9</f>
        <v>1.0309999999999999</v>
      </c>
      <c r="I10">
        <f>I9/F9</f>
        <v>1.0309999999999999</v>
      </c>
      <c r="J10" s="297"/>
    </row>
    <row r="12" spans="2:10" ht="33.75" customHeight="1" x14ac:dyDescent="0.25">
      <c r="B12" s="426"/>
      <c r="C12" s="426"/>
      <c r="D12" s="426"/>
      <c r="E12" s="426"/>
      <c r="F12" s="426"/>
      <c r="G12" s="426"/>
      <c r="H12" s="426"/>
    </row>
    <row r="14" spans="2:10" x14ac:dyDescent="0.25">
      <c r="B14" s="49" t="s">
        <v>44</v>
      </c>
    </row>
    <row r="16" spans="2:10" x14ac:dyDescent="0.25">
      <c r="B16" t="s">
        <v>173</v>
      </c>
      <c r="E16" s="275">
        <f>'2025 Revenue Reqt Update -CoC'!I2</f>
        <v>33687290.300445765</v>
      </c>
      <c r="F16" s="275"/>
      <c r="G16" s="275"/>
      <c r="I16" s="51"/>
    </row>
    <row r="17" spans="2:9" x14ac:dyDescent="0.25">
      <c r="B17" t="s">
        <v>174</v>
      </c>
      <c r="E17" s="275">
        <f>'2025 Revenue Reqt Update -CoC'!I3</f>
        <v>33362058.792856008</v>
      </c>
      <c r="F17" s="275"/>
      <c r="G17" s="275"/>
      <c r="I17" s="205"/>
    </row>
    <row r="18" spans="2:9" x14ac:dyDescent="0.25">
      <c r="B18" t="s">
        <v>175</v>
      </c>
      <c r="E18" s="220">
        <f>'IRM Adjustment Factor'!D7</f>
        <v>3.1E-2</v>
      </c>
      <c r="F18" s="220"/>
      <c r="G18" s="220"/>
      <c r="I18" s="51"/>
    </row>
    <row r="19" spans="2:9" x14ac:dyDescent="0.25">
      <c r="B19" t="s">
        <v>176</v>
      </c>
      <c r="E19" s="276">
        <f>E17*(1+E18)</f>
        <v>34396282.615434542</v>
      </c>
      <c r="F19" s="276"/>
      <c r="G19" s="276"/>
    </row>
    <row r="20" spans="2:9" x14ac:dyDescent="0.25">
      <c r="B20" s="50"/>
      <c r="E20" s="276">
        <f>E19-J9</f>
        <v>-0.71427725255489349</v>
      </c>
      <c r="F20" s="276"/>
      <c r="G20" s="276"/>
    </row>
    <row r="21" spans="2:9" ht="18" customHeight="1" x14ac:dyDescent="0.25"/>
  </sheetData>
  <mergeCells count="10">
    <mergeCell ref="B12:H12"/>
    <mergeCell ref="G2:J2"/>
    <mergeCell ref="B3:B4"/>
    <mergeCell ref="H3:J3"/>
    <mergeCell ref="G3:G4"/>
    <mergeCell ref="C2:F2"/>
    <mergeCell ref="C3:C4"/>
    <mergeCell ref="D3:D4"/>
    <mergeCell ref="E3:E4"/>
    <mergeCell ref="F3:F4"/>
  </mergeCells>
  <pageMargins left="0.25" right="0.25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Cover Sheet</vt:lpstr>
      <vt:lpstr>Rate Summary</vt:lpstr>
      <vt:lpstr>2025 Revenue Reqt Update -CoC</vt:lpstr>
      <vt:lpstr>2025 Cost All'n &amp; DVA Disp</vt:lpstr>
      <vt:lpstr>2025 COS Eq Rates and Revenue</vt:lpstr>
      <vt:lpstr>RRRP Rate Design</vt:lpstr>
      <vt:lpstr>Equiv Rates</vt:lpstr>
      <vt:lpstr>IRM Adjustment Factor</vt:lpstr>
      <vt:lpstr>Indexed Revenue</vt:lpstr>
      <vt:lpstr>Non-RRRP Rate Design</vt:lpstr>
      <vt:lpstr>Seasonal Decoupling</vt:lpstr>
      <vt:lpstr>'2025 COS Eq Rates and Revenue'!Print_Area</vt:lpstr>
      <vt:lpstr>'Cover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Jessy Serrao</cp:lastModifiedBy>
  <cp:lastPrinted>2023-08-15T19:51:25Z</cp:lastPrinted>
  <dcterms:created xsi:type="dcterms:W3CDTF">2020-05-21T17:58:27Z</dcterms:created>
  <dcterms:modified xsi:type="dcterms:W3CDTF">2025-12-18T15:42:06Z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14.8</vt:lpwstr>
  </property>
</Properties>
</file>